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defaultThemeVersion="202300"/>
  <xr:revisionPtr revIDLastSave="0" documentId="14_{CCA6A94F-617E-44DD-B37F-80AB06B259AD}" xr6:coauthVersionLast="47" xr6:coauthVersionMax="47" xr10:uidLastSave="{00000000-0000-0000-0000-000000000000}"/>
  <bookViews>
    <workbookView xWindow="-110" yWindow="-110" windowWidth="19420" windowHeight="11500" activeTab="6" xr2:uid="{61D0BFBC-4ABC-4745-AD0D-5A67F916B9E6}"/>
  </bookViews>
  <sheets>
    <sheet name="LTD-STD" sheetId="3" r:id="rId1"/>
    <sheet name="Allocation of Debt" sheetId="11" r:id="rId2"/>
    <sheet name="Sys Info, Allo Facts, Whole Rat" sheetId="12" r:id="rId3"/>
    <sheet name="Allo to Retail Rate" sheetId="21" r:id="rId4"/>
    <sheet name="Water Retail Rate Calc" sheetId="22" r:id="rId5"/>
    <sheet name="Sewer Rate" sheetId="24" r:id="rId6"/>
    <sheet name="Rate Comparison" sheetId="23" r:id="rId7"/>
    <sheet name="Water Pro forma Rev Req" sheetId="6" r:id="rId8"/>
    <sheet name="Rev-Water" sheetId="1" r:id="rId9"/>
    <sheet name="Sewer Pro forma Rev Req" sheetId="5" r:id="rId10"/>
    <sheet name="Rev-Sewer" sheetId="2" r:id="rId11"/>
    <sheet name="Other Rev" sheetId="7" r:id="rId12"/>
    <sheet name="Water Exp Function" sheetId="20" r:id="rId13"/>
    <sheet name="Wages, Bene Pro forma, Temp Emp" sheetId="4" r:id="rId14"/>
    <sheet name="New Connections Wage Cap Rate" sheetId="8" r:id="rId15"/>
    <sheet name="Purch Pow. Water Loss" sheetId="10" r:id="rId16"/>
    <sheet name="Materials and Supplies" sheetId="9" r:id="rId17"/>
    <sheet name="Depreciation Water" sheetId="13" r:id="rId18"/>
    <sheet name="Depreciation Sewer" sheetId="18" r:id="rId19"/>
    <sheet name="Transportaion" sheetId="16" r:id="rId20"/>
    <sheet name="General &amp; Workers Comp Ins" sheetId="19" r:id="rId21"/>
    <sheet name="Acct.RateCase,PSCFees,IntIn,Bad" sheetId="15" r:id="rId22"/>
    <sheet name="Misc" sheetId="17" r:id="rId23"/>
    <sheet name="Sheet4" sheetId="14" r:id="rId24"/>
  </sheets>
  <externalReferences>
    <externalReference r:id="rId25"/>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22" l="1"/>
  <c r="G10" i="22"/>
  <c r="E11" i="22"/>
  <c r="G11" i="22"/>
  <c r="E12" i="22"/>
  <c r="G12" i="22"/>
  <c r="E13" i="22"/>
  <c r="E24" i="22" s="1"/>
  <c r="E35" i="22" s="1"/>
  <c r="E37" i="22" s="1"/>
  <c r="G13" i="22"/>
  <c r="G24" i="22" s="1"/>
  <c r="J35" i="22" s="1"/>
  <c r="J37" i="22" s="1"/>
  <c r="E14" i="22"/>
  <c r="G14" i="22"/>
  <c r="E15" i="22"/>
  <c r="G15" i="22"/>
  <c r="E19" i="22"/>
  <c r="G19" i="22"/>
  <c r="E20" i="22"/>
  <c r="G20" i="22"/>
  <c r="E21" i="22"/>
  <c r="G21" i="22"/>
  <c r="E22" i="22"/>
  <c r="G22" i="22"/>
  <c r="E33" i="22"/>
  <c r="J33" i="22"/>
  <c r="L33" i="22"/>
  <c r="L68" i="22"/>
  <c r="L69" i="22"/>
  <c r="L70" i="22"/>
  <c r="L72" i="22"/>
  <c r="L74" i="22"/>
  <c r="L77" i="22" s="1"/>
  <c r="L80" i="22" s="1"/>
  <c r="L81" i="22" s="1"/>
  <c r="L75" i="22"/>
  <c r="L15" i="13"/>
  <c r="L13" i="13"/>
  <c r="L14" i="13"/>
  <c r="L12" i="13"/>
  <c r="L11" i="13"/>
  <c r="L10" i="13"/>
  <c r="L9" i="13"/>
  <c r="L8" i="13"/>
  <c r="L7" i="13"/>
  <c r="L6" i="13"/>
  <c r="L5" i="13"/>
  <c r="N1167" i="13"/>
  <c r="T44" i="23"/>
  <c r="R44" i="23"/>
  <c r="T50" i="23"/>
  <c r="R50" i="23"/>
  <c r="T38" i="23"/>
  <c r="T39" i="23"/>
  <c r="T40" i="23"/>
  <c r="T41" i="23"/>
  <c r="T42" i="23"/>
  <c r="T37" i="23"/>
  <c r="R38" i="23"/>
  <c r="R39" i="23"/>
  <c r="R40" i="23"/>
  <c r="R41" i="23"/>
  <c r="R42" i="23"/>
  <c r="R37" i="23"/>
  <c r="J47" i="23"/>
  <c r="C51" i="23"/>
  <c r="H72" i="23" s="1"/>
  <c r="C52" i="23"/>
  <c r="H73" i="23" s="1"/>
  <c r="C53" i="23"/>
  <c r="H74" i="23" s="1"/>
  <c r="C50" i="23"/>
  <c r="H71" i="23" s="1"/>
  <c r="P73" i="23"/>
  <c r="P74" i="23"/>
  <c r="N73" i="23"/>
  <c r="N74" i="23"/>
  <c r="K83" i="5"/>
  <c r="H17" i="23"/>
  <c r="J11" i="23"/>
  <c r="L277" i="1"/>
  <c r="D15" i="24"/>
  <c r="X95" i="3"/>
  <c r="Z95" i="3" s="1"/>
  <c r="AB95" i="3" s="1"/>
  <c r="Q95" i="3"/>
  <c r="T95" i="3"/>
  <c r="AB93" i="3"/>
  <c r="Z93" i="3"/>
  <c r="X93" i="3"/>
  <c r="H103" i="3"/>
  <c r="J103" i="3"/>
  <c r="L103" i="3"/>
  <c r="H100" i="3"/>
  <c r="J100" i="3" s="1"/>
  <c r="L100" i="3" s="1"/>
  <c r="H99" i="3"/>
  <c r="J99" i="3" s="1"/>
  <c r="L99" i="3" s="1"/>
  <c r="J98" i="3"/>
  <c r="H98" i="3"/>
  <c r="A100" i="3"/>
  <c r="D99" i="3"/>
  <c r="D100" i="3"/>
  <c r="A99" i="3"/>
  <c r="BE39" i="3"/>
  <c r="BD50" i="3"/>
  <c r="BC53" i="3"/>
  <c r="BC52" i="3"/>
  <c r="BA43" i="3"/>
  <c r="BG35" i="3"/>
  <c r="BI35" i="3"/>
  <c r="BK35" i="3"/>
  <c r="BG40" i="3"/>
  <c r="BI40" i="3"/>
  <c r="BK40" i="3"/>
  <c r="BK34" i="3"/>
  <c r="BI34" i="3"/>
  <c r="BG34" i="3"/>
  <c r="BK33" i="3"/>
  <c r="BI33" i="3"/>
  <c r="BG33" i="3"/>
  <c r="A98" i="3"/>
  <c r="L38" i="24"/>
  <c r="O90" i="15"/>
  <c r="Q90" i="15"/>
  <c r="O87" i="15"/>
  <c r="M87" i="15"/>
  <c r="E52" i="5"/>
  <c r="E58" i="5" s="1"/>
  <c r="K50" i="5"/>
  <c r="K39" i="5"/>
  <c r="K35" i="5"/>
  <c r="E22" i="5"/>
  <c r="Z17" i="18"/>
  <c r="Z20" i="18" s="1"/>
  <c r="G53" i="5" s="1"/>
  <c r="I53" i="5"/>
  <c r="J42" i="22" l="1"/>
  <c r="J43" i="22"/>
  <c r="J44" i="22"/>
  <c r="J51" i="22" s="1"/>
  <c r="J45" i="22"/>
  <c r="J52" i="22" s="1"/>
  <c r="J46" i="22"/>
  <c r="J53" i="22" s="1"/>
  <c r="J41" i="22"/>
  <c r="E42" i="22"/>
  <c r="L42" i="22" s="1"/>
  <c r="E43" i="22"/>
  <c r="L43" i="22" s="1"/>
  <c r="E44" i="22"/>
  <c r="E45" i="22"/>
  <c r="E46" i="22"/>
  <c r="E41" i="22"/>
  <c r="L41" i="22" s="1"/>
  <c r="L105" i="3"/>
  <c r="AB97" i="3"/>
  <c r="Z97" i="3"/>
  <c r="X97" i="3"/>
  <c r="BC55" i="3"/>
  <c r="BD53" i="3" s="1"/>
  <c r="BE53" i="3" s="1"/>
  <c r="BD39" i="3" s="1"/>
  <c r="Q87" i="15"/>
  <c r="M88" i="15" s="1"/>
  <c r="E45" i="21"/>
  <c r="I11" i="11"/>
  <c r="F160" i="1"/>
  <c r="N46" i="1"/>
  <c r="F44" i="23"/>
  <c r="F50" i="23"/>
  <c r="F51" i="23" s="1"/>
  <c r="F52" i="23" s="1"/>
  <c r="F53" i="23" s="1"/>
  <c r="H42" i="23"/>
  <c r="H36" i="23"/>
  <c r="F37" i="23"/>
  <c r="F38" i="23"/>
  <c r="F39" i="23"/>
  <c r="F40" i="23"/>
  <c r="F41" i="23"/>
  <c r="F42" i="23"/>
  <c r="F36" i="23"/>
  <c r="N22" i="23"/>
  <c r="N71" i="23" s="1"/>
  <c r="N23" i="23"/>
  <c r="N72" i="23" s="1"/>
  <c r="N17" i="23"/>
  <c r="N68" i="23" s="1"/>
  <c r="N16" i="23"/>
  <c r="N15" i="23"/>
  <c r="N14" i="23"/>
  <c r="N13" i="23"/>
  <c r="N12" i="23"/>
  <c r="N11" i="23"/>
  <c r="V279" i="1"/>
  <c r="T279" i="1"/>
  <c r="U279" i="1"/>
  <c r="V274" i="1"/>
  <c r="U274" i="1"/>
  <c r="T274" i="1"/>
  <c r="T269" i="1"/>
  <c r="V269" i="1"/>
  <c r="U269" i="1"/>
  <c r="T264" i="1"/>
  <c r="S256" i="1"/>
  <c r="V264" i="1"/>
  <c r="U264" i="1"/>
  <c r="AB258" i="1"/>
  <c r="AB261" i="1"/>
  <c r="AB248" i="1"/>
  <c r="AB277" i="1"/>
  <c r="Y247" i="1"/>
  <c r="AB247" i="1" s="1"/>
  <c r="Y277" i="1"/>
  <c r="Y265" i="1"/>
  <c r="AB265" i="1" s="1"/>
  <c r="Y263" i="1"/>
  <c r="AB263" i="1" s="1"/>
  <c r="Y261" i="1"/>
  <c r="Y259" i="1"/>
  <c r="AB259" i="1" s="1"/>
  <c r="Y258" i="1"/>
  <c r="Y257" i="1"/>
  <c r="AB257" i="1" s="1"/>
  <c r="Y252" i="1"/>
  <c r="AB252" i="1" s="1"/>
  <c r="Y251" i="1"/>
  <c r="AB251" i="1" s="1"/>
  <c r="Y250" i="1"/>
  <c r="AB250" i="1" s="1"/>
  <c r="Y248" i="1"/>
  <c r="E53" i="22" l="1"/>
  <c r="L53" i="22" s="1"/>
  <c r="L46" i="22"/>
  <c r="E52" i="22"/>
  <c r="L52" i="22" s="1"/>
  <c r="L45" i="22"/>
  <c r="L44" i="22"/>
  <c r="E51" i="22"/>
  <c r="J55" i="22"/>
  <c r="N32" i="24"/>
  <c r="N33" i="24" s="1"/>
  <c r="L33" i="24" s="1"/>
  <c r="L35" i="24" s="1"/>
  <c r="N62" i="23"/>
  <c r="J36" i="23"/>
  <c r="L36" i="23" s="1"/>
  <c r="P12" i="23"/>
  <c r="P63" i="23" s="1"/>
  <c r="N63" i="23"/>
  <c r="P13" i="23"/>
  <c r="P64" i="23" s="1"/>
  <c r="N64" i="23"/>
  <c r="P14" i="23"/>
  <c r="P65" i="23" s="1"/>
  <c r="N65" i="23"/>
  <c r="P15" i="23"/>
  <c r="P66" i="23" s="1"/>
  <c r="N66" i="23"/>
  <c r="P16" i="23"/>
  <c r="P67" i="23" s="1"/>
  <c r="N67" i="23"/>
  <c r="J42" i="23"/>
  <c r="L42" i="23" s="1"/>
  <c r="AB99" i="3"/>
  <c r="AB102" i="3" s="1"/>
  <c r="K75" i="5" s="1"/>
  <c r="BK39" i="3"/>
  <c r="BG39" i="3"/>
  <c r="BI39" i="3"/>
  <c r="BD52" i="3"/>
  <c r="M90" i="15"/>
  <c r="O88" i="15"/>
  <c r="P22" i="23"/>
  <c r="P71" i="23" s="1"/>
  <c r="P23" i="23"/>
  <c r="P72" i="23" s="1"/>
  <c r="P17" i="23"/>
  <c r="P68" i="23" s="1"/>
  <c r="P11" i="23"/>
  <c r="P62" i="23" s="1"/>
  <c r="AB279" i="1"/>
  <c r="L51" i="22" l="1"/>
  <c r="L55" i="22" s="1"/>
  <c r="E55" i="22"/>
  <c r="BD55" i="3"/>
  <c r="BE52" i="3"/>
  <c r="Q88" i="15"/>
  <c r="L258" i="1"/>
  <c r="L257" i="1"/>
  <c r="L247" i="1"/>
  <c r="J17" i="23"/>
  <c r="L17" i="23" s="1"/>
  <c r="L11" i="23"/>
  <c r="Y61" i="15"/>
  <c r="AY9" i="4"/>
  <c r="BG9" i="4" s="1"/>
  <c r="BA8" i="4"/>
  <c r="BA12" i="4" s="1"/>
  <c r="V53" i="6" s="1"/>
  <c r="AQ9" i="4"/>
  <c r="AO8" i="4"/>
  <c r="AQ8" i="4" s="1"/>
  <c r="AM12" i="4"/>
  <c r="BD32" i="3" l="1"/>
  <c r="BE55" i="3"/>
  <c r="BG8" i="4"/>
  <c r="F30" i="6"/>
  <c r="AB42" i="22"/>
  <c r="AB43" i="22" s="1"/>
  <c r="AB44" i="22" s="1"/>
  <c r="AB45" i="22" s="1"/>
  <c r="AB46" i="22" s="1"/>
  <c r="X42" i="22"/>
  <c r="X43" i="22" s="1"/>
  <c r="X44" i="22" s="1"/>
  <c r="X45" i="22" s="1"/>
  <c r="X46" i="22" s="1"/>
  <c r="P130" i="3"/>
  <c r="O131" i="3"/>
  <c r="P131" i="3" s="1"/>
  <c r="E212" i="1"/>
  <c r="D212" i="1"/>
  <c r="C96" i="1"/>
  <c r="C92" i="1"/>
  <c r="C94" i="1"/>
  <c r="C90" i="1"/>
  <c r="C89" i="1"/>
  <c r="C88" i="1"/>
  <c r="F18" i="6"/>
  <c r="J180" i="1"/>
  <c r="F180" i="1"/>
  <c r="F179" i="1"/>
  <c r="J195" i="1"/>
  <c r="L195" i="1"/>
  <c r="C196" i="1"/>
  <c r="C194" i="1"/>
  <c r="C192" i="1"/>
  <c r="C190" i="1"/>
  <c r="C189" i="1"/>
  <c r="C188" i="1"/>
  <c r="C183" i="1"/>
  <c r="C182" i="1"/>
  <c r="C181" i="1"/>
  <c r="C179" i="1"/>
  <c r="C178" i="1"/>
  <c r="C144" i="1"/>
  <c r="I62" i="5"/>
  <c r="I26" i="4"/>
  <c r="M14" i="6"/>
  <c r="G13" i="5"/>
  <c r="J24" i="24"/>
  <c r="D14" i="24"/>
  <c r="BG32" i="3" l="1"/>
  <c r="BK32" i="3"/>
  <c r="BI32" i="3"/>
  <c r="P133" i="3"/>
  <c r="N161" i="18"/>
  <c r="O298" i="1"/>
  <c r="Y9" i="13"/>
  <c r="G11" i="11"/>
  <c r="S45" i="21"/>
  <c r="C30" i="1"/>
  <c r="C28" i="1"/>
  <c r="E295" i="1"/>
  <c r="V21" i="22" l="1"/>
  <c r="AH29" i="22"/>
  <c r="X21" i="22" s="1"/>
  <c r="AG25" i="22"/>
  <c r="V20" i="22" s="1"/>
  <c r="AF25" i="22"/>
  <c r="AH22" i="22"/>
  <c r="AH23" i="22"/>
  <c r="AH21" i="22"/>
  <c r="AG17" i="22"/>
  <c r="V19" i="22" s="1"/>
  <c r="AH14" i="22"/>
  <c r="AH15" i="22"/>
  <c r="AH13" i="22"/>
  <c r="AG9" i="22"/>
  <c r="V18" i="22" s="1"/>
  <c r="AH4" i="22"/>
  <c r="AH5" i="22"/>
  <c r="AH6" i="22"/>
  <c r="AH7" i="22"/>
  <c r="AH3" i="22"/>
  <c r="C24" i="1"/>
  <c r="AH25" i="22" l="1"/>
  <c r="X20" i="22" s="1"/>
  <c r="AH17" i="22"/>
  <c r="X19" i="22" s="1"/>
  <c r="AH9" i="22"/>
  <c r="X18" i="22" s="1"/>
  <c r="R76" i="12" l="1"/>
  <c r="R58" i="12"/>
  <c r="S13" i="20"/>
  <c r="S20" i="20"/>
  <c r="S32" i="20"/>
  <c r="S34" i="20"/>
  <c r="S37" i="20"/>
  <c r="K31" i="20"/>
  <c r="K17" i="20"/>
  <c r="K18" i="20"/>
  <c r="Q30" i="20"/>
  <c r="AA18" i="13"/>
  <c r="AA12" i="13"/>
  <c r="X72" i="6"/>
  <c r="O35" i="20" s="1"/>
  <c r="AD12" i="13"/>
  <c r="AC12" i="13"/>
  <c r="V48" i="6"/>
  <c r="M19" i="20" s="1"/>
  <c r="AD16" i="13"/>
  <c r="AD11" i="13"/>
  <c r="AD10" i="13"/>
  <c r="AD9" i="13"/>
  <c r="AD7" i="13"/>
  <c r="AD6" i="13"/>
  <c r="AD4" i="13"/>
  <c r="Y15" i="13"/>
  <c r="W15" i="13"/>
  <c r="U15" i="13"/>
  <c r="AD14" i="13"/>
  <c r="AD15" i="13"/>
  <c r="Y14" i="13"/>
  <c r="W14" i="13"/>
  <c r="U14" i="13"/>
  <c r="L12" i="9"/>
  <c r="N20" i="9"/>
  <c r="L11" i="9"/>
  <c r="N12" i="9"/>
  <c r="N11" i="9"/>
  <c r="L16" i="9"/>
  <c r="N16" i="9"/>
  <c r="J16" i="9"/>
  <c r="G16" i="9"/>
  <c r="AC16" i="13"/>
  <c r="AI17" i="13"/>
  <c r="AI11" i="13"/>
  <c r="AI7" i="13"/>
  <c r="AI8" i="13"/>
  <c r="AI9" i="13"/>
  <c r="AI10" i="13"/>
  <c r="AI6" i="13"/>
  <c r="AK7" i="13"/>
  <c r="AM7" i="13"/>
  <c r="AO7" i="13"/>
  <c r="AO19" i="13" s="1"/>
  <c r="AQ7" i="13"/>
  <c r="AK8" i="13"/>
  <c r="AM8" i="13"/>
  <c r="AO8" i="13"/>
  <c r="AQ8" i="13"/>
  <c r="AK9" i="13"/>
  <c r="AM9" i="13"/>
  <c r="AO9" i="13"/>
  <c r="AQ9" i="13"/>
  <c r="AK10" i="13"/>
  <c r="AM10" i="13"/>
  <c r="AO10" i="13"/>
  <c r="AQ10" i="13"/>
  <c r="AK11" i="13"/>
  <c r="AM11" i="13"/>
  <c r="AO11" i="13"/>
  <c r="AQ11" i="13"/>
  <c r="AK12" i="13"/>
  <c r="AM12" i="13"/>
  <c r="AO12" i="13"/>
  <c r="AQ12" i="13"/>
  <c r="AK13" i="13"/>
  <c r="AM13" i="13"/>
  <c r="AO13" i="13"/>
  <c r="AQ13" i="13"/>
  <c r="AK14" i="13"/>
  <c r="AM14" i="13"/>
  <c r="AO14" i="13"/>
  <c r="AQ14" i="13"/>
  <c r="AK15" i="13"/>
  <c r="AM15" i="13"/>
  <c r="AO15" i="13"/>
  <c r="AQ15" i="13"/>
  <c r="AO16" i="13"/>
  <c r="AQ16" i="13"/>
  <c r="AK17" i="13"/>
  <c r="AM17" i="13"/>
  <c r="AO17" i="13"/>
  <c r="AQ17" i="13"/>
  <c r="AQ6" i="13"/>
  <c r="AQ19" i="13" s="1"/>
  <c r="AO6" i="13"/>
  <c r="AM6" i="13"/>
  <c r="AK6" i="13"/>
  <c r="K40" i="10"/>
  <c r="K39" i="10"/>
  <c r="G26" i="4"/>
  <c r="G8" i="2"/>
  <c r="E26" i="4" l="1"/>
  <c r="I27" i="4" s="1"/>
  <c r="R78" i="12"/>
  <c r="V78" i="12" s="1"/>
  <c r="D160" i="1"/>
  <c r="F60" i="1"/>
  <c r="G14" i="12"/>
  <c r="G15" i="12"/>
  <c r="G16" i="12"/>
  <c r="G13" i="12"/>
  <c r="C19" i="12"/>
  <c r="C18" i="12"/>
  <c r="C17" i="12"/>
  <c r="C16" i="12"/>
  <c r="C15" i="12"/>
  <c r="C14" i="12"/>
  <c r="J179" i="1"/>
  <c r="J181" i="1"/>
  <c r="J182" i="1"/>
  <c r="J183" i="1"/>
  <c r="J184" i="1"/>
  <c r="J185" i="1"/>
  <c r="J186" i="1"/>
  <c r="J187" i="1"/>
  <c r="J188" i="1"/>
  <c r="J189" i="1"/>
  <c r="J190" i="1"/>
  <c r="J191" i="1"/>
  <c r="J192" i="1"/>
  <c r="J193" i="1"/>
  <c r="L193" i="1" s="1"/>
  <c r="J194" i="1"/>
  <c r="J196" i="1"/>
  <c r="J197" i="1"/>
  <c r="J198" i="1"/>
  <c r="J199" i="1"/>
  <c r="J200" i="1"/>
  <c r="J201" i="1"/>
  <c r="J202" i="1"/>
  <c r="J203" i="1"/>
  <c r="J204" i="1"/>
  <c r="J205" i="1"/>
  <c r="J206" i="1"/>
  <c r="J207" i="1"/>
  <c r="J208" i="1"/>
  <c r="J209" i="1"/>
  <c r="J210" i="1"/>
  <c r="J178" i="1"/>
  <c r="F41" i="12"/>
  <c r="E160" i="1"/>
  <c r="F193" i="1"/>
  <c r="BG228" i="4"/>
  <c r="Z12" i="18"/>
  <c r="AB57" i="6"/>
  <c r="AC57" i="6" s="1"/>
  <c r="G27" i="4" l="1"/>
  <c r="F262" i="1"/>
  <c r="O262" i="1"/>
  <c r="S262" i="1" s="1"/>
  <c r="X78" i="12"/>
  <c r="O25" i="21" s="1"/>
  <c r="AC64" i="15"/>
  <c r="X27" i="19"/>
  <c r="U22" i="16"/>
  <c r="W21" i="16"/>
  <c r="W22" i="16"/>
  <c r="N9" i="19"/>
  <c r="P9" i="19"/>
  <c r="R9" i="19"/>
  <c r="T9" i="19"/>
  <c r="V9" i="19"/>
  <c r="H79" i="6"/>
  <c r="L79" i="6" s="1"/>
  <c r="B10" i="19"/>
  <c r="D8" i="19" s="1"/>
  <c r="F8" i="19" s="1"/>
  <c r="G495" i="18"/>
  <c r="G98" i="18"/>
  <c r="G122" i="18"/>
  <c r="G521" i="18"/>
  <c r="G553" i="18"/>
  <c r="G24" i="18"/>
  <c r="G56" i="18"/>
  <c r="J481" i="18"/>
  <c r="J484" i="18"/>
  <c r="J486" i="18"/>
  <c r="J461" i="18"/>
  <c r="J76" i="18"/>
  <c r="O556" i="18"/>
  <c r="N516" i="18"/>
  <c r="N517" i="18"/>
  <c r="N518" i="18"/>
  <c r="N519" i="18"/>
  <c r="O519" i="18" s="1"/>
  <c r="N27" i="18"/>
  <c r="N28" i="18"/>
  <c r="N29" i="18"/>
  <c r="N30" i="18"/>
  <c r="N31" i="18"/>
  <c r="N32" i="18"/>
  <c r="N35" i="18"/>
  <c r="N36" i="18"/>
  <c r="N37" i="18"/>
  <c r="N38" i="18"/>
  <c r="N128" i="18"/>
  <c r="O128" i="18" s="1"/>
  <c r="N39" i="18"/>
  <c r="N129" i="18"/>
  <c r="O129" i="18" s="1"/>
  <c r="N40" i="18"/>
  <c r="N41" i="18"/>
  <c r="N42" i="18"/>
  <c r="N43" i="18"/>
  <c r="N462" i="18"/>
  <c r="N44" i="18"/>
  <c r="N45" i="18"/>
  <c r="N130" i="18"/>
  <c r="O130" i="18" s="1"/>
  <c r="N46" i="18"/>
  <c r="N47" i="18"/>
  <c r="N131" i="18"/>
  <c r="N48" i="18"/>
  <c r="N132" i="18"/>
  <c r="N133" i="18"/>
  <c r="N49" i="18"/>
  <c r="N50" i="18"/>
  <c r="N143" i="18"/>
  <c r="O143" i="18" s="1"/>
  <c r="N144" i="18"/>
  <c r="O144" i="18" s="1"/>
  <c r="N51" i="18"/>
  <c r="N134" i="18"/>
  <c r="N135" i="18"/>
  <c r="N136" i="18"/>
  <c r="N137" i="18"/>
  <c r="N138" i="18"/>
  <c r="N52" i="18"/>
  <c r="N139" i="18"/>
  <c r="N140" i="18"/>
  <c r="N141" i="18"/>
  <c r="N142" i="18"/>
  <c r="N53" i="18"/>
  <c r="N145" i="18"/>
  <c r="N58" i="18"/>
  <c r="O58" i="18" s="1"/>
  <c r="N105" i="18"/>
  <c r="O105" i="18" s="1"/>
  <c r="N106" i="18"/>
  <c r="N107" i="18"/>
  <c r="N108" i="18"/>
  <c r="N109" i="18"/>
  <c r="N59" i="18"/>
  <c r="O59" i="18" s="1"/>
  <c r="N60" i="18"/>
  <c r="O60" i="18" s="1"/>
  <c r="N61" i="18"/>
  <c r="O61" i="18" s="1"/>
  <c r="N62" i="18"/>
  <c r="O62" i="18" s="1"/>
  <c r="N63" i="18"/>
  <c r="O63" i="18" s="1"/>
  <c r="N64" i="18"/>
  <c r="O64" i="18" s="1"/>
  <c r="N65" i="18"/>
  <c r="O65" i="18" s="1"/>
  <c r="N66" i="18"/>
  <c r="O66" i="18" s="1"/>
  <c r="N67" i="18"/>
  <c r="O67" i="18" s="1"/>
  <c r="N68" i="18"/>
  <c r="O68" i="18" s="1"/>
  <c r="N69" i="18"/>
  <c r="O69" i="18" s="1"/>
  <c r="N70" i="18"/>
  <c r="O70" i="18" s="1"/>
  <c r="N71" i="18"/>
  <c r="O71" i="18" s="1"/>
  <c r="N72" i="18"/>
  <c r="O72" i="18" s="1"/>
  <c r="N73" i="18"/>
  <c r="O73" i="18" s="1"/>
  <c r="N74" i="18"/>
  <c r="O74" i="18" s="1"/>
  <c r="N75" i="18"/>
  <c r="O75" i="18" s="1"/>
  <c r="N76" i="18"/>
  <c r="N77" i="18"/>
  <c r="N78" i="18"/>
  <c r="N114" i="18"/>
  <c r="N115" i="18"/>
  <c r="O115" i="18" s="1"/>
  <c r="N116" i="18"/>
  <c r="N117" i="18"/>
  <c r="N118" i="18"/>
  <c r="N119" i="18"/>
  <c r="N120" i="18"/>
  <c r="N79" i="18"/>
  <c r="N80" i="18"/>
  <c r="N113" i="18"/>
  <c r="N81" i="18"/>
  <c r="N82" i="18"/>
  <c r="N83" i="18"/>
  <c r="N112" i="18"/>
  <c r="N84" i="18"/>
  <c r="N85" i="18"/>
  <c r="N86" i="18"/>
  <c r="N87" i="18"/>
  <c r="N88" i="18"/>
  <c r="N89" i="18"/>
  <c r="N90" i="18"/>
  <c r="N91" i="18"/>
  <c r="O91" i="18" s="1"/>
  <c r="N92" i="18"/>
  <c r="N93" i="18"/>
  <c r="N94" i="18"/>
  <c r="N111" i="18"/>
  <c r="N95" i="18"/>
  <c r="O95" i="18" s="1"/>
  <c r="N110" i="18"/>
  <c r="N96" i="18"/>
  <c r="N146" i="18"/>
  <c r="O146" i="18" s="1"/>
  <c r="N147" i="18"/>
  <c r="N148" i="18"/>
  <c r="N149" i="18"/>
  <c r="N150" i="18"/>
  <c r="N151" i="18"/>
  <c r="N152" i="18"/>
  <c r="N153" i="18"/>
  <c r="N154" i="18"/>
  <c r="N155" i="18"/>
  <c r="N156" i="18"/>
  <c r="N157" i="18"/>
  <c r="N158" i="18"/>
  <c r="N159" i="18"/>
  <c r="N160"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O214" i="18" s="1"/>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O240" i="18" s="1"/>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O284" i="18" s="1"/>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99" i="18"/>
  <c r="O499" i="18" s="1"/>
  <c r="N500" i="18"/>
  <c r="O500" i="18" s="1"/>
  <c r="N501" i="18"/>
  <c r="O501" i="18" s="1"/>
  <c r="N502" i="18"/>
  <c r="O502" i="18" s="1"/>
  <c r="N503" i="18"/>
  <c r="O503" i="18" s="1"/>
  <c r="N504" i="18"/>
  <c r="O504" i="18" s="1"/>
  <c r="N505" i="18"/>
  <c r="O505" i="18" s="1"/>
  <c r="N506" i="18"/>
  <c r="O506" i="18" s="1"/>
  <c r="N507" i="18"/>
  <c r="O507" i="18" s="1"/>
  <c r="N508" i="18"/>
  <c r="O508" i="18" s="1"/>
  <c r="N509" i="18"/>
  <c r="O509" i="18" s="1"/>
  <c r="N510" i="18"/>
  <c r="O510" i="18" s="1"/>
  <c r="N511" i="18"/>
  <c r="N512" i="18"/>
  <c r="N513" i="18"/>
  <c r="O513" i="18" s="1"/>
  <c r="N514" i="18"/>
  <c r="N524" i="18"/>
  <c r="O524" i="18" s="1"/>
  <c r="N525" i="18"/>
  <c r="O525" i="18" s="1"/>
  <c r="N526" i="18"/>
  <c r="O526" i="18" s="1"/>
  <c r="N527" i="18"/>
  <c r="O527" i="18" s="1"/>
  <c r="N528" i="18"/>
  <c r="O528" i="18" s="1"/>
  <c r="N529" i="18"/>
  <c r="O529" i="18" s="1"/>
  <c r="N530" i="18"/>
  <c r="N531" i="18"/>
  <c r="O531" i="18" s="1"/>
  <c r="N532" i="18"/>
  <c r="O532" i="18" s="1"/>
  <c r="N533" i="18"/>
  <c r="O533" i="18" s="1"/>
  <c r="N534" i="18"/>
  <c r="O534" i="18" s="1"/>
  <c r="N535" i="18"/>
  <c r="O535" i="18" s="1"/>
  <c r="N536" i="18"/>
  <c r="O536" i="18" s="1"/>
  <c r="N537" i="18"/>
  <c r="O537" i="18" s="1"/>
  <c r="N538" i="18"/>
  <c r="O538" i="18" s="1"/>
  <c r="N539" i="18"/>
  <c r="O539" i="18" s="1"/>
  <c r="N540" i="18"/>
  <c r="N541" i="18"/>
  <c r="N542" i="18"/>
  <c r="N543" i="18"/>
  <c r="N544" i="18"/>
  <c r="N545" i="18"/>
  <c r="O545" i="18" s="1"/>
  <c r="N34" i="18"/>
  <c r="N546" i="18"/>
  <c r="O546" i="18" s="1"/>
  <c r="N463" i="18"/>
  <c r="N464" i="18"/>
  <c r="N465" i="18"/>
  <c r="N466" i="18"/>
  <c r="N467" i="18"/>
  <c r="N468" i="18"/>
  <c r="N469" i="18"/>
  <c r="N470" i="18"/>
  <c r="N471" i="18"/>
  <c r="N472" i="18"/>
  <c r="N33" i="18"/>
  <c r="N473" i="18"/>
  <c r="N474" i="18"/>
  <c r="N475" i="18"/>
  <c r="N476" i="18"/>
  <c r="N477" i="18"/>
  <c r="N478" i="18"/>
  <c r="O478" i="18" s="1"/>
  <c r="N479" i="18"/>
  <c r="N480" i="18"/>
  <c r="N481" i="18"/>
  <c r="N482" i="18"/>
  <c r="N483" i="18"/>
  <c r="N484" i="18"/>
  <c r="N485" i="18"/>
  <c r="N486" i="18"/>
  <c r="N487" i="18"/>
  <c r="N488" i="18"/>
  <c r="N489" i="18"/>
  <c r="N490" i="18"/>
  <c r="N491" i="18"/>
  <c r="N492" i="18"/>
  <c r="N493" i="18"/>
  <c r="N547" i="18"/>
  <c r="O547" i="18" s="1"/>
  <c r="N548" i="18"/>
  <c r="O548" i="18" s="1"/>
  <c r="N549" i="18"/>
  <c r="O549" i="18" s="1"/>
  <c r="N550" i="18"/>
  <c r="O550" i="18" s="1"/>
  <c r="N551" i="18"/>
  <c r="O551" i="18" s="1"/>
  <c r="N515" i="18"/>
  <c r="O515" i="18" s="1"/>
  <c r="J516" i="18"/>
  <c r="J517" i="18"/>
  <c r="J518" i="18"/>
  <c r="J27" i="18"/>
  <c r="J28" i="18"/>
  <c r="J29" i="18"/>
  <c r="J30" i="18"/>
  <c r="J31" i="18"/>
  <c r="J32" i="18"/>
  <c r="J35" i="18"/>
  <c r="J36" i="18"/>
  <c r="J37" i="18"/>
  <c r="J38" i="18"/>
  <c r="J39" i="18"/>
  <c r="J40" i="18"/>
  <c r="J41" i="18"/>
  <c r="J42" i="18"/>
  <c r="J43" i="18"/>
  <c r="J462" i="18"/>
  <c r="J44" i="18"/>
  <c r="J45" i="18"/>
  <c r="J46" i="18"/>
  <c r="J47" i="18"/>
  <c r="J131" i="18"/>
  <c r="J48" i="18"/>
  <c r="J132" i="18"/>
  <c r="J133" i="18"/>
  <c r="J49" i="18"/>
  <c r="J50" i="18"/>
  <c r="J51" i="18"/>
  <c r="J134" i="18"/>
  <c r="J135" i="18"/>
  <c r="J136" i="18"/>
  <c r="J137" i="18"/>
  <c r="J138" i="18"/>
  <c r="J52" i="18"/>
  <c r="J139" i="18"/>
  <c r="J140" i="18"/>
  <c r="J141" i="18"/>
  <c r="J142" i="18"/>
  <c r="J53" i="18"/>
  <c r="J145" i="18"/>
  <c r="J106" i="18"/>
  <c r="J107" i="18"/>
  <c r="J108" i="18"/>
  <c r="J109" i="18"/>
  <c r="J77" i="18"/>
  <c r="J78" i="18"/>
  <c r="J114" i="18"/>
  <c r="J116" i="18"/>
  <c r="J117" i="18"/>
  <c r="J118" i="18"/>
  <c r="J119" i="18"/>
  <c r="J120" i="18"/>
  <c r="J79" i="18"/>
  <c r="J80" i="18"/>
  <c r="J113" i="18"/>
  <c r="J81" i="18"/>
  <c r="J82" i="18"/>
  <c r="J83" i="18"/>
  <c r="J112" i="18"/>
  <c r="J84" i="18"/>
  <c r="J85" i="18"/>
  <c r="J86" i="18"/>
  <c r="J87" i="18"/>
  <c r="J88" i="18"/>
  <c r="J89" i="18"/>
  <c r="J90" i="18"/>
  <c r="J92" i="18"/>
  <c r="J93" i="18"/>
  <c r="J94" i="18"/>
  <c r="J111" i="18"/>
  <c r="J110" i="18"/>
  <c r="J9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J207" i="18"/>
  <c r="J208" i="18"/>
  <c r="J209" i="18"/>
  <c r="J210" i="18"/>
  <c r="J211" i="18"/>
  <c r="J212" i="18"/>
  <c r="J213"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J264" i="18"/>
  <c r="J265" i="18"/>
  <c r="J266" i="18"/>
  <c r="J267" i="18"/>
  <c r="J268" i="18"/>
  <c r="J269" i="18"/>
  <c r="J270" i="18"/>
  <c r="J271" i="18"/>
  <c r="J272" i="18"/>
  <c r="J273" i="18"/>
  <c r="J274" i="18"/>
  <c r="J275" i="18"/>
  <c r="J276" i="18"/>
  <c r="J277" i="18"/>
  <c r="J278" i="18"/>
  <c r="J279" i="18"/>
  <c r="J280" i="18"/>
  <c r="J281" i="18"/>
  <c r="J282" i="18"/>
  <c r="J283" i="18"/>
  <c r="J285" i="18"/>
  <c r="J286" i="18"/>
  <c r="J287" i="18"/>
  <c r="J288" i="18"/>
  <c r="J289" i="18"/>
  <c r="J290" i="18"/>
  <c r="J291" i="18"/>
  <c r="J292" i="18"/>
  <c r="J293" i="18"/>
  <c r="J294" i="18"/>
  <c r="O294" i="18" s="1"/>
  <c r="J295" i="18"/>
  <c r="J296" i="18"/>
  <c r="J297" i="18"/>
  <c r="J298" i="18"/>
  <c r="J299" i="18"/>
  <c r="J300" i="18"/>
  <c r="J301" i="18"/>
  <c r="J302" i="18"/>
  <c r="J303" i="18"/>
  <c r="J304" i="18"/>
  <c r="J305" i="18"/>
  <c r="J306" i="18"/>
  <c r="J307" i="18"/>
  <c r="J308" i="18"/>
  <c r="J309" i="18"/>
  <c r="J310" i="18"/>
  <c r="O310" i="18" s="1"/>
  <c r="J311" i="18"/>
  <c r="J312" i="18"/>
  <c r="J313" i="18"/>
  <c r="J314" i="18"/>
  <c r="J315" i="18"/>
  <c r="J316" i="18"/>
  <c r="J317" i="18"/>
  <c r="J318" i="18"/>
  <c r="J319" i="18"/>
  <c r="J320" i="18"/>
  <c r="J321" i="18"/>
  <c r="J322" i="18"/>
  <c r="J323" i="18"/>
  <c r="J324" i="18"/>
  <c r="J325" i="18"/>
  <c r="J326" i="18"/>
  <c r="J327" i="18"/>
  <c r="J328" i="18"/>
  <c r="J329" i="18"/>
  <c r="J330" i="18"/>
  <c r="O330" i="18" s="1"/>
  <c r="J331" i="18"/>
  <c r="J332" i="18"/>
  <c r="J333" i="18"/>
  <c r="J334" i="18"/>
  <c r="J335" i="18"/>
  <c r="J336" i="18"/>
  <c r="J337" i="18"/>
  <c r="J338" i="18"/>
  <c r="J339" i="18"/>
  <c r="J340" i="18"/>
  <c r="J341" i="18"/>
  <c r="J342" i="18"/>
  <c r="J343" i="18"/>
  <c r="J344" i="18"/>
  <c r="J345" i="18"/>
  <c r="J346" i="18"/>
  <c r="J347" i="18"/>
  <c r="J348" i="18"/>
  <c r="J349" i="18"/>
  <c r="J350" i="18"/>
  <c r="J351" i="18"/>
  <c r="J352" i="18"/>
  <c r="J353" i="18"/>
  <c r="J354" i="18"/>
  <c r="J355" i="18"/>
  <c r="J356" i="18"/>
  <c r="J357" i="18"/>
  <c r="J358" i="18"/>
  <c r="J359" i="18"/>
  <c r="J360" i="18"/>
  <c r="J361" i="18"/>
  <c r="J362" i="18"/>
  <c r="J363" i="18"/>
  <c r="J364" i="18"/>
  <c r="J365" i="18"/>
  <c r="J366" i="18"/>
  <c r="J367" i="18"/>
  <c r="J368" i="18"/>
  <c r="J369" i="18"/>
  <c r="J370" i="18"/>
  <c r="J371" i="18"/>
  <c r="J372" i="18"/>
  <c r="J373" i="18"/>
  <c r="J374" i="18"/>
  <c r="O374" i="18" s="1"/>
  <c r="J375" i="18"/>
  <c r="J376" i="18"/>
  <c r="J377" i="18"/>
  <c r="J378" i="18"/>
  <c r="J379" i="18"/>
  <c r="J380" i="18"/>
  <c r="J381" i="18"/>
  <c r="J382" i="18"/>
  <c r="J383" i="18"/>
  <c r="J384" i="18"/>
  <c r="J385" i="18"/>
  <c r="J386" i="18"/>
  <c r="J387" i="18"/>
  <c r="J388" i="18"/>
  <c r="J389" i="18"/>
  <c r="J390" i="18"/>
  <c r="J391" i="18"/>
  <c r="J392" i="18"/>
  <c r="J393" i="18"/>
  <c r="J394" i="18"/>
  <c r="O394" i="18" s="1"/>
  <c r="J395" i="18"/>
  <c r="J396" i="18"/>
  <c r="J397" i="18"/>
  <c r="J398" i="18"/>
  <c r="J399" i="18"/>
  <c r="J400" i="18"/>
  <c r="J401" i="18"/>
  <c r="J402" i="18"/>
  <c r="J403" i="18"/>
  <c r="J404" i="18"/>
  <c r="J405" i="18"/>
  <c r="J406" i="18"/>
  <c r="J407" i="18"/>
  <c r="J408" i="18"/>
  <c r="J409" i="18"/>
  <c r="J410" i="18"/>
  <c r="J411" i="18"/>
  <c r="J412" i="18"/>
  <c r="J413" i="18"/>
  <c r="J414" i="18"/>
  <c r="J415" i="18"/>
  <c r="J416" i="18"/>
  <c r="J417" i="18"/>
  <c r="J418" i="18"/>
  <c r="J419" i="18"/>
  <c r="J420" i="18"/>
  <c r="J421" i="18"/>
  <c r="J422" i="18"/>
  <c r="J423" i="18"/>
  <c r="J424" i="18"/>
  <c r="J425" i="18"/>
  <c r="J426" i="18"/>
  <c r="J427" i="18"/>
  <c r="J428" i="18"/>
  <c r="J429" i="18"/>
  <c r="J430" i="18"/>
  <c r="J431" i="18"/>
  <c r="J432" i="18"/>
  <c r="J433" i="18"/>
  <c r="J434" i="18"/>
  <c r="J435" i="18"/>
  <c r="J436" i="18"/>
  <c r="J437" i="18"/>
  <c r="J438" i="18"/>
  <c r="J439" i="18"/>
  <c r="J440" i="18"/>
  <c r="J441" i="18"/>
  <c r="J442" i="18"/>
  <c r="J443" i="18"/>
  <c r="J444" i="18"/>
  <c r="J445" i="18"/>
  <c r="J446" i="18"/>
  <c r="J447" i="18"/>
  <c r="J448" i="18"/>
  <c r="J449" i="18"/>
  <c r="J450" i="18"/>
  <c r="J451" i="18"/>
  <c r="J452" i="18"/>
  <c r="J453" i="18"/>
  <c r="J454" i="18"/>
  <c r="O454" i="18" s="1"/>
  <c r="J455" i="18"/>
  <c r="J456" i="18"/>
  <c r="J457" i="18"/>
  <c r="J458" i="18"/>
  <c r="J459" i="18"/>
  <c r="J460" i="18"/>
  <c r="J511" i="18"/>
  <c r="J512" i="18"/>
  <c r="J514" i="18"/>
  <c r="J530" i="18"/>
  <c r="L530" i="18" s="1"/>
  <c r="J540" i="18"/>
  <c r="J541" i="18"/>
  <c r="J542" i="18"/>
  <c r="J543" i="18"/>
  <c r="J544" i="18"/>
  <c r="J34" i="18"/>
  <c r="L34" i="18" s="1"/>
  <c r="J463" i="18"/>
  <c r="J464" i="18"/>
  <c r="J465" i="18"/>
  <c r="J466" i="18"/>
  <c r="J467" i="18"/>
  <c r="J468" i="18"/>
  <c r="J469" i="18"/>
  <c r="J470" i="18"/>
  <c r="J471" i="18"/>
  <c r="J472" i="18"/>
  <c r="J33" i="18"/>
  <c r="J473" i="18"/>
  <c r="J474" i="18"/>
  <c r="J475" i="18"/>
  <c r="J476" i="18"/>
  <c r="J477" i="18"/>
  <c r="J479" i="18"/>
  <c r="J480" i="18"/>
  <c r="J482" i="18"/>
  <c r="J483" i="18"/>
  <c r="J485" i="18"/>
  <c r="J487" i="18"/>
  <c r="J488" i="18"/>
  <c r="J489" i="18"/>
  <c r="J490" i="18"/>
  <c r="J491" i="18"/>
  <c r="J492" i="18"/>
  <c r="J493" i="18"/>
  <c r="L551" i="18"/>
  <c r="L22" i="18"/>
  <c r="BC33" i="11"/>
  <c r="BC35" i="11" s="1"/>
  <c r="BG32" i="11"/>
  <c r="BA35" i="11"/>
  <c r="AA35" i="11"/>
  <c r="AC35" i="11"/>
  <c r="AE35" i="11"/>
  <c r="AG35" i="11"/>
  <c r="AI35" i="11"/>
  <c r="AK35" i="11"/>
  <c r="AM35" i="11"/>
  <c r="AO35" i="11"/>
  <c r="AQ35" i="11"/>
  <c r="AS35" i="11"/>
  <c r="AU35" i="11"/>
  <c r="AY35" i="11"/>
  <c r="U17" i="11"/>
  <c r="U23" i="11" a="1"/>
  <c r="U23" i="11" s="1"/>
  <c r="AW35" i="11"/>
  <c r="U41" i="11"/>
  <c r="U40" i="11"/>
  <c r="U39" i="11"/>
  <c r="U49" i="11"/>
  <c r="U21" i="11"/>
  <c r="U63" i="11"/>
  <c r="U67" i="11" s="1"/>
  <c r="U15" i="11"/>
  <c r="N1112" i="13"/>
  <c r="Q283" i="18" l="1"/>
  <c r="O36" i="18"/>
  <c r="R461" i="18"/>
  <c r="J495" i="18"/>
  <c r="G43" i="5"/>
  <c r="K43" i="5" s="1"/>
  <c r="H55" i="6"/>
  <c r="D7" i="19"/>
  <c r="J553" i="18"/>
  <c r="Z9" i="18" s="1"/>
  <c r="J521" i="18"/>
  <c r="Z4" i="18" s="1"/>
  <c r="G558" i="18"/>
  <c r="Z8" i="18"/>
  <c r="J122" i="18"/>
  <c r="Z7" i="18" s="1"/>
  <c r="J98" i="18"/>
  <c r="Z6" i="18" s="1"/>
  <c r="O202" i="18"/>
  <c r="O154" i="18"/>
  <c r="O266" i="18"/>
  <c r="O229" i="18"/>
  <c r="O493" i="18"/>
  <c r="J56" i="18"/>
  <c r="O181" i="18"/>
  <c r="O313" i="18"/>
  <c r="O297" i="18"/>
  <c r="O281" i="18"/>
  <c r="O134" i="18"/>
  <c r="O245" i="18"/>
  <c r="O453" i="18"/>
  <c r="O437" i="18"/>
  <c r="O421" i="18"/>
  <c r="O405" i="18"/>
  <c r="O389" i="18"/>
  <c r="O373" i="18"/>
  <c r="O357" i="18"/>
  <c r="O341" i="18"/>
  <c r="O325" i="18"/>
  <c r="O309" i="18"/>
  <c r="O293" i="18"/>
  <c r="L518" i="18"/>
  <c r="O47" i="18"/>
  <c r="L514" i="18"/>
  <c r="O352" i="18"/>
  <c r="O336" i="18"/>
  <c r="O320" i="18"/>
  <c r="O304" i="18"/>
  <c r="O288" i="18"/>
  <c r="O473" i="18"/>
  <c r="O136" i="18"/>
  <c r="O118" i="18"/>
  <c r="O82" i="18"/>
  <c r="O109" i="18"/>
  <c r="O43" i="18"/>
  <c r="O51" i="18"/>
  <c r="O42" i="18"/>
  <c r="O201" i="18"/>
  <c r="O40" i="18"/>
  <c r="O131" i="18"/>
  <c r="O153" i="18"/>
  <c r="O265" i="18"/>
  <c r="O90" i="18"/>
  <c r="O425" i="18"/>
  <c r="O393" i="18"/>
  <c r="O298" i="18"/>
  <c r="O282" i="18"/>
  <c r="O39" i="18"/>
  <c r="O166" i="18"/>
  <c r="O165" i="18"/>
  <c r="O149" i="18"/>
  <c r="O511" i="18"/>
  <c r="O458" i="18"/>
  <c r="O442" i="18"/>
  <c r="O426" i="18"/>
  <c r="O170" i="18"/>
  <c r="O466" i="18"/>
  <c r="O457" i="18"/>
  <c r="O169" i="18"/>
  <c r="O481" i="18"/>
  <c r="O377" i="18"/>
  <c r="O361" i="18"/>
  <c r="O345" i="18"/>
  <c r="O233" i="18"/>
  <c r="O217" i="18"/>
  <c r="O218" i="18"/>
  <c r="O230" i="18"/>
  <c r="O182" i="18"/>
  <c r="O477" i="18"/>
  <c r="O213" i="18"/>
  <c r="O114" i="18"/>
  <c r="O53" i="18"/>
  <c r="O362" i="18"/>
  <c r="O133" i="18"/>
  <c r="O33" i="18"/>
  <c r="O224" i="18"/>
  <c r="O491" i="18"/>
  <c r="O275" i="18"/>
  <c r="O259" i="18"/>
  <c r="O243" i="18"/>
  <c r="O227" i="18"/>
  <c r="O84" i="18"/>
  <c r="O77" i="18"/>
  <c r="O138" i="18"/>
  <c r="O482" i="18"/>
  <c r="O378" i="18"/>
  <c r="O346" i="18"/>
  <c r="O234" i="18"/>
  <c r="O488" i="18"/>
  <c r="O272" i="18"/>
  <c r="O256" i="18"/>
  <c r="O490" i="18"/>
  <c r="O226" i="18"/>
  <c r="O112" i="18"/>
  <c r="O76" i="18"/>
  <c r="O137" i="18"/>
  <c r="O45" i="18"/>
  <c r="O447" i="18"/>
  <c r="O287" i="18"/>
  <c r="O469" i="18"/>
  <c r="O415" i="18"/>
  <c r="O399" i="18"/>
  <c r="O351" i="18"/>
  <c r="O485" i="18"/>
  <c r="O467" i="18"/>
  <c r="O119" i="18"/>
  <c r="O329" i="18"/>
  <c r="O249" i="18"/>
  <c r="O185" i="18"/>
  <c r="O431" i="18"/>
  <c r="O303" i="18"/>
  <c r="O314" i="18"/>
  <c r="O480" i="18"/>
  <c r="O465" i="18"/>
  <c r="O456" i="18"/>
  <c r="O440" i="18"/>
  <c r="O424" i="18"/>
  <c r="O408" i="18"/>
  <c r="O392" i="18"/>
  <c r="O376" i="18"/>
  <c r="O360" i="18"/>
  <c r="O344" i="18"/>
  <c r="O328" i="18"/>
  <c r="O312" i="18"/>
  <c r="O296" i="18"/>
  <c r="O280" i="18"/>
  <c r="O264" i="18"/>
  <c r="O248" i="18"/>
  <c r="O232" i="18"/>
  <c r="O216" i="18"/>
  <c r="O200" i="18"/>
  <c r="O184" i="18"/>
  <c r="O168" i="18"/>
  <c r="O152" i="18"/>
  <c r="O89" i="18"/>
  <c r="O117" i="18"/>
  <c r="O142" i="18"/>
  <c r="O132" i="18"/>
  <c r="O319" i="18"/>
  <c r="O270" i="18"/>
  <c r="O186" i="18"/>
  <c r="O409" i="18"/>
  <c r="O49" i="18"/>
  <c r="O479" i="18"/>
  <c r="O464" i="18"/>
  <c r="O279" i="18"/>
  <c r="O263" i="18"/>
  <c r="O247" i="18"/>
  <c r="O231" i="18"/>
  <c r="O215" i="18"/>
  <c r="O199" i="18"/>
  <c r="O183" i="18"/>
  <c r="O167" i="18"/>
  <c r="O151" i="18"/>
  <c r="O88" i="18"/>
  <c r="O116" i="18"/>
  <c r="O141" i="18"/>
  <c r="O367" i="18"/>
  <c r="O410" i="18"/>
  <c r="O463" i="18"/>
  <c r="O438" i="18"/>
  <c r="O422" i="18"/>
  <c r="O406" i="18"/>
  <c r="O390" i="18"/>
  <c r="O358" i="18"/>
  <c r="O342" i="18"/>
  <c r="O326" i="18"/>
  <c r="O278" i="18"/>
  <c r="O262" i="18"/>
  <c r="O246" i="18"/>
  <c r="O198" i="18"/>
  <c r="O150" i="18"/>
  <c r="O87" i="18"/>
  <c r="O140" i="18"/>
  <c r="O335" i="18"/>
  <c r="O462" i="18"/>
  <c r="O254" i="18"/>
  <c r="O135" i="18"/>
  <c r="O441" i="18"/>
  <c r="O110" i="18"/>
  <c r="O145" i="18"/>
  <c r="O277" i="18"/>
  <c r="O261" i="18"/>
  <c r="O197" i="18"/>
  <c r="O86" i="18"/>
  <c r="O139" i="18"/>
  <c r="O35" i="18"/>
  <c r="O383" i="18"/>
  <c r="O250" i="18"/>
  <c r="O208" i="18"/>
  <c r="O192" i="18"/>
  <c r="O176" i="18"/>
  <c r="O160" i="18"/>
  <c r="O34" i="18"/>
  <c r="O530" i="18"/>
  <c r="O452" i="18"/>
  <c r="O436" i="18"/>
  <c r="O420" i="18"/>
  <c r="O404" i="18"/>
  <c r="O388" i="18"/>
  <c r="O372" i="18"/>
  <c r="O356" i="18"/>
  <c r="O340" i="18"/>
  <c r="O324" i="18"/>
  <c r="O308" i="18"/>
  <c r="O292" i="18"/>
  <c r="O276" i="18"/>
  <c r="O260" i="18"/>
  <c r="O244" i="18"/>
  <c r="O85" i="18"/>
  <c r="O78" i="18"/>
  <c r="O52" i="18"/>
  <c r="O46" i="18"/>
  <c r="O439" i="18"/>
  <c r="O407" i="18"/>
  <c r="O375" i="18"/>
  <c r="O343" i="18"/>
  <c r="O311" i="18"/>
  <c r="O37" i="18"/>
  <c r="L109" i="18"/>
  <c r="O455" i="18"/>
  <c r="O423" i="18"/>
  <c r="O391" i="18"/>
  <c r="O359" i="18"/>
  <c r="O327" i="18"/>
  <c r="O295" i="18"/>
  <c r="O48" i="18"/>
  <c r="O492" i="18"/>
  <c r="O339" i="18"/>
  <c r="O474" i="18"/>
  <c r="O354" i="18"/>
  <c r="O210" i="18"/>
  <c r="O489" i="18"/>
  <c r="O543" i="18"/>
  <c r="O449" i="18"/>
  <c r="O433" i="18"/>
  <c r="O417" i="18"/>
  <c r="O401" i="18"/>
  <c r="O385" i="18"/>
  <c r="O369" i="18"/>
  <c r="O353" i="18"/>
  <c r="O337" i="18"/>
  <c r="O321" i="18"/>
  <c r="O305" i="18"/>
  <c r="O289" i="18"/>
  <c r="O273" i="18"/>
  <c r="O257" i="18"/>
  <c r="O241" i="18"/>
  <c r="O225" i="18"/>
  <c r="O209" i="18"/>
  <c r="O193" i="18"/>
  <c r="O177" i="18"/>
  <c r="O161" i="18"/>
  <c r="O96" i="18"/>
  <c r="O83" i="18"/>
  <c r="O44" i="18"/>
  <c r="O29" i="18"/>
  <c r="O542" i="18"/>
  <c r="O448" i="18"/>
  <c r="O432" i="18"/>
  <c r="O416" i="18"/>
  <c r="O400" i="18"/>
  <c r="O384" i="18"/>
  <c r="O368" i="18"/>
  <c r="O164" i="18"/>
  <c r="O451" i="18"/>
  <c r="O371" i="18"/>
  <c r="O291" i="18"/>
  <c r="O163" i="18"/>
  <c r="O544" i="18"/>
  <c r="O434" i="18"/>
  <c r="O418" i="18"/>
  <c r="O338" i="18"/>
  <c r="O274" i="18"/>
  <c r="O162" i="18"/>
  <c r="O223" i="18"/>
  <c r="O159" i="18"/>
  <c r="O486" i="18"/>
  <c r="O430" i="18"/>
  <c r="O382" i="18"/>
  <c r="O350" i="18"/>
  <c r="O302" i="18"/>
  <c r="O222" i="18"/>
  <c r="O174" i="18"/>
  <c r="O113" i="18"/>
  <c r="O107" i="18"/>
  <c r="O470" i="18"/>
  <c r="O514" i="18"/>
  <c r="O461" i="18"/>
  <c r="O445" i="18"/>
  <c r="O429" i="18"/>
  <c r="O413" i="18"/>
  <c r="O397" i="18"/>
  <c r="O381" i="18"/>
  <c r="O365" i="18"/>
  <c r="O349" i="18"/>
  <c r="O333" i="18"/>
  <c r="O317" i="18"/>
  <c r="O301" i="18"/>
  <c r="O285" i="18"/>
  <c r="O269" i="18"/>
  <c r="O253" i="18"/>
  <c r="O237" i="18"/>
  <c r="O221" i="18"/>
  <c r="O205" i="18"/>
  <c r="O189" i="18"/>
  <c r="O173" i="18"/>
  <c r="O157" i="18"/>
  <c r="O94" i="18"/>
  <c r="O80" i="18"/>
  <c r="O106" i="18"/>
  <c r="O41" i="18"/>
  <c r="O518" i="18"/>
  <c r="O180" i="18"/>
  <c r="O419" i="18"/>
  <c r="O306" i="18"/>
  <c r="O239" i="18"/>
  <c r="O366" i="18"/>
  <c r="O484" i="18"/>
  <c r="O460" i="18"/>
  <c r="O444" i="18"/>
  <c r="O428" i="18"/>
  <c r="O412" i="18"/>
  <c r="O396" i="18"/>
  <c r="O380" i="18"/>
  <c r="O364" i="18"/>
  <c r="O348" i="18"/>
  <c r="O332" i="18"/>
  <c r="O316" i="18"/>
  <c r="O300" i="18"/>
  <c r="O268" i="18"/>
  <c r="O252" i="18"/>
  <c r="O236" i="18"/>
  <c r="O220" i="18"/>
  <c r="O204" i="18"/>
  <c r="O188" i="18"/>
  <c r="O172" i="18"/>
  <c r="O156" i="18"/>
  <c r="O93" i="18"/>
  <c r="O79" i="18"/>
  <c r="O517" i="18"/>
  <c r="O228" i="18"/>
  <c r="O435" i="18"/>
  <c r="O370" i="18"/>
  <c r="O487" i="18"/>
  <c r="O207" i="18"/>
  <c r="O471" i="18"/>
  <c r="O483" i="18"/>
  <c r="O468" i="18"/>
  <c r="O512" i="18"/>
  <c r="O459" i="18"/>
  <c r="O443" i="18"/>
  <c r="O427" i="18"/>
  <c r="O411" i="18"/>
  <c r="O395" i="18"/>
  <c r="O379" i="18"/>
  <c r="O363" i="18"/>
  <c r="O347" i="18"/>
  <c r="O331" i="18"/>
  <c r="O315" i="18"/>
  <c r="O299" i="18"/>
  <c r="O283" i="18"/>
  <c r="O267" i="18"/>
  <c r="O251" i="18"/>
  <c r="O235" i="18"/>
  <c r="O219" i="18"/>
  <c r="O203" i="18"/>
  <c r="O187" i="18"/>
  <c r="O171" i="18"/>
  <c r="O155" i="18"/>
  <c r="O92" i="18"/>
  <c r="O120" i="18"/>
  <c r="O50" i="18"/>
  <c r="O516" i="18"/>
  <c r="O476" i="18"/>
  <c r="O212" i="18"/>
  <c r="O148" i="18"/>
  <c r="O475" i="18"/>
  <c r="O387" i="18"/>
  <c r="O323" i="18"/>
  <c r="O211" i="18"/>
  <c r="O179" i="18"/>
  <c r="O31" i="18"/>
  <c r="O386" i="18"/>
  <c r="O290" i="18"/>
  <c r="O242" i="18"/>
  <c r="O178" i="18"/>
  <c r="O30" i="18"/>
  <c r="O541" i="18"/>
  <c r="O255" i="18"/>
  <c r="O191" i="18"/>
  <c r="O81" i="18"/>
  <c r="O398" i="18"/>
  <c r="O334" i="18"/>
  <c r="O206" i="18"/>
  <c r="O158" i="18"/>
  <c r="L96" i="18"/>
  <c r="O38" i="18"/>
  <c r="L544" i="18"/>
  <c r="O196" i="18"/>
  <c r="O32" i="18"/>
  <c r="O403" i="18"/>
  <c r="O355" i="18"/>
  <c r="O307" i="18"/>
  <c r="O195" i="18"/>
  <c r="O147" i="18"/>
  <c r="O450" i="18"/>
  <c r="O402" i="18"/>
  <c r="O322" i="18"/>
  <c r="O258" i="18"/>
  <c r="O194" i="18"/>
  <c r="O472" i="18"/>
  <c r="O271" i="18"/>
  <c r="O175" i="18"/>
  <c r="O108" i="18"/>
  <c r="O27" i="18"/>
  <c r="O540" i="18"/>
  <c r="O446" i="18"/>
  <c r="O414" i="18"/>
  <c r="O318" i="18"/>
  <c r="O286" i="18"/>
  <c r="O238" i="18"/>
  <c r="O190" i="18"/>
  <c r="O111" i="18"/>
  <c r="O28" i="18"/>
  <c r="L477" i="18"/>
  <c r="L461" i="18"/>
  <c r="L283" i="18"/>
  <c r="L493" i="18"/>
  <c r="W45" i="11"/>
  <c r="W37" i="11"/>
  <c r="AM37" i="11" s="1"/>
  <c r="U43" i="11"/>
  <c r="U25" i="11"/>
  <c r="U48" i="11" s="1"/>
  <c r="U18" i="11"/>
  <c r="U47" i="11" s="1"/>
  <c r="AD1168" i="13"/>
  <c r="AD1167" i="13"/>
  <c r="AD1166" i="13"/>
  <c r="AD1165" i="13"/>
  <c r="AD1164" i="13"/>
  <c r="AD1163" i="13"/>
  <c r="AD1162" i="13"/>
  <c r="AD1161" i="13"/>
  <c r="AD1160" i="13"/>
  <c r="AD1159" i="13"/>
  <c r="AD1158" i="13"/>
  <c r="AD1157" i="13"/>
  <c r="AB1168" i="13"/>
  <c r="AB1166" i="13"/>
  <c r="AB1165" i="13"/>
  <c r="AB1164" i="13"/>
  <c r="AB1163" i="13"/>
  <c r="AB1162" i="13"/>
  <c r="AB1161" i="13"/>
  <c r="AB1160" i="13"/>
  <c r="AB1159" i="13"/>
  <c r="AB1158" i="13"/>
  <c r="AB1157" i="13"/>
  <c r="Y1158" i="13"/>
  <c r="Y1159" i="13"/>
  <c r="Y1160" i="13"/>
  <c r="Y1161" i="13"/>
  <c r="Y1162" i="13"/>
  <c r="Y1163" i="13"/>
  <c r="Y1164" i="13"/>
  <c r="Y1165" i="13"/>
  <c r="Y1166" i="13"/>
  <c r="Y1168" i="13"/>
  <c r="Y1157" i="13"/>
  <c r="Q16" i="16"/>
  <c r="W18" i="16"/>
  <c r="U1116" i="13"/>
  <c r="W1114" i="13" s="1"/>
  <c r="H7" i="17"/>
  <c r="H9" i="17"/>
  <c r="AC40" i="15"/>
  <c r="AB8" i="18" l="1"/>
  <c r="W1113" i="13"/>
  <c r="AA1113" i="13" s="1"/>
  <c r="H12" i="17"/>
  <c r="D10" i="19"/>
  <c r="F7" i="19"/>
  <c r="L12" i="19" s="1"/>
  <c r="J558" i="18"/>
  <c r="Z5" i="18"/>
  <c r="Z11" i="18" s="1"/>
  <c r="Z14" i="18" s="1"/>
  <c r="G54" i="5" s="1"/>
  <c r="L145" i="18"/>
  <c r="AC45" i="11"/>
  <c r="AM39" i="11"/>
  <c r="AI37" i="11"/>
  <c r="AI39" i="11" s="1"/>
  <c r="AA37" i="11"/>
  <c r="AA39" i="11" s="1"/>
  <c r="AK45" i="11"/>
  <c r="AE45" i="11"/>
  <c r="AG37" i="11"/>
  <c r="AG39" i="11" s="1"/>
  <c r="BA45" i="11"/>
  <c r="BC45" i="11"/>
  <c r="AO45" i="11"/>
  <c r="AO37" i="11"/>
  <c r="AO39" i="11" s="1"/>
  <c r="AM45" i="11"/>
  <c r="AK37" i="11"/>
  <c r="AK39" i="11" s="1"/>
  <c r="AI45" i="11"/>
  <c r="AG45" i="11"/>
  <c r="AE37" i="11"/>
  <c r="AE39" i="11" s="1"/>
  <c r="AC37" i="11"/>
  <c r="AC39" i="11" s="1"/>
  <c r="AA45" i="11"/>
  <c r="U51" i="11"/>
  <c r="AF1168" i="13"/>
  <c r="AD1170" i="13"/>
  <c r="AF1162" i="13"/>
  <c r="AF1164" i="13"/>
  <c r="AF1159" i="13"/>
  <c r="AF1161" i="13"/>
  <c r="AF1160" i="13"/>
  <c r="AF1157" i="13"/>
  <c r="AF1158" i="13"/>
  <c r="Q15" i="16"/>
  <c r="Q12" i="16"/>
  <c r="AA22" i="15"/>
  <c r="U25" i="16"/>
  <c r="S25" i="16"/>
  <c r="M27" i="16"/>
  <c r="W24" i="16"/>
  <c r="W25" i="16" s="1"/>
  <c r="U24" i="16"/>
  <c r="S24" i="16"/>
  <c r="AH44" i="16"/>
  <c r="AF44" i="16"/>
  <c r="AG41" i="16" s="1"/>
  <c r="AG24" i="16"/>
  <c r="AG16" i="16"/>
  <c r="AF17" i="16" s="1"/>
  <c r="Y18" i="16"/>
  <c r="Y16" i="16"/>
  <c r="S14" i="16"/>
  <c r="Y14" i="16" s="1"/>
  <c r="Q13" i="16"/>
  <c r="Y13" i="16" s="1"/>
  <c r="Y12" i="16"/>
  <c r="O11" i="16"/>
  <c r="Y11" i="16" s="1"/>
  <c r="M76" i="15"/>
  <c r="Q76" i="15" s="1"/>
  <c r="J61" i="6"/>
  <c r="H51" i="6"/>
  <c r="D35" i="15"/>
  <c r="M50" i="15" s="1"/>
  <c r="O72" i="15" s="1"/>
  <c r="D34" i="15"/>
  <c r="W19" i="15" s="1"/>
  <c r="H18" i="15"/>
  <c r="L21" i="15" s="1"/>
  <c r="H61" i="6" s="1"/>
  <c r="F18" i="15"/>
  <c r="F21" i="15" s="1"/>
  <c r="R48" i="6"/>
  <c r="R30" i="12"/>
  <c r="V30" i="12" s="1"/>
  <c r="X30" i="12" s="1"/>
  <c r="M14" i="21" s="1"/>
  <c r="L20" i="9"/>
  <c r="T48" i="6" s="1"/>
  <c r="J20" i="9"/>
  <c r="N14" i="9"/>
  <c r="L14" i="9"/>
  <c r="J14" i="9"/>
  <c r="G18" i="9"/>
  <c r="G7" i="9"/>
  <c r="G8" i="9"/>
  <c r="G9" i="9"/>
  <c r="G10" i="9"/>
  <c r="G11" i="9"/>
  <c r="G12" i="9"/>
  <c r="G13" i="9"/>
  <c r="G14" i="9"/>
  <c r="G6" i="9"/>
  <c r="I19" i="20" l="1"/>
  <c r="R28" i="12"/>
  <c r="R29" i="12"/>
  <c r="K19" i="20"/>
  <c r="D16" i="17"/>
  <c r="D3" i="17" s="1"/>
  <c r="W5" i="15"/>
  <c r="AC19" i="15"/>
  <c r="AC22" i="15" s="1"/>
  <c r="AA8" i="15"/>
  <c r="W20" i="15"/>
  <c r="Y5" i="15" s="1"/>
  <c r="D37" i="15"/>
  <c r="F34" i="15" s="1"/>
  <c r="W1116" i="13"/>
  <c r="W27" i="16"/>
  <c r="G40" i="5" s="1"/>
  <c r="K40" i="5" s="1"/>
  <c r="AK47" i="11"/>
  <c r="AK55" i="11" s="1"/>
  <c r="BA47" i="11"/>
  <c r="BA55" i="11" s="1"/>
  <c r="K11" i="11" s="1"/>
  <c r="AG47" i="11"/>
  <c r="AG55" i="11" s="1"/>
  <c r="AE47" i="11"/>
  <c r="AE55" i="11" s="1"/>
  <c r="AI47" i="11"/>
  <c r="AI55" i="11" s="1"/>
  <c r="AM47" i="11"/>
  <c r="AM55" i="11" s="1"/>
  <c r="AO47" i="11"/>
  <c r="AO55" i="11" s="1"/>
  <c r="BC47" i="11"/>
  <c r="AC47" i="11"/>
  <c r="AC55" i="11" s="1"/>
  <c r="Y37" i="11"/>
  <c r="AA47" i="11"/>
  <c r="Y45" i="11"/>
  <c r="Y39" i="11"/>
  <c r="S27" i="16"/>
  <c r="V54" i="6" s="1"/>
  <c r="U27" i="16"/>
  <c r="Z54" i="6" s="1"/>
  <c r="AG25" i="16"/>
  <c r="AG26" i="16" s="1"/>
  <c r="AG42" i="16"/>
  <c r="AH42" i="16" s="1"/>
  <c r="AH41" i="16"/>
  <c r="O15" i="16" s="1"/>
  <c r="AE17" i="16"/>
  <c r="M49" i="15"/>
  <c r="M72" i="15" s="1"/>
  <c r="H23" i="15"/>
  <c r="H27" i="15" s="1"/>
  <c r="H30" i="15" s="1"/>
  <c r="M52" i="15" l="1"/>
  <c r="O49" i="15"/>
  <c r="Q49" i="15" s="1"/>
  <c r="Q54" i="15" s="1"/>
  <c r="Q57" i="15" s="1"/>
  <c r="Q60" i="15" s="1"/>
  <c r="H58" i="6" s="1"/>
  <c r="O50" i="15"/>
  <c r="Q50" i="15" s="1"/>
  <c r="Q65" i="15" s="1"/>
  <c r="Q68" i="15" s="1"/>
  <c r="G46" i="5" s="1"/>
  <c r="F35" i="15"/>
  <c r="H35" i="15" s="1"/>
  <c r="G45" i="5" s="1"/>
  <c r="K46" i="5" s="1"/>
  <c r="R40" i="12"/>
  <c r="V40" i="12" s="1"/>
  <c r="X40" i="12" s="1"/>
  <c r="M16" i="21" s="1"/>
  <c r="M25" i="20"/>
  <c r="Z30" i="12"/>
  <c r="R41" i="12"/>
  <c r="Q25" i="20"/>
  <c r="E19" i="20"/>
  <c r="S19" i="20"/>
  <c r="Y19" i="15"/>
  <c r="AA19" i="15" s="1"/>
  <c r="AE19" i="15" s="1"/>
  <c r="H50" i="6" s="1"/>
  <c r="AA5" i="15"/>
  <c r="Y6" i="15" s="1"/>
  <c r="Y8" i="15" s="1"/>
  <c r="D17" i="17"/>
  <c r="Y20" i="15"/>
  <c r="AA20" i="15" s="1"/>
  <c r="AE20" i="15" s="1"/>
  <c r="G41" i="5" s="1"/>
  <c r="K41" i="5" s="1"/>
  <c r="W22" i="15"/>
  <c r="Q72" i="15"/>
  <c r="O73" i="15" s="1"/>
  <c r="H54" i="6"/>
  <c r="BC55" i="11"/>
  <c r="M11" i="11" s="1"/>
  <c r="Y47" i="11"/>
  <c r="AA55" i="11"/>
  <c r="E11" i="11" s="1"/>
  <c r="Y22" i="16"/>
  <c r="Y15" i="16"/>
  <c r="AG44" i="16"/>
  <c r="H34" i="15"/>
  <c r="F37" i="15" l="1"/>
  <c r="O52" i="15"/>
  <c r="M73" i="15"/>
  <c r="Q73" i="15" s="1"/>
  <c r="Q52" i="15"/>
  <c r="Q75" i="15" s="1"/>
  <c r="Q78" i="15" s="1"/>
  <c r="Q81" i="15" s="1"/>
  <c r="H37" i="15"/>
  <c r="Y22" i="15"/>
  <c r="AE22" i="15"/>
  <c r="W6" i="15"/>
  <c r="F3" i="17"/>
  <c r="H3" i="17" s="1"/>
  <c r="D19" i="17"/>
  <c r="F16" i="17" s="1"/>
  <c r="W55" i="11"/>
  <c r="C11" i="11"/>
  <c r="L9" i="19" s="1"/>
  <c r="H57" i="6"/>
  <c r="L58" i="6" s="1"/>
  <c r="Z58" i="6" s="1"/>
  <c r="M75" i="15" l="1"/>
  <c r="M78" i="15" s="1"/>
  <c r="M81" i="15" s="1"/>
  <c r="O75" i="15"/>
  <c r="O78" i="15" s="1"/>
  <c r="O81" i="15" s="1"/>
  <c r="R10" i="19"/>
  <c r="R12" i="19" s="1"/>
  <c r="V55" i="6" s="1"/>
  <c r="V10" i="19"/>
  <c r="V12" i="19" s="1"/>
  <c r="Z55" i="6" s="1"/>
  <c r="T10" i="19"/>
  <c r="T12" i="19" s="1"/>
  <c r="X55" i="6" s="1"/>
  <c r="N10" i="19"/>
  <c r="P10" i="19"/>
  <c r="P12" i="19" s="1"/>
  <c r="T55" i="6" s="1"/>
  <c r="AA6" i="15"/>
  <c r="W8" i="15"/>
  <c r="AB58" i="6"/>
  <c r="AC58" i="6" s="1"/>
  <c r="Q28" i="20"/>
  <c r="R54" i="12"/>
  <c r="D4" i="17"/>
  <c r="H16" i="17"/>
  <c r="F17" i="17"/>
  <c r="M12" i="11"/>
  <c r="K12" i="11"/>
  <c r="I12" i="11"/>
  <c r="G12" i="11"/>
  <c r="E12" i="11"/>
  <c r="L13" i="9"/>
  <c r="J12" i="9"/>
  <c r="J11" i="9"/>
  <c r="C12" i="11" l="1"/>
  <c r="R46" i="12"/>
  <c r="V46" i="12" s="1"/>
  <c r="X46" i="12" s="1"/>
  <c r="O17" i="21" s="1"/>
  <c r="O26" i="20"/>
  <c r="K26" i="20"/>
  <c r="R44" i="12"/>
  <c r="L10" i="19"/>
  <c r="N12" i="19"/>
  <c r="R55" i="6" s="1"/>
  <c r="R47" i="12"/>
  <c r="Q26" i="20"/>
  <c r="R45" i="12"/>
  <c r="M26" i="20"/>
  <c r="S28" i="20"/>
  <c r="E28" i="20"/>
  <c r="F4" i="17"/>
  <c r="H4" i="17" s="1"/>
  <c r="H17" i="17"/>
  <c r="H19" i="17" s="1"/>
  <c r="D6" i="17"/>
  <c r="D8" i="17"/>
  <c r="D9" i="17"/>
  <c r="D7" i="17"/>
  <c r="D10" i="17"/>
  <c r="F19" i="17"/>
  <c r="L89" i="3"/>
  <c r="J89" i="3"/>
  <c r="H89" i="3"/>
  <c r="L101" i="3"/>
  <c r="L92" i="3"/>
  <c r="L91" i="3"/>
  <c r="D92" i="3"/>
  <c r="D93" i="3"/>
  <c r="D94" i="3"/>
  <c r="D95" i="3"/>
  <c r="D96" i="3"/>
  <c r="D97" i="3"/>
  <c r="D98" i="3"/>
  <c r="D101" i="3"/>
  <c r="D91" i="3"/>
  <c r="A101" i="3"/>
  <c r="BI25" i="3"/>
  <c r="J101" i="3" s="1"/>
  <c r="BK24" i="3"/>
  <c r="L98" i="3" s="1"/>
  <c r="BK23" i="3"/>
  <c r="L97" i="3" s="1"/>
  <c r="BK22" i="3"/>
  <c r="L96" i="3" s="1"/>
  <c r="BK21" i="3"/>
  <c r="L95" i="3" s="1"/>
  <c r="BG20" i="3"/>
  <c r="H94" i="3" s="1"/>
  <c r="BI20" i="3"/>
  <c r="J94" i="3" s="1"/>
  <c r="BK20" i="3"/>
  <c r="L94" i="3" s="1"/>
  <c r="BG21" i="3"/>
  <c r="H95" i="3" s="1"/>
  <c r="BI21" i="3"/>
  <c r="J95" i="3" s="1"/>
  <c r="BG22" i="3"/>
  <c r="H96" i="3" s="1"/>
  <c r="BI22" i="3"/>
  <c r="J96" i="3" s="1"/>
  <c r="BG23" i="3"/>
  <c r="H97" i="3" s="1"/>
  <c r="BI23" i="3"/>
  <c r="J97" i="3" s="1"/>
  <c r="BG24" i="3"/>
  <c r="BI24" i="3"/>
  <c r="BG25" i="3"/>
  <c r="H101" i="3" s="1"/>
  <c r="BK19" i="3"/>
  <c r="L93" i="3" s="1"/>
  <c r="BI19" i="3"/>
  <c r="J93" i="3" s="1"/>
  <c r="BG19" i="3"/>
  <c r="H93" i="3" s="1"/>
  <c r="BI18" i="3"/>
  <c r="J92" i="3" s="1"/>
  <c r="BG18" i="3"/>
  <c r="H92" i="3" s="1"/>
  <c r="BI17" i="3"/>
  <c r="J91" i="3" s="1"/>
  <c r="BE25" i="3"/>
  <c r="F101" i="3" s="1"/>
  <c r="BE18" i="3"/>
  <c r="F92" i="3" s="1"/>
  <c r="BE19" i="3"/>
  <c r="F93" i="3" s="1"/>
  <c r="BE20" i="3"/>
  <c r="F94" i="3" s="1"/>
  <c r="BE21" i="3"/>
  <c r="F95" i="3" s="1"/>
  <c r="BE22" i="3"/>
  <c r="F96" i="3" s="1"/>
  <c r="BE23" i="3"/>
  <c r="F97" i="3" s="1"/>
  <c r="BE24" i="3"/>
  <c r="F98" i="3" s="1"/>
  <c r="BE17" i="3"/>
  <c r="F91" i="3" s="1"/>
  <c r="A92" i="3"/>
  <c r="A93" i="3"/>
  <c r="A94" i="3"/>
  <c r="A95" i="3"/>
  <c r="A96" i="3"/>
  <c r="A97" i="3"/>
  <c r="A91" i="3"/>
  <c r="X86" i="3"/>
  <c r="AB86" i="3" s="1"/>
  <c r="X85" i="3"/>
  <c r="AB85" i="3" s="1"/>
  <c r="X84" i="3"/>
  <c r="AB84" i="3" s="1"/>
  <c r="BG17" i="3"/>
  <c r="BG27" i="3" l="1"/>
  <c r="H91" i="3"/>
  <c r="BI27" i="3"/>
  <c r="BK27" i="3"/>
  <c r="R43" i="12"/>
  <c r="I26" i="20"/>
  <c r="V45" i="12"/>
  <c r="X45" i="12" s="1"/>
  <c r="M17" i="21" s="1"/>
  <c r="X63" i="6"/>
  <c r="D12" i="17"/>
  <c r="F7" i="17"/>
  <c r="N7" i="17" s="1"/>
  <c r="F8" i="17"/>
  <c r="N8" i="17" s="1"/>
  <c r="F10" i="17"/>
  <c r="N10" i="17" s="1"/>
  <c r="F9" i="17"/>
  <c r="N9" i="17" s="1"/>
  <c r="F6" i="17"/>
  <c r="I37" i="5"/>
  <c r="L26" i="6"/>
  <c r="AB39" i="6"/>
  <c r="G30" i="4"/>
  <c r="AS209" i="4"/>
  <c r="L108" i="3" l="1"/>
  <c r="L91" i="6" s="1"/>
  <c r="C19" i="11" s="1"/>
  <c r="S26" i="20"/>
  <c r="E26" i="20"/>
  <c r="Z47" i="12"/>
  <c r="R59" i="12"/>
  <c r="O31" i="20"/>
  <c r="F12" i="17"/>
  <c r="N6" i="17"/>
  <c r="N12" i="17" s="1"/>
  <c r="I6" i="4"/>
  <c r="G6" i="4"/>
  <c r="E4" i="4"/>
  <c r="E3" i="4"/>
  <c r="AE251" i="4"/>
  <c r="V250" i="4"/>
  <c r="AE250" i="4" s="1"/>
  <c r="V234" i="4"/>
  <c r="V236" i="4" s="1"/>
  <c r="V239" i="4" s="1"/>
  <c r="V240" i="4" s="1"/>
  <c r="W240" i="4" s="1"/>
  <c r="X229" i="4" s="1"/>
  <c r="K18" i="4"/>
  <c r="I19" i="4" s="1"/>
  <c r="J18" i="4"/>
  <c r="G19" i="4" s="1"/>
  <c r="G37" i="5"/>
  <c r="K38" i="5" s="1"/>
  <c r="J39" i="8"/>
  <c r="E6" i="4" l="1"/>
  <c r="V59" i="12"/>
  <c r="X59" i="12" s="1"/>
  <c r="O22" i="21" s="1"/>
  <c r="H63" i="6"/>
  <c r="G49" i="5"/>
  <c r="E19" i="4"/>
  <c r="W244" i="4"/>
  <c r="W245" i="4" s="1"/>
  <c r="AE249" i="4" s="1"/>
  <c r="AE253" i="4" s="1"/>
  <c r="W239" i="4"/>
  <c r="X230" i="4" s="1"/>
  <c r="W230" i="4"/>
  <c r="W229" i="4"/>
  <c r="O230" i="4"/>
  <c r="O232" i="4"/>
  <c r="Y214" i="4"/>
  <c r="Z212" i="4" s="1"/>
  <c r="AO7" i="4" l="1"/>
  <c r="AQ7" i="4" s="1"/>
  <c r="AO10" i="4"/>
  <c r="AQ10" i="4" s="1"/>
  <c r="BE10" i="4" s="1"/>
  <c r="BG10" i="4" s="1"/>
  <c r="AO6" i="4"/>
  <c r="AQ6" i="4" s="1"/>
  <c r="BE6" i="4" s="1"/>
  <c r="AK212" i="4"/>
  <c r="I29" i="4"/>
  <c r="I32" i="4" s="1"/>
  <c r="G29" i="5" s="1"/>
  <c r="K29" i="5" s="1"/>
  <c r="AE245" i="4"/>
  <c r="Z211" i="4"/>
  <c r="BE12" i="4" l="1"/>
  <c r="Z53" i="6" s="1"/>
  <c r="Q24" i="20" s="1"/>
  <c r="BG6" i="4"/>
  <c r="G29" i="4"/>
  <c r="G32" i="4" s="1"/>
  <c r="H38" i="6" s="1"/>
  <c r="L38" i="6" s="1"/>
  <c r="E27" i="4"/>
  <c r="Z214" i="4"/>
  <c r="AI212" i="4"/>
  <c r="R162" i="4"/>
  <c r="AG158" i="4"/>
  <c r="AG184" i="4" s="1"/>
  <c r="AC36" i="6"/>
  <c r="AB41" i="6"/>
  <c r="AC41" i="6" s="1"/>
  <c r="AB42" i="6"/>
  <c r="AB48" i="6"/>
  <c r="AB49" i="6"/>
  <c r="AB55" i="6"/>
  <c r="AB64" i="6"/>
  <c r="AC64" i="6" s="1"/>
  <c r="AB69" i="6"/>
  <c r="AB70" i="6"/>
  <c r="AC70" i="6" s="1"/>
  <c r="J45" i="6"/>
  <c r="J46" i="6" s="1"/>
  <c r="D38" i="10"/>
  <c r="D39" i="10"/>
  <c r="U26" i="10"/>
  <c r="Y26" i="10" s="1"/>
  <c r="H45" i="6" s="1"/>
  <c r="L45" i="6" s="1"/>
  <c r="J43" i="6"/>
  <c r="H42" i="6"/>
  <c r="L42" i="6" s="1"/>
  <c r="W26" i="10"/>
  <c r="W25" i="10"/>
  <c r="U25" i="10"/>
  <c r="Y25" i="10" s="1"/>
  <c r="H44" i="6" s="1"/>
  <c r="L44" i="6" s="1"/>
  <c r="O8" i="10"/>
  <c r="O20" i="10" s="1"/>
  <c r="O9" i="10"/>
  <c r="O10" i="10"/>
  <c r="O11" i="10"/>
  <c r="O12" i="10"/>
  <c r="O13" i="10"/>
  <c r="O14" i="10"/>
  <c r="O15" i="10"/>
  <c r="O16" i="10"/>
  <c r="O17" i="10"/>
  <c r="O18" i="10"/>
  <c r="O7" i="10"/>
  <c r="K20" i="10"/>
  <c r="I20" i="10"/>
  <c r="H18" i="13"/>
  <c r="N1160" i="13"/>
  <c r="N1161" i="13"/>
  <c r="N1162" i="13"/>
  <c r="N1159" i="13"/>
  <c r="J6" i="13"/>
  <c r="U6" i="13" s="1"/>
  <c r="L4" i="13"/>
  <c r="AC4" i="13" s="1"/>
  <c r="J1164" i="13"/>
  <c r="A1164" i="13"/>
  <c r="J1153" i="13"/>
  <c r="A1153" i="13"/>
  <c r="N1151" i="13"/>
  <c r="N1150" i="13"/>
  <c r="N1149" i="13"/>
  <c r="N1148" i="13"/>
  <c r="N1147" i="13"/>
  <c r="N1146" i="13"/>
  <c r="N1145" i="13"/>
  <c r="N1144" i="13"/>
  <c r="N1143" i="13"/>
  <c r="N1142" i="13"/>
  <c r="N1141" i="13"/>
  <c r="N1140" i="13"/>
  <c r="N1139" i="13"/>
  <c r="N1138" i="13"/>
  <c r="N1137" i="13"/>
  <c r="N1136" i="13"/>
  <c r="N1135" i="13"/>
  <c r="N1134" i="13"/>
  <c r="N1133" i="13"/>
  <c r="N1132" i="13"/>
  <c r="N1131" i="13"/>
  <c r="N1130" i="13"/>
  <c r="N1129" i="13"/>
  <c r="N1128" i="13"/>
  <c r="N1127" i="13"/>
  <c r="N1126" i="13"/>
  <c r="N1125" i="13"/>
  <c r="N1124" i="13"/>
  <c r="N1123" i="13"/>
  <c r="N1122" i="13"/>
  <c r="J1118" i="13"/>
  <c r="A1118" i="13"/>
  <c r="N1116" i="13"/>
  <c r="N1115" i="13"/>
  <c r="N1114" i="13"/>
  <c r="N1113" i="13"/>
  <c r="N1111" i="13"/>
  <c r="N1110" i="13"/>
  <c r="N1109" i="13"/>
  <c r="N1108" i="13"/>
  <c r="N1107" i="13"/>
  <c r="N1106" i="13"/>
  <c r="N1105" i="13"/>
  <c r="N1104" i="13"/>
  <c r="N1103" i="13"/>
  <c r="J1100" i="13"/>
  <c r="A1100" i="13"/>
  <c r="N1098" i="13"/>
  <c r="N1097" i="13"/>
  <c r="N1096" i="13"/>
  <c r="N1095" i="13"/>
  <c r="N1094" i="13"/>
  <c r="N1093" i="13"/>
  <c r="N1092" i="13"/>
  <c r="N1091" i="13"/>
  <c r="N1090" i="13"/>
  <c r="N1089" i="13"/>
  <c r="N1088" i="13"/>
  <c r="N1087" i="13"/>
  <c r="N1086" i="13"/>
  <c r="N1085" i="13"/>
  <c r="N1084" i="13"/>
  <c r="N1083" i="13"/>
  <c r="N1082" i="13"/>
  <c r="N1081" i="13"/>
  <c r="N1080" i="13"/>
  <c r="N1079" i="13"/>
  <c r="N1078" i="13"/>
  <c r="N1077" i="13"/>
  <c r="N1076" i="13"/>
  <c r="N1075" i="13"/>
  <c r="N1074" i="13"/>
  <c r="N1073" i="13"/>
  <c r="N1072" i="13"/>
  <c r="N1071" i="13"/>
  <c r="N1070" i="13"/>
  <c r="N1069" i="13"/>
  <c r="N1068" i="13"/>
  <c r="N1067" i="13"/>
  <c r="N1066" i="13"/>
  <c r="N1065" i="13"/>
  <c r="N1064" i="13"/>
  <c r="N1063" i="13"/>
  <c r="N1062" i="13"/>
  <c r="N1061" i="13"/>
  <c r="N1060" i="13"/>
  <c r="N1059" i="13"/>
  <c r="N1058" i="13"/>
  <c r="N1057" i="13"/>
  <c r="N1056" i="13"/>
  <c r="N1055" i="13"/>
  <c r="N1054" i="13"/>
  <c r="N1053" i="13"/>
  <c r="N1052" i="13"/>
  <c r="N1051" i="13"/>
  <c r="N1050" i="13"/>
  <c r="N1049" i="13"/>
  <c r="N1048" i="13"/>
  <c r="N1047" i="13"/>
  <c r="N1046" i="13"/>
  <c r="N1045" i="13"/>
  <c r="N1044" i="13"/>
  <c r="N1043" i="13"/>
  <c r="N1042" i="13"/>
  <c r="N1041" i="13"/>
  <c r="N1040" i="13"/>
  <c r="N1039" i="13"/>
  <c r="N1038" i="13"/>
  <c r="N1037" i="13"/>
  <c r="N1036" i="13"/>
  <c r="N1035" i="13"/>
  <c r="N1034" i="13"/>
  <c r="N1033" i="13"/>
  <c r="N1032" i="13"/>
  <c r="N1031" i="13"/>
  <c r="N1030" i="13"/>
  <c r="N1029" i="13"/>
  <c r="N1028" i="13"/>
  <c r="N1027" i="13"/>
  <c r="N1026" i="13"/>
  <c r="N1025" i="13"/>
  <c r="N1024" i="13"/>
  <c r="N1023" i="13"/>
  <c r="N1022" i="13"/>
  <c r="N1021" i="13"/>
  <c r="N1020" i="13"/>
  <c r="N1019" i="13"/>
  <c r="N1018" i="13"/>
  <c r="N1017" i="13"/>
  <c r="N1016" i="13"/>
  <c r="N1015" i="13"/>
  <c r="N1014" i="13"/>
  <c r="N1013" i="13"/>
  <c r="N1012" i="13"/>
  <c r="N1011" i="13"/>
  <c r="N1010" i="13"/>
  <c r="N1009" i="13"/>
  <c r="N1008" i="13"/>
  <c r="N1007" i="13"/>
  <c r="N1006" i="13"/>
  <c r="N1005" i="13"/>
  <c r="N1004" i="13"/>
  <c r="N1003" i="13"/>
  <c r="N1002" i="13"/>
  <c r="N1001" i="13"/>
  <c r="N1000" i="13"/>
  <c r="N999" i="13"/>
  <c r="N998" i="13"/>
  <c r="N997" i="13"/>
  <c r="N996" i="13"/>
  <c r="N995" i="13"/>
  <c r="N994" i="13"/>
  <c r="N993" i="13"/>
  <c r="N992" i="13"/>
  <c r="N991" i="13"/>
  <c r="N990" i="13"/>
  <c r="N989" i="13"/>
  <c r="N988" i="13"/>
  <c r="N987" i="13"/>
  <c r="N986" i="13"/>
  <c r="N985" i="13"/>
  <c r="N984" i="13"/>
  <c r="N983" i="13"/>
  <c r="N982" i="13"/>
  <c r="N981" i="13"/>
  <c r="N980" i="13"/>
  <c r="N979" i="13"/>
  <c r="N978" i="13"/>
  <c r="N977" i="13"/>
  <c r="N976" i="13"/>
  <c r="N975" i="13"/>
  <c r="N974" i="13"/>
  <c r="N973" i="13"/>
  <c r="N972" i="13"/>
  <c r="N971" i="13"/>
  <c r="N970" i="13"/>
  <c r="N969" i="13"/>
  <c r="N968" i="13"/>
  <c r="N967" i="13"/>
  <c r="N966" i="13"/>
  <c r="N965" i="13"/>
  <c r="N964" i="13"/>
  <c r="N963" i="13"/>
  <c r="N962" i="13"/>
  <c r="N961" i="13"/>
  <c r="N960" i="13"/>
  <c r="N959" i="13"/>
  <c r="N958" i="13"/>
  <c r="N957" i="13"/>
  <c r="N956" i="13"/>
  <c r="N955" i="13"/>
  <c r="N954" i="13"/>
  <c r="N953" i="13"/>
  <c r="N952" i="13"/>
  <c r="N951" i="13"/>
  <c r="N950" i="13"/>
  <c r="N949" i="13"/>
  <c r="N948" i="13"/>
  <c r="N947" i="13"/>
  <c r="N946" i="13"/>
  <c r="N945" i="13"/>
  <c r="N944" i="13"/>
  <c r="N943" i="13"/>
  <c r="J936" i="13"/>
  <c r="A936" i="13"/>
  <c r="N934" i="13"/>
  <c r="N933" i="13"/>
  <c r="N932" i="13"/>
  <c r="N931" i="13"/>
  <c r="N930" i="13"/>
  <c r="N929" i="13"/>
  <c r="N928" i="13"/>
  <c r="N927" i="13"/>
  <c r="N926" i="13"/>
  <c r="N925" i="13"/>
  <c r="N924" i="13"/>
  <c r="N923" i="13"/>
  <c r="N922" i="13"/>
  <c r="N921" i="13"/>
  <c r="N920" i="13"/>
  <c r="N919" i="13"/>
  <c r="N918" i="13"/>
  <c r="N917" i="13"/>
  <c r="N916" i="13"/>
  <c r="N915" i="13"/>
  <c r="N914" i="13"/>
  <c r="N913" i="13"/>
  <c r="N912" i="13"/>
  <c r="N911" i="13"/>
  <c r="N910" i="13"/>
  <c r="N909" i="13"/>
  <c r="N908" i="13"/>
  <c r="N907" i="13"/>
  <c r="N906" i="13"/>
  <c r="N905" i="13"/>
  <c r="N904" i="13"/>
  <c r="N903" i="13"/>
  <c r="N902" i="13"/>
  <c r="N901" i="13"/>
  <c r="N900" i="13"/>
  <c r="N899" i="13"/>
  <c r="N898" i="13"/>
  <c r="N897" i="13"/>
  <c r="N896" i="13"/>
  <c r="N895" i="13"/>
  <c r="N894" i="13"/>
  <c r="N893" i="13"/>
  <c r="N892" i="13"/>
  <c r="N891" i="13"/>
  <c r="N890" i="13"/>
  <c r="N889" i="13"/>
  <c r="N888" i="13"/>
  <c r="N887" i="13"/>
  <c r="N886" i="13"/>
  <c r="N885" i="13"/>
  <c r="N884" i="13"/>
  <c r="N883" i="13"/>
  <c r="N882" i="13"/>
  <c r="N881" i="13"/>
  <c r="N880" i="13"/>
  <c r="N879" i="13"/>
  <c r="N878" i="13"/>
  <c r="N877" i="13"/>
  <c r="N876" i="13"/>
  <c r="N875" i="13"/>
  <c r="N874" i="13"/>
  <c r="N873" i="13"/>
  <c r="N872" i="13"/>
  <c r="N871" i="13"/>
  <c r="N870" i="13"/>
  <c r="N869" i="13"/>
  <c r="N868" i="13"/>
  <c r="N867" i="13"/>
  <c r="N866" i="13"/>
  <c r="N865" i="13"/>
  <c r="N864" i="13"/>
  <c r="N863" i="13"/>
  <c r="N862" i="13"/>
  <c r="N861" i="13"/>
  <c r="N860" i="13"/>
  <c r="N859" i="13"/>
  <c r="N858" i="13"/>
  <c r="N857" i="13"/>
  <c r="N856" i="13"/>
  <c r="N855" i="13"/>
  <c r="N854" i="13"/>
  <c r="N853" i="13"/>
  <c r="N852" i="13"/>
  <c r="N851" i="13"/>
  <c r="N850" i="13"/>
  <c r="N849" i="13"/>
  <c r="N848" i="13"/>
  <c r="N847" i="13"/>
  <c r="N846" i="13"/>
  <c r="N845" i="13"/>
  <c r="N844" i="13"/>
  <c r="N843" i="13"/>
  <c r="N842" i="13"/>
  <c r="N841" i="13"/>
  <c r="N840" i="13"/>
  <c r="N839" i="13"/>
  <c r="N838" i="13"/>
  <c r="N837" i="13"/>
  <c r="N836" i="13"/>
  <c r="N835" i="13"/>
  <c r="N834" i="13"/>
  <c r="N833" i="13"/>
  <c r="N832" i="13"/>
  <c r="N831" i="13"/>
  <c r="N830" i="13"/>
  <c r="N829" i="13"/>
  <c r="N828" i="13"/>
  <c r="N827" i="13"/>
  <c r="N826" i="13"/>
  <c r="N825" i="13"/>
  <c r="N824" i="13"/>
  <c r="N823" i="13"/>
  <c r="N822" i="13"/>
  <c r="N821" i="13"/>
  <c r="N820" i="13"/>
  <c r="N819" i="13"/>
  <c r="N818" i="13"/>
  <c r="N817" i="13"/>
  <c r="N816" i="13"/>
  <c r="N815" i="13"/>
  <c r="N814" i="13"/>
  <c r="N813" i="13"/>
  <c r="N812" i="13"/>
  <c r="N811" i="13"/>
  <c r="N810" i="13"/>
  <c r="N809" i="13"/>
  <c r="N808" i="13"/>
  <c r="N807" i="13"/>
  <c r="N806" i="13"/>
  <c r="N805" i="13"/>
  <c r="N804" i="13"/>
  <c r="N803" i="13"/>
  <c r="N802" i="13"/>
  <c r="N801" i="13"/>
  <c r="N800" i="13"/>
  <c r="N799" i="13"/>
  <c r="N798" i="13"/>
  <c r="N797" i="13"/>
  <c r="N796" i="13"/>
  <c r="N795" i="13"/>
  <c r="N794" i="13"/>
  <c r="N793" i="13"/>
  <c r="N792" i="13"/>
  <c r="N791" i="13"/>
  <c r="N790" i="13"/>
  <c r="N789" i="13"/>
  <c r="N788" i="13"/>
  <c r="N787" i="13"/>
  <c r="N786" i="13"/>
  <c r="N785" i="13"/>
  <c r="N784" i="13"/>
  <c r="N783" i="13"/>
  <c r="N782" i="13"/>
  <c r="N781" i="13"/>
  <c r="N780" i="13"/>
  <c r="N779" i="13"/>
  <c r="N778" i="13"/>
  <c r="N777" i="13"/>
  <c r="N776" i="13"/>
  <c r="N775" i="13"/>
  <c r="N774" i="13"/>
  <c r="N773" i="13"/>
  <c r="N772" i="13"/>
  <c r="N771" i="13"/>
  <c r="N770" i="13"/>
  <c r="N769" i="13"/>
  <c r="N768" i="13"/>
  <c r="N767" i="13"/>
  <c r="N766" i="13"/>
  <c r="N765" i="13"/>
  <c r="N764" i="13"/>
  <c r="N763" i="13"/>
  <c r="N762" i="13"/>
  <c r="N761" i="13"/>
  <c r="N760" i="13"/>
  <c r="N759" i="13"/>
  <c r="N758" i="13"/>
  <c r="N757" i="13"/>
  <c r="N756" i="13"/>
  <c r="N755" i="13"/>
  <c r="N754" i="13"/>
  <c r="N753" i="13"/>
  <c r="N752" i="13"/>
  <c r="N751" i="13"/>
  <c r="N750" i="13"/>
  <c r="N749" i="13"/>
  <c r="N748" i="13"/>
  <c r="N747" i="13"/>
  <c r="N746" i="13"/>
  <c r="N745" i="13"/>
  <c r="N744" i="13"/>
  <c r="N743" i="13"/>
  <c r="N742" i="13"/>
  <c r="N741" i="13"/>
  <c r="N740" i="13"/>
  <c r="N739" i="13"/>
  <c r="N738" i="13"/>
  <c r="N737" i="13"/>
  <c r="N736" i="13"/>
  <c r="N735" i="13"/>
  <c r="N734" i="13"/>
  <c r="N733" i="13"/>
  <c r="N732" i="13"/>
  <c r="N731" i="13"/>
  <c r="N730" i="13"/>
  <c r="N729" i="13"/>
  <c r="N728" i="13"/>
  <c r="N727" i="13"/>
  <c r="N726" i="13"/>
  <c r="N725" i="13"/>
  <c r="N724" i="13"/>
  <c r="N723" i="13"/>
  <c r="N722" i="13"/>
  <c r="N721" i="13"/>
  <c r="N720" i="13"/>
  <c r="N719" i="13"/>
  <c r="N718" i="13"/>
  <c r="N717" i="13"/>
  <c r="N716" i="13"/>
  <c r="N715" i="13"/>
  <c r="N714" i="13"/>
  <c r="N713" i="13"/>
  <c r="N712" i="13"/>
  <c r="N711" i="13"/>
  <c r="N710" i="13"/>
  <c r="N709" i="13"/>
  <c r="N708" i="13"/>
  <c r="N707" i="13"/>
  <c r="N706" i="13"/>
  <c r="N705" i="13"/>
  <c r="N704" i="13"/>
  <c r="N703" i="13"/>
  <c r="N702" i="13"/>
  <c r="N701" i="13"/>
  <c r="N700" i="13"/>
  <c r="N699" i="13"/>
  <c r="N698" i="13"/>
  <c r="N697" i="13"/>
  <c r="N696" i="13"/>
  <c r="N695" i="13"/>
  <c r="N694" i="13"/>
  <c r="N693" i="13"/>
  <c r="N692" i="13"/>
  <c r="N691" i="13"/>
  <c r="N690" i="13"/>
  <c r="N689" i="13"/>
  <c r="N688" i="13"/>
  <c r="N687" i="13"/>
  <c r="N686" i="13"/>
  <c r="N685" i="13"/>
  <c r="N684" i="13"/>
  <c r="N683" i="13"/>
  <c r="N682" i="13"/>
  <c r="N681" i="13"/>
  <c r="N680" i="13"/>
  <c r="N679" i="13"/>
  <c r="N678" i="13"/>
  <c r="N677" i="13"/>
  <c r="N676" i="13"/>
  <c r="N675" i="13"/>
  <c r="N674" i="13"/>
  <c r="N673" i="13"/>
  <c r="N672" i="13"/>
  <c r="N671" i="13"/>
  <c r="N670" i="13"/>
  <c r="N669" i="13"/>
  <c r="N668" i="13"/>
  <c r="N667" i="13"/>
  <c r="N666" i="13"/>
  <c r="N665" i="13"/>
  <c r="N664" i="13"/>
  <c r="N663" i="13"/>
  <c r="N662" i="13"/>
  <c r="N661" i="13"/>
  <c r="N660" i="13"/>
  <c r="N659" i="13"/>
  <c r="N658" i="13"/>
  <c r="N657" i="13"/>
  <c r="N656" i="13"/>
  <c r="N655" i="13"/>
  <c r="N654" i="13"/>
  <c r="N653" i="13"/>
  <c r="N652" i="13"/>
  <c r="N651" i="13"/>
  <c r="N650" i="13"/>
  <c r="N649" i="13"/>
  <c r="N648" i="13"/>
  <c r="N647" i="13"/>
  <c r="N646" i="13"/>
  <c r="N645" i="13"/>
  <c r="N644" i="13"/>
  <c r="N643" i="13"/>
  <c r="N642" i="13"/>
  <c r="N641" i="13"/>
  <c r="N640" i="13"/>
  <c r="N639" i="13"/>
  <c r="N638" i="13"/>
  <c r="N637" i="13"/>
  <c r="N636" i="13"/>
  <c r="N635" i="13"/>
  <c r="N634" i="13"/>
  <c r="N633" i="13"/>
  <c r="N632" i="13"/>
  <c r="N631" i="13"/>
  <c r="N630" i="13"/>
  <c r="N629" i="13"/>
  <c r="N628" i="13"/>
  <c r="N627" i="13"/>
  <c r="N626" i="13"/>
  <c r="N625" i="13"/>
  <c r="N624" i="13"/>
  <c r="N623" i="13"/>
  <c r="N622" i="13"/>
  <c r="N621" i="13"/>
  <c r="N620" i="13"/>
  <c r="N619" i="13"/>
  <c r="N618" i="13"/>
  <c r="N617" i="13"/>
  <c r="N616" i="13"/>
  <c r="N615" i="13"/>
  <c r="N614" i="13"/>
  <c r="N613" i="13"/>
  <c r="N612" i="13"/>
  <c r="N611" i="13"/>
  <c r="N610" i="13"/>
  <c r="N609" i="13"/>
  <c r="N608" i="13"/>
  <c r="N607" i="13"/>
  <c r="N606" i="13"/>
  <c r="N605" i="13"/>
  <c r="N604" i="13"/>
  <c r="N603" i="13"/>
  <c r="N602" i="13"/>
  <c r="N601" i="13"/>
  <c r="N600" i="13"/>
  <c r="N599" i="13"/>
  <c r="N598" i="13"/>
  <c r="N597" i="13"/>
  <c r="N596" i="13"/>
  <c r="N595" i="13"/>
  <c r="N594" i="13"/>
  <c r="N593" i="13"/>
  <c r="N592" i="13"/>
  <c r="N591" i="13"/>
  <c r="N590" i="13"/>
  <c r="N589" i="13"/>
  <c r="N588" i="13"/>
  <c r="N587" i="13"/>
  <c r="N586" i="13"/>
  <c r="N585" i="13"/>
  <c r="N584" i="13"/>
  <c r="N583" i="13"/>
  <c r="N582" i="13"/>
  <c r="N581" i="13"/>
  <c r="N580" i="13"/>
  <c r="N579" i="13"/>
  <c r="N578" i="13"/>
  <c r="N577" i="13"/>
  <c r="N576" i="13"/>
  <c r="N575" i="13"/>
  <c r="N574" i="13"/>
  <c r="N573" i="13"/>
  <c r="N572" i="13"/>
  <c r="N571" i="13"/>
  <c r="N570" i="13"/>
  <c r="N569" i="13"/>
  <c r="N568" i="13"/>
  <c r="N567" i="13"/>
  <c r="N566" i="13"/>
  <c r="N565" i="13"/>
  <c r="N564" i="13"/>
  <c r="N563" i="13"/>
  <c r="N562" i="13"/>
  <c r="N561" i="13"/>
  <c r="N560" i="13"/>
  <c r="N559" i="13"/>
  <c r="N558" i="13"/>
  <c r="N557" i="13"/>
  <c r="N556" i="13"/>
  <c r="N555" i="13"/>
  <c r="N554" i="13"/>
  <c r="N553" i="13"/>
  <c r="N552" i="13"/>
  <c r="N551" i="13"/>
  <c r="N550" i="13"/>
  <c r="N549" i="13"/>
  <c r="N548" i="13"/>
  <c r="N547" i="13"/>
  <c r="N546" i="13"/>
  <c r="N545" i="13"/>
  <c r="N544" i="13"/>
  <c r="N543" i="13"/>
  <c r="N542" i="13"/>
  <c r="N541" i="13"/>
  <c r="N540" i="13"/>
  <c r="N539" i="13"/>
  <c r="N538" i="13"/>
  <c r="N537" i="13"/>
  <c r="N536" i="13"/>
  <c r="N535" i="13"/>
  <c r="N534" i="13"/>
  <c r="N533" i="13"/>
  <c r="N532" i="13"/>
  <c r="N531" i="13"/>
  <c r="N530" i="13"/>
  <c r="N529" i="13"/>
  <c r="N528" i="13"/>
  <c r="N527" i="13"/>
  <c r="N526" i="13"/>
  <c r="N525" i="13"/>
  <c r="N524" i="13"/>
  <c r="N523" i="13"/>
  <c r="N522" i="13"/>
  <c r="N521" i="13"/>
  <c r="N520" i="13"/>
  <c r="N519" i="13"/>
  <c r="N518" i="13"/>
  <c r="N517" i="13"/>
  <c r="N516" i="13"/>
  <c r="N515" i="13"/>
  <c r="N514" i="13"/>
  <c r="N513" i="13"/>
  <c r="N512" i="13"/>
  <c r="N511" i="13"/>
  <c r="N510" i="13"/>
  <c r="N509" i="13"/>
  <c r="N508" i="13"/>
  <c r="N507" i="13"/>
  <c r="N506" i="13"/>
  <c r="N505" i="13"/>
  <c r="N504" i="13"/>
  <c r="N503" i="13"/>
  <c r="N502" i="13"/>
  <c r="N501" i="13"/>
  <c r="N500" i="13"/>
  <c r="N499" i="13"/>
  <c r="N498" i="13"/>
  <c r="N497" i="13"/>
  <c r="N496" i="13"/>
  <c r="N495" i="13"/>
  <c r="N494" i="13"/>
  <c r="N493" i="13"/>
  <c r="N492" i="13"/>
  <c r="N491" i="13"/>
  <c r="N490" i="13"/>
  <c r="N489" i="13"/>
  <c r="N488" i="13"/>
  <c r="N487" i="13"/>
  <c r="N486" i="13"/>
  <c r="N485" i="13"/>
  <c r="N484" i="13"/>
  <c r="N483" i="13"/>
  <c r="N482" i="13"/>
  <c r="N481" i="13"/>
  <c r="N480" i="13"/>
  <c r="N479" i="13"/>
  <c r="N478" i="13"/>
  <c r="N477" i="13"/>
  <c r="N476" i="13"/>
  <c r="N475" i="13"/>
  <c r="N474" i="13"/>
  <c r="N473" i="13"/>
  <c r="N472" i="13"/>
  <c r="N471" i="13"/>
  <c r="N470" i="13"/>
  <c r="N469" i="13"/>
  <c r="N468" i="13"/>
  <c r="N467" i="13"/>
  <c r="N466" i="13"/>
  <c r="N465" i="13"/>
  <c r="N464" i="13"/>
  <c r="N463" i="13"/>
  <c r="N462" i="13"/>
  <c r="N461" i="13"/>
  <c r="N460" i="13"/>
  <c r="N459" i="13"/>
  <c r="N458" i="13"/>
  <c r="N457" i="13"/>
  <c r="N456" i="13"/>
  <c r="N455" i="13"/>
  <c r="N454" i="13"/>
  <c r="N453" i="13"/>
  <c r="N452" i="13"/>
  <c r="N451" i="13"/>
  <c r="J439" i="13"/>
  <c r="Q5" i="13" s="1"/>
  <c r="A439" i="13"/>
  <c r="N437" i="13"/>
  <c r="N436" i="13"/>
  <c r="N435" i="13"/>
  <c r="N434" i="13"/>
  <c r="N433" i="13"/>
  <c r="N432" i="13"/>
  <c r="N431" i="13"/>
  <c r="N430" i="13"/>
  <c r="N429" i="13"/>
  <c r="N428" i="13"/>
  <c r="N427" i="13"/>
  <c r="N426" i="13"/>
  <c r="N425" i="13"/>
  <c r="N424" i="13"/>
  <c r="N423" i="13"/>
  <c r="N422" i="13"/>
  <c r="N421" i="13"/>
  <c r="N420" i="13"/>
  <c r="N419" i="13"/>
  <c r="N418" i="13"/>
  <c r="N417" i="13"/>
  <c r="N416" i="13"/>
  <c r="N415" i="13"/>
  <c r="N414" i="13"/>
  <c r="N413" i="13"/>
  <c r="N412" i="13"/>
  <c r="N411" i="13"/>
  <c r="N410" i="13"/>
  <c r="N409" i="13"/>
  <c r="N408" i="13"/>
  <c r="N407" i="13"/>
  <c r="N406" i="13"/>
  <c r="N405" i="13"/>
  <c r="N404" i="13"/>
  <c r="N403" i="13"/>
  <c r="N402" i="13"/>
  <c r="N401" i="13"/>
  <c r="N400" i="13"/>
  <c r="N399" i="13"/>
  <c r="N398" i="13"/>
  <c r="N397" i="13"/>
  <c r="N396" i="13"/>
  <c r="N395" i="13"/>
  <c r="N394" i="13"/>
  <c r="N393" i="13"/>
  <c r="N392" i="13"/>
  <c r="N391" i="13"/>
  <c r="N390" i="13"/>
  <c r="N389" i="13"/>
  <c r="N388" i="13"/>
  <c r="N387" i="13"/>
  <c r="N386" i="13"/>
  <c r="N385" i="13"/>
  <c r="N384" i="13"/>
  <c r="N383" i="13"/>
  <c r="N382" i="13"/>
  <c r="N381" i="13"/>
  <c r="N380" i="13"/>
  <c r="N379" i="13"/>
  <c r="N378" i="13"/>
  <c r="N377" i="13"/>
  <c r="N376" i="13"/>
  <c r="N375" i="13"/>
  <c r="N374" i="13"/>
  <c r="N373" i="13"/>
  <c r="N372" i="13"/>
  <c r="N371" i="13"/>
  <c r="N370" i="13"/>
  <c r="N369" i="13"/>
  <c r="N368" i="13"/>
  <c r="N367" i="13"/>
  <c r="N366" i="13"/>
  <c r="N365" i="13"/>
  <c r="N364" i="13"/>
  <c r="N363" i="13"/>
  <c r="N362" i="13"/>
  <c r="N361" i="13"/>
  <c r="N360" i="13"/>
  <c r="N359" i="13"/>
  <c r="N358" i="13"/>
  <c r="N357" i="13"/>
  <c r="N356" i="13"/>
  <c r="N355" i="13"/>
  <c r="N354" i="13"/>
  <c r="N353" i="13"/>
  <c r="N352" i="13"/>
  <c r="N351" i="13"/>
  <c r="N350" i="13"/>
  <c r="N349" i="13"/>
  <c r="N348" i="13"/>
  <c r="N347" i="13"/>
  <c r="N346" i="13"/>
  <c r="N345" i="13"/>
  <c r="N344" i="13"/>
  <c r="N343" i="13"/>
  <c r="N342" i="13"/>
  <c r="N341" i="13"/>
  <c r="N340" i="13"/>
  <c r="N339" i="13"/>
  <c r="N338" i="13"/>
  <c r="N337" i="13"/>
  <c r="N336" i="13"/>
  <c r="N335" i="13"/>
  <c r="N334" i="13"/>
  <c r="N333" i="13"/>
  <c r="N332" i="13"/>
  <c r="N331" i="13"/>
  <c r="N330" i="13"/>
  <c r="N329" i="13"/>
  <c r="N328" i="13"/>
  <c r="N327" i="13"/>
  <c r="N326" i="13"/>
  <c r="N325" i="13"/>
  <c r="N324" i="13"/>
  <c r="N323" i="13"/>
  <c r="N322" i="13"/>
  <c r="N321" i="13"/>
  <c r="N320" i="13"/>
  <c r="N319" i="13"/>
  <c r="N318" i="13"/>
  <c r="N317" i="13"/>
  <c r="N316" i="13"/>
  <c r="N315" i="13"/>
  <c r="N314" i="13"/>
  <c r="N313" i="13"/>
  <c r="N312" i="13"/>
  <c r="N311" i="13"/>
  <c r="N310" i="13"/>
  <c r="N309" i="13"/>
  <c r="N308" i="13"/>
  <c r="N307" i="13"/>
  <c r="N306" i="13"/>
  <c r="N305" i="13"/>
  <c r="N304" i="13"/>
  <c r="N303" i="13"/>
  <c r="N302" i="13"/>
  <c r="N301" i="13"/>
  <c r="N300" i="13"/>
  <c r="N299" i="13"/>
  <c r="N298" i="13"/>
  <c r="N297" i="13"/>
  <c r="N296" i="13"/>
  <c r="N295" i="13"/>
  <c r="N294" i="13"/>
  <c r="N293" i="13"/>
  <c r="N292" i="13"/>
  <c r="N291" i="13"/>
  <c r="N290" i="13"/>
  <c r="N289" i="13"/>
  <c r="N288" i="13"/>
  <c r="N287" i="13"/>
  <c r="N286" i="13"/>
  <c r="N285" i="13"/>
  <c r="N284" i="13"/>
  <c r="N283" i="13"/>
  <c r="N282" i="13"/>
  <c r="N281" i="13"/>
  <c r="N280" i="13"/>
  <c r="N279" i="13"/>
  <c r="N278" i="13"/>
  <c r="N277" i="13"/>
  <c r="N276" i="13"/>
  <c r="N275" i="13"/>
  <c r="N274" i="13"/>
  <c r="N273" i="13"/>
  <c r="N272" i="13"/>
  <c r="N271" i="13"/>
  <c r="N270" i="13"/>
  <c r="N269" i="13"/>
  <c r="N268" i="13"/>
  <c r="N267" i="13"/>
  <c r="N266" i="13"/>
  <c r="N265" i="13"/>
  <c r="N264" i="13"/>
  <c r="N263" i="13"/>
  <c r="N262" i="13"/>
  <c r="N261" i="13"/>
  <c r="N260" i="13"/>
  <c r="N259" i="13"/>
  <c r="N258" i="13"/>
  <c r="N257" i="13"/>
  <c r="N256" i="13"/>
  <c r="N255" i="13"/>
  <c r="N254" i="13"/>
  <c r="N253" i="13"/>
  <c r="N252" i="13"/>
  <c r="N251" i="13"/>
  <c r="N250" i="13"/>
  <c r="N249" i="13"/>
  <c r="N248" i="13"/>
  <c r="N247" i="13"/>
  <c r="N246" i="13"/>
  <c r="N245" i="13"/>
  <c r="N244" i="13"/>
  <c r="N243" i="13"/>
  <c r="N242" i="13"/>
  <c r="N241" i="13"/>
  <c r="N240" i="13"/>
  <c r="N239" i="13"/>
  <c r="N238" i="13"/>
  <c r="N237" i="13"/>
  <c r="N236" i="13"/>
  <c r="N235" i="13"/>
  <c r="N234" i="13"/>
  <c r="N233" i="13"/>
  <c r="N232" i="13"/>
  <c r="N231" i="13"/>
  <c r="N230" i="13"/>
  <c r="N229" i="13"/>
  <c r="N228" i="13"/>
  <c r="N227" i="13"/>
  <c r="N226" i="13"/>
  <c r="N225" i="13"/>
  <c r="N224" i="13"/>
  <c r="N223" i="13"/>
  <c r="N222" i="13"/>
  <c r="N221" i="13"/>
  <c r="N220" i="13"/>
  <c r="N219" i="13"/>
  <c r="N218" i="13"/>
  <c r="N217" i="13"/>
  <c r="N216" i="13"/>
  <c r="N215" i="13"/>
  <c r="N214" i="13"/>
  <c r="N213" i="13"/>
  <c r="N212" i="13"/>
  <c r="N211" i="13"/>
  <c r="N210" i="13"/>
  <c r="N209" i="13"/>
  <c r="N208" i="13"/>
  <c r="N207" i="13"/>
  <c r="N206" i="13"/>
  <c r="N205" i="13"/>
  <c r="N204" i="13"/>
  <c r="N203" i="13"/>
  <c r="N202" i="13"/>
  <c r="N201" i="13"/>
  <c r="N200" i="13"/>
  <c r="N199" i="13"/>
  <c r="N198" i="13"/>
  <c r="N197" i="13"/>
  <c r="N196" i="13"/>
  <c r="N195" i="13"/>
  <c r="N194" i="13"/>
  <c r="N193" i="13"/>
  <c r="N192" i="13"/>
  <c r="N191" i="13"/>
  <c r="N190" i="13"/>
  <c r="N189" i="13"/>
  <c r="N188" i="13"/>
  <c r="N187" i="13"/>
  <c r="N186" i="13"/>
  <c r="N185" i="13"/>
  <c r="N184" i="13"/>
  <c r="N183" i="13"/>
  <c r="N182" i="13"/>
  <c r="N181" i="13"/>
  <c r="N180" i="13"/>
  <c r="N179" i="13"/>
  <c r="N178" i="13"/>
  <c r="J173" i="13"/>
  <c r="A173" i="13"/>
  <c r="N171" i="13"/>
  <c r="N170" i="13"/>
  <c r="N169" i="13"/>
  <c r="N168" i="13"/>
  <c r="N167" i="13"/>
  <c r="N166" i="13"/>
  <c r="N165" i="13"/>
  <c r="N164" i="13"/>
  <c r="N163" i="13"/>
  <c r="N162" i="13"/>
  <c r="N161" i="13"/>
  <c r="N160" i="13"/>
  <c r="N159" i="13"/>
  <c r="N158" i="13"/>
  <c r="N157" i="13"/>
  <c r="N156" i="13"/>
  <c r="N155" i="13"/>
  <c r="N154" i="13"/>
  <c r="N153" i="13"/>
  <c r="N152" i="13"/>
  <c r="N151" i="13"/>
  <c r="N150" i="13"/>
  <c r="N149" i="13"/>
  <c r="N148" i="13"/>
  <c r="N147" i="13"/>
  <c r="N146" i="13"/>
  <c r="N145" i="13"/>
  <c r="N144" i="13"/>
  <c r="N143" i="13"/>
  <c r="N142" i="13"/>
  <c r="N141" i="13"/>
  <c r="N140" i="13"/>
  <c r="N139" i="13"/>
  <c r="N138" i="13"/>
  <c r="N137" i="13"/>
  <c r="N136" i="13"/>
  <c r="N135" i="13"/>
  <c r="N134" i="13"/>
  <c r="N133" i="13"/>
  <c r="N132" i="13"/>
  <c r="N131" i="13"/>
  <c r="N130" i="13"/>
  <c r="N129" i="13"/>
  <c r="N128" i="13"/>
  <c r="N127" i="13"/>
  <c r="N126" i="13"/>
  <c r="N125" i="13"/>
  <c r="N124" i="13"/>
  <c r="N123" i="13"/>
  <c r="N122" i="13"/>
  <c r="N121" i="13"/>
  <c r="N120" i="13"/>
  <c r="N119" i="13"/>
  <c r="N118" i="13"/>
  <c r="N117" i="13"/>
  <c r="N116" i="13"/>
  <c r="N115" i="13"/>
  <c r="N114" i="13"/>
  <c r="N113" i="13"/>
  <c r="N112" i="13"/>
  <c r="N111" i="13"/>
  <c r="N110" i="13"/>
  <c r="N109" i="13"/>
  <c r="N108" i="13"/>
  <c r="N107" i="13"/>
  <c r="N106" i="13"/>
  <c r="N105" i="13"/>
  <c r="N104" i="13"/>
  <c r="N103" i="13"/>
  <c r="N102" i="13"/>
  <c r="N101" i="13"/>
  <c r="N100" i="13"/>
  <c r="N99" i="13"/>
  <c r="N98" i="13"/>
  <c r="N97" i="13"/>
  <c r="J92" i="13"/>
  <c r="J1167" i="13" s="1"/>
  <c r="A92" i="13"/>
  <c r="N90" i="13"/>
  <c r="N89" i="13"/>
  <c r="N88" i="13"/>
  <c r="N87" i="13"/>
  <c r="N86" i="13"/>
  <c r="N85" i="13"/>
  <c r="N84" i="13"/>
  <c r="N83" i="13"/>
  <c r="N82" i="13"/>
  <c r="N81" i="13"/>
  <c r="N80" i="13"/>
  <c r="N79" i="13"/>
  <c r="N78" i="13"/>
  <c r="N77" i="13"/>
  <c r="N76" i="13"/>
  <c r="N75" i="13"/>
  <c r="N74" i="13"/>
  <c r="N73" i="13"/>
  <c r="N72" i="13"/>
  <c r="N71" i="13"/>
  <c r="N70" i="13"/>
  <c r="N69" i="13"/>
  <c r="N68" i="13"/>
  <c r="N67" i="13"/>
  <c r="N66" i="13"/>
  <c r="N65" i="13"/>
  <c r="N64" i="13"/>
  <c r="N63" i="13"/>
  <c r="N62" i="13"/>
  <c r="N61" i="13"/>
  <c r="N60" i="13"/>
  <c r="N59" i="13"/>
  <c r="N58" i="13"/>
  <c r="N57" i="13"/>
  <c r="N56" i="13"/>
  <c r="N55" i="13"/>
  <c r="N54" i="13"/>
  <c r="N53" i="13"/>
  <c r="N52" i="13"/>
  <c r="N51" i="13"/>
  <c r="N50" i="13"/>
  <c r="N49" i="13"/>
  <c r="N48" i="13"/>
  <c r="N47" i="13"/>
  <c r="N46" i="13"/>
  <c r="N45" i="13"/>
  <c r="N44" i="13"/>
  <c r="N43" i="13"/>
  <c r="N42" i="13"/>
  <c r="N41" i="13"/>
  <c r="N40" i="13"/>
  <c r="N39" i="13"/>
  <c r="N38" i="13"/>
  <c r="N37" i="13"/>
  <c r="N36" i="13"/>
  <c r="N35" i="13"/>
  <c r="N34" i="13"/>
  <c r="N33" i="13"/>
  <c r="N32" i="13"/>
  <c r="N31" i="13"/>
  <c r="N30" i="13"/>
  <c r="N29" i="13"/>
  <c r="N28" i="13"/>
  <c r="N27" i="13"/>
  <c r="A51" i="12"/>
  <c r="N3" i="12"/>
  <c r="AD88" i="12"/>
  <c r="AF12" i="12"/>
  <c r="AB12" i="12"/>
  <c r="AF10" i="12"/>
  <c r="AB10" i="12"/>
  <c r="AF8" i="12"/>
  <c r="AB8" i="12"/>
  <c r="H59" i="12"/>
  <c r="F81" i="12" s="1"/>
  <c r="D86" i="12" s="1"/>
  <c r="E90" i="12" s="1"/>
  <c r="H60" i="12"/>
  <c r="F82" i="12" s="1"/>
  <c r="D87" i="12" s="1"/>
  <c r="E91" i="12" s="1"/>
  <c r="F34" i="12"/>
  <c r="B24" i="12"/>
  <c r="C22" i="12"/>
  <c r="D22" i="12" s="1"/>
  <c r="C21" i="12"/>
  <c r="D21" i="12" s="1"/>
  <c r="D20" i="12"/>
  <c r="D19" i="12"/>
  <c r="D18" i="12"/>
  <c r="D17" i="12"/>
  <c r="D16" i="12"/>
  <c r="D15" i="12"/>
  <c r="D13" i="12"/>
  <c r="C12" i="12"/>
  <c r="C11" i="12"/>
  <c r="C10" i="12"/>
  <c r="T15" i="9"/>
  <c r="T17" i="9"/>
  <c r="L18" i="9"/>
  <c r="T18" i="9" s="1"/>
  <c r="G42" i="12" l="1"/>
  <c r="H55" i="12" s="1"/>
  <c r="F46" i="12"/>
  <c r="G46" i="12" s="1"/>
  <c r="C24" i="12"/>
  <c r="Q8" i="13"/>
  <c r="W8" i="13" s="1"/>
  <c r="AD8" i="13" s="1"/>
  <c r="S5" i="13"/>
  <c r="N1118" i="13"/>
  <c r="Y1116" i="13" s="1"/>
  <c r="Y1113" i="13" s="1"/>
  <c r="AC42" i="6"/>
  <c r="R44" i="6"/>
  <c r="T45" i="6"/>
  <c r="N1164" i="13"/>
  <c r="J15" i="13" s="1"/>
  <c r="N92" i="13"/>
  <c r="N173" i="13"/>
  <c r="N1153" i="13"/>
  <c r="N439" i="13"/>
  <c r="N936" i="13"/>
  <c r="Y10" i="13" s="1"/>
  <c r="N1100" i="13"/>
  <c r="H90" i="12"/>
  <c r="T12" i="12" s="1"/>
  <c r="T18" i="12" s="1"/>
  <c r="T24" i="12" s="1"/>
  <c r="T36" i="12" s="1"/>
  <c r="T41" i="12" s="1"/>
  <c r="D10" i="12"/>
  <c r="D14" i="12"/>
  <c r="F24" i="12"/>
  <c r="D11" i="12"/>
  <c r="D12" i="12"/>
  <c r="E10" i="9"/>
  <c r="J8" i="9"/>
  <c r="T8" i="9" s="1"/>
  <c r="T11" i="9"/>
  <c r="T12" i="9"/>
  <c r="T13" i="9"/>
  <c r="T14" i="9"/>
  <c r="F28" i="9"/>
  <c r="F29" i="9" s="1"/>
  <c r="L18" i="13" l="1"/>
  <c r="T53" i="12"/>
  <c r="T47" i="12"/>
  <c r="V47" i="12" s="1"/>
  <c r="X47" i="12" s="1"/>
  <c r="Q17" i="21" s="1"/>
  <c r="V41" i="12"/>
  <c r="X41" i="12" s="1"/>
  <c r="Q16" i="21" s="1"/>
  <c r="AB44" i="6"/>
  <c r="I15" i="20"/>
  <c r="R22" i="12"/>
  <c r="AB45" i="6"/>
  <c r="AC45" i="6" s="1"/>
  <c r="K16" i="20"/>
  <c r="R23" i="12"/>
  <c r="F74" i="12"/>
  <c r="H56" i="12"/>
  <c r="J11" i="13"/>
  <c r="W11" i="13"/>
  <c r="J7" i="13"/>
  <c r="W7" i="13"/>
  <c r="J5" i="13"/>
  <c r="AC1113" i="13"/>
  <c r="J10" i="13"/>
  <c r="J13" i="13"/>
  <c r="J8" i="13"/>
  <c r="Q9" i="13"/>
  <c r="Q11" i="13" s="1"/>
  <c r="H71" i="6" s="1"/>
  <c r="L116" i="6" s="1"/>
  <c r="Y1114" i="13"/>
  <c r="E29" i="9"/>
  <c r="A29" i="9"/>
  <c r="C29" i="9"/>
  <c r="D24" i="12"/>
  <c r="H58" i="12" s="1"/>
  <c r="E67" i="12" s="1"/>
  <c r="G24" i="12"/>
  <c r="H57" i="12" s="1"/>
  <c r="D70" i="12"/>
  <c r="J48" i="6"/>
  <c r="J47" i="6"/>
  <c r="W27" i="10"/>
  <c r="W28" i="10"/>
  <c r="T35" i="10"/>
  <c r="U28" i="10"/>
  <c r="U27" i="10"/>
  <c r="I34" i="5"/>
  <c r="H49" i="6"/>
  <c r="K42" i="10"/>
  <c r="M40" i="10" s="1"/>
  <c r="AM146" i="4"/>
  <c r="AM149" i="4" s="1"/>
  <c r="AM152" i="4" s="1"/>
  <c r="AI146" i="4"/>
  <c r="AI149" i="4" s="1"/>
  <c r="AG146" i="4"/>
  <c r="Q18" i="13" l="1"/>
  <c r="W5" i="13"/>
  <c r="AD5" i="13" s="1"/>
  <c r="T55" i="12"/>
  <c r="T60" i="12" s="1"/>
  <c r="T79" i="12" s="1"/>
  <c r="T85" i="12" s="1"/>
  <c r="T94" i="12" s="1"/>
  <c r="T54" i="12"/>
  <c r="V54" i="12" s="1"/>
  <c r="X54" i="12" s="1"/>
  <c r="Q19" i="21" s="1"/>
  <c r="E19" i="21" s="1"/>
  <c r="AC44" i="6"/>
  <c r="S15" i="20"/>
  <c r="E15" i="20"/>
  <c r="S16" i="20"/>
  <c r="E16" i="20"/>
  <c r="F64" i="12"/>
  <c r="H63" i="12"/>
  <c r="D82" i="12" s="1"/>
  <c r="H72" i="6"/>
  <c r="G55" i="5"/>
  <c r="K55" i="5" s="1"/>
  <c r="J12" i="13"/>
  <c r="J18" i="13"/>
  <c r="H70" i="6" s="1"/>
  <c r="L72" i="6" s="1"/>
  <c r="L6" i="9"/>
  <c r="L10" i="9"/>
  <c r="L9" i="9"/>
  <c r="L7" i="9"/>
  <c r="J10" i="9"/>
  <c r="J7" i="9"/>
  <c r="J6" i="9"/>
  <c r="J9" i="9"/>
  <c r="N9" i="9"/>
  <c r="T9" i="9" s="1"/>
  <c r="N6" i="9"/>
  <c r="N10" i="9"/>
  <c r="N7" i="9"/>
  <c r="AG149" i="4"/>
  <c r="AG152" i="4" s="1"/>
  <c r="Y28" i="10"/>
  <c r="H47" i="6" s="1"/>
  <c r="Y27" i="10"/>
  <c r="H46" i="6" s="1"/>
  <c r="H66" i="12"/>
  <c r="E66" i="12"/>
  <c r="M39" i="10"/>
  <c r="M42" i="10" s="1"/>
  <c r="L60" i="5"/>
  <c r="M77" i="6"/>
  <c r="M78" i="6" s="1"/>
  <c r="AM174" i="4"/>
  <c r="AI200" i="4" s="1"/>
  <c r="AM172" i="4"/>
  <c r="AI199" i="4" s="1"/>
  <c r="AM167" i="4"/>
  <c r="AI193" i="4" s="1"/>
  <c r="AM169" i="4"/>
  <c r="AI195" i="4" s="1"/>
  <c r="AK195" i="4" s="1"/>
  <c r="AQ201" i="4" s="1"/>
  <c r="AM168" i="4"/>
  <c r="AI194" i="4" s="1"/>
  <c r="AM164" i="4"/>
  <c r="AI190" i="4" s="1"/>
  <c r="AM173" i="4"/>
  <c r="AI198" i="4" s="1"/>
  <c r="AM163" i="4"/>
  <c r="AI189" i="4" s="1"/>
  <c r="AM162" i="4"/>
  <c r="AI188" i="4" s="1"/>
  <c r="AM161" i="4"/>
  <c r="AI187" i="4" s="1"/>
  <c r="AM159" i="4"/>
  <c r="AI185" i="4" s="1"/>
  <c r="AM158" i="4"/>
  <c r="AI184" i="4" s="1"/>
  <c r="AK184" i="4" s="1"/>
  <c r="AQ184" i="4" s="1"/>
  <c r="AM156" i="4"/>
  <c r="AI182" i="4" s="1"/>
  <c r="AG174" i="4"/>
  <c r="AG200" i="4" s="1"/>
  <c r="AG172" i="4"/>
  <c r="AG199" i="4" s="1"/>
  <c r="AG167" i="4"/>
  <c r="AG193" i="4" s="1"/>
  <c r="AG169" i="4"/>
  <c r="AG195" i="4" s="1"/>
  <c r="AG168" i="4"/>
  <c r="AG194" i="4" s="1"/>
  <c r="AG164" i="4"/>
  <c r="AG190" i="4" s="1"/>
  <c r="AG173" i="4"/>
  <c r="AG198" i="4" s="1"/>
  <c r="AG163" i="4"/>
  <c r="AG189" i="4" s="1"/>
  <c r="AG162" i="4"/>
  <c r="AG188" i="4" s="1"/>
  <c r="AG161" i="4"/>
  <c r="AG187" i="4" s="1"/>
  <c r="AG159" i="4"/>
  <c r="AG185" i="4" s="1"/>
  <c r="AG156" i="4"/>
  <c r="AG182" i="4" s="1"/>
  <c r="AO146" i="4"/>
  <c r="AO149" i="4" s="1"/>
  <c r="AP46" i="4"/>
  <c r="AV46" i="4" s="1"/>
  <c r="AP47" i="4"/>
  <c r="AV47" i="4" s="1"/>
  <c r="AP48" i="4"/>
  <c r="AV48" i="4" s="1"/>
  <c r="AP49" i="4"/>
  <c r="AV49" i="4" s="1"/>
  <c r="AP50" i="4"/>
  <c r="AV50" i="4" s="1"/>
  <c r="AP51" i="4"/>
  <c r="AV51" i="4" s="1"/>
  <c r="AP52" i="4"/>
  <c r="AV52" i="4" s="1"/>
  <c r="AP53" i="4"/>
  <c r="AV53" i="4" s="1"/>
  <c r="AP54" i="4"/>
  <c r="AV54" i="4" s="1"/>
  <c r="AP55" i="4"/>
  <c r="AV55" i="4" s="1"/>
  <c r="AP56" i="4"/>
  <c r="AV56" i="4" s="1"/>
  <c r="AP57" i="4"/>
  <c r="AV57" i="4" s="1"/>
  <c r="AP58" i="4"/>
  <c r="AV58" i="4" s="1"/>
  <c r="AP59" i="4"/>
  <c r="AV59" i="4" s="1"/>
  <c r="AP60" i="4"/>
  <c r="AV60" i="4" s="1"/>
  <c r="AP61" i="4"/>
  <c r="AV61" i="4" s="1"/>
  <c r="AP62" i="4"/>
  <c r="AV62" i="4" s="1"/>
  <c r="AP63" i="4"/>
  <c r="AV63" i="4" s="1"/>
  <c r="AP64" i="4"/>
  <c r="AV64" i="4" s="1"/>
  <c r="AP65" i="4"/>
  <c r="AV65" i="4" s="1"/>
  <c r="AP66" i="4"/>
  <c r="AV66" i="4" s="1"/>
  <c r="AP67" i="4"/>
  <c r="AV67" i="4" s="1"/>
  <c r="AP68" i="4"/>
  <c r="AV68" i="4" s="1"/>
  <c r="AP69" i="4"/>
  <c r="AV69" i="4" s="1"/>
  <c r="AP70" i="4"/>
  <c r="AV70" i="4" s="1"/>
  <c r="AP71" i="4"/>
  <c r="AV71" i="4" s="1"/>
  <c r="AP72" i="4"/>
  <c r="AV72" i="4" s="1"/>
  <c r="AP73" i="4"/>
  <c r="AV73" i="4" s="1"/>
  <c r="AP74" i="4"/>
  <c r="AV74" i="4" s="1"/>
  <c r="AP75" i="4"/>
  <c r="AP76" i="4"/>
  <c r="AV76" i="4" s="1"/>
  <c r="AP77" i="4"/>
  <c r="AV77" i="4" s="1"/>
  <c r="AP78" i="4"/>
  <c r="AV78" i="4" s="1"/>
  <c r="AP79" i="4"/>
  <c r="AV79" i="4" s="1"/>
  <c r="AP80" i="4"/>
  <c r="AV80" i="4" s="1"/>
  <c r="AP81" i="4"/>
  <c r="AV81" i="4" s="1"/>
  <c r="AP82" i="4"/>
  <c r="AV82" i="4" s="1"/>
  <c r="AP83" i="4"/>
  <c r="AV83" i="4" s="1"/>
  <c r="AP84" i="4"/>
  <c r="AV84" i="4" s="1"/>
  <c r="AP85" i="4"/>
  <c r="AV85" i="4" s="1"/>
  <c r="AP86" i="4"/>
  <c r="AV86" i="4" s="1"/>
  <c r="AP87" i="4"/>
  <c r="AV87" i="4" s="1"/>
  <c r="AP88" i="4"/>
  <c r="AV88" i="4" s="1"/>
  <c r="AP89" i="4"/>
  <c r="AV89" i="4" s="1"/>
  <c r="AP90" i="4"/>
  <c r="AV90" i="4" s="1"/>
  <c r="AP91" i="4"/>
  <c r="AV91" i="4" s="1"/>
  <c r="AP92" i="4"/>
  <c r="AV92" i="4" s="1"/>
  <c r="AP93" i="4"/>
  <c r="AV93" i="4" s="1"/>
  <c r="AP94" i="4"/>
  <c r="AP95" i="4"/>
  <c r="AV95" i="4" s="1"/>
  <c r="AP96" i="4"/>
  <c r="AV96" i="4" s="1"/>
  <c r="AP97" i="4"/>
  <c r="AV97" i="4" s="1"/>
  <c r="AP98" i="4"/>
  <c r="AV98" i="4" s="1"/>
  <c r="AP99" i="4"/>
  <c r="AV99" i="4" s="1"/>
  <c r="AP100" i="4"/>
  <c r="AV100" i="4" s="1"/>
  <c r="AP101" i="4"/>
  <c r="AV101" i="4" s="1"/>
  <c r="AP102" i="4"/>
  <c r="AV102" i="4" s="1"/>
  <c r="AP103" i="4"/>
  <c r="AV103" i="4" s="1"/>
  <c r="AP104" i="4"/>
  <c r="AP105" i="4"/>
  <c r="AV105" i="4" s="1"/>
  <c r="AP106" i="4"/>
  <c r="AV106" i="4" s="1"/>
  <c r="AP107" i="4"/>
  <c r="AV107" i="4" s="1"/>
  <c r="AP108" i="4"/>
  <c r="AV108" i="4" s="1"/>
  <c r="AP109" i="4"/>
  <c r="AV109" i="4" s="1"/>
  <c r="AP110" i="4"/>
  <c r="AP111" i="4"/>
  <c r="AV111" i="4" s="1"/>
  <c r="AP112" i="4"/>
  <c r="AV112" i="4" s="1"/>
  <c r="AP113" i="4"/>
  <c r="AV113" i="4" s="1"/>
  <c r="AP114" i="4"/>
  <c r="AV114" i="4" s="1"/>
  <c r="AP115" i="4"/>
  <c r="AV115" i="4" s="1"/>
  <c r="AP116" i="4"/>
  <c r="AV116" i="4" s="1"/>
  <c r="AP117" i="4"/>
  <c r="AV117" i="4" s="1"/>
  <c r="AP118" i="4"/>
  <c r="AV118" i="4" s="1"/>
  <c r="AP119" i="4"/>
  <c r="AV119" i="4" s="1"/>
  <c r="AP120" i="4"/>
  <c r="AV120" i="4" s="1"/>
  <c r="AP121" i="4"/>
  <c r="AV121" i="4" s="1"/>
  <c r="AP122" i="4"/>
  <c r="AV122" i="4" s="1"/>
  <c r="AP123" i="4"/>
  <c r="AV123" i="4" s="1"/>
  <c r="AP124" i="4"/>
  <c r="AV124" i="4" s="1"/>
  <c r="AP125" i="4"/>
  <c r="AP161" i="4" s="1"/>
  <c r="AP126" i="4"/>
  <c r="AV126" i="4" s="1"/>
  <c r="AP127" i="4"/>
  <c r="AV127" i="4" s="1"/>
  <c r="AP128" i="4"/>
  <c r="AV128" i="4" s="1"/>
  <c r="AP129" i="4"/>
  <c r="AV129" i="4" s="1"/>
  <c r="AP130" i="4"/>
  <c r="AV130" i="4" s="1"/>
  <c r="AP131" i="4"/>
  <c r="AV131" i="4" s="1"/>
  <c r="AP132" i="4"/>
  <c r="AV132" i="4" s="1"/>
  <c r="AP133" i="4"/>
  <c r="AV133" i="4" s="1"/>
  <c r="AP134" i="4"/>
  <c r="AV134" i="4" s="1"/>
  <c r="AP135" i="4"/>
  <c r="AV135" i="4" s="1"/>
  <c r="AP136" i="4"/>
  <c r="AV136" i="4" s="1"/>
  <c r="AP137" i="4"/>
  <c r="AV137" i="4" s="1"/>
  <c r="AP138" i="4"/>
  <c r="AV138" i="4" s="1"/>
  <c r="AP139" i="4"/>
  <c r="AV139" i="4" s="1"/>
  <c r="AP140" i="4"/>
  <c r="AV140" i="4" s="1"/>
  <c r="AP141" i="4"/>
  <c r="AV141" i="4" s="1"/>
  <c r="AP142" i="4"/>
  <c r="AV142" i="4" s="1"/>
  <c r="AP143" i="4"/>
  <c r="AV143" i="4" s="1"/>
  <c r="AP144" i="4"/>
  <c r="AV144" i="4" s="1"/>
  <c r="AP45" i="4"/>
  <c r="AK46" i="4"/>
  <c r="AS46" i="4" s="1"/>
  <c r="AK47" i="4"/>
  <c r="AS47" i="4" s="1"/>
  <c r="AK48" i="4"/>
  <c r="AS48" i="4" s="1"/>
  <c r="AK49" i="4"/>
  <c r="AS49" i="4" s="1"/>
  <c r="AK50" i="4"/>
  <c r="AS50" i="4" s="1"/>
  <c r="AK51" i="4"/>
  <c r="AS51" i="4" s="1"/>
  <c r="AK52" i="4"/>
  <c r="AS52" i="4" s="1"/>
  <c r="AK53" i="4"/>
  <c r="AS53" i="4" s="1"/>
  <c r="AK54" i="4"/>
  <c r="AS54" i="4" s="1"/>
  <c r="AK55" i="4"/>
  <c r="AS55" i="4" s="1"/>
  <c r="AK56" i="4"/>
  <c r="AS56" i="4" s="1"/>
  <c r="AK57" i="4"/>
  <c r="AK58" i="4"/>
  <c r="AS58" i="4" s="1"/>
  <c r="AK59" i="4"/>
  <c r="AS59" i="4" s="1"/>
  <c r="AK60" i="4"/>
  <c r="AS60" i="4" s="1"/>
  <c r="AK61" i="4"/>
  <c r="AS61" i="4" s="1"/>
  <c r="AK62" i="4"/>
  <c r="AS62" i="4" s="1"/>
  <c r="AK63" i="4"/>
  <c r="AS63" i="4" s="1"/>
  <c r="AK64" i="4"/>
  <c r="AS64" i="4" s="1"/>
  <c r="AK65" i="4"/>
  <c r="AS65" i="4" s="1"/>
  <c r="AK66" i="4"/>
  <c r="AS66" i="4" s="1"/>
  <c r="AK67" i="4"/>
  <c r="AS67" i="4" s="1"/>
  <c r="AK68" i="4"/>
  <c r="AS68" i="4" s="1"/>
  <c r="AK69" i="4"/>
  <c r="AS69" i="4" s="1"/>
  <c r="AK70" i="4"/>
  <c r="AS70" i="4" s="1"/>
  <c r="AK71" i="4"/>
  <c r="AS71" i="4" s="1"/>
  <c r="AK72" i="4"/>
  <c r="AS72" i="4" s="1"/>
  <c r="AK73" i="4"/>
  <c r="AS73" i="4" s="1"/>
  <c r="AK74" i="4"/>
  <c r="AK75" i="4"/>
  <c r="AS75" i="4" s="1"/>
  <c r="AK76" i="4"/>
  <c r="AS76" i="4" s="1"/>
  <c r="AK77" i="4"/>
  <c r="AS77" i="4" s="1"/>
  <c r="AK78" i="4"/>
  <c r="AS78" i="4" s="1"/>
  <c r="AK79" i="4"/>
  <c r="AS79" i="4" s="1"/>
  <c r="AK80" i="4"/>
  <c r="AS80" i="4" s="1"/>
  <c r="AK81" i="4"/>
  <c r="AS81" i="4" s="1"/>
  <c r="AK82" i="4"/>
  <c r="AS82" i="4" s="1"/>
  <c r="AK83" i="4"/>
  <c r="AS83" i="4" s="1"/>
  <c r="AK84" i="4"/>
  <c r="AS84" i="4" s="1"/>
  <c r="AK85" i="4"/>
  <c r="AS85" i="4" s="1"/>
  <c r="AK86" i="4"/>
  <c r="AS86" i="4" s="1"/>
  <c r="AK87" i="4"/>
  <c r="AS87" i="4" s="1"/>
  <c r="AK88" i="4"/>
  <c r="AK89" i="4"/>
  <c r="AS89" i="4" s="1"/>
  <c r="AK90" i="4"/>
  <c r="AS90" i="4" s="1"/>
  <c r="AK91" i="4"/>
  <c r="AS91" i="4" s="1"/>
  <c r="AK92" i="4"/>
  <c r="AS92" i="4" s="1"/>
  <c r="AK93" i="4"/>
  <c r="AS93" i="4" s="1"/>
  <c r="AK94" i="4"/>
  <c r="AS94" i="4" s="1"/>
  <c r="AK95" i="4"/>
  <c r="AS95" i="4" s="1"/>
  <c r="AK96" i="4"/>
  <c r="AS96" i="4" s="1"/>
  <c r="AK97" i="4"/>
  <c r="AS97" i="4" s="1"/>
  <c r="AK98" i="4"/>
  <c r="AS98" i="4" s="1"/>
  <c r="AK99" i="4"/>
  <c r="AS99" i="4" s="1"/>
  <c r="AK100" i="4"/>
  <c r="AS100" i="4" s="1"/>
  <c r="AK101" i="4"/>
  <c r="AS101" i="4" s="1"/>
  <c r="AK102" i="4"/>
  <c r="AS102" i="4" s="1"/>
  <c r="AK103" i="4"/>
  <c r="AS103" i="4" s="1"/>
  <c r="AK104" i="4"/>
  <c r="AS104" i="4" s="1"/>
  <c r="AK105" i="4"/>
  <c r="AS105" i="4" s="1"/>
  <c r="AK106" i="4"/>
  <c r="AS106" i="4" s="1"/>
  <c r="AK107" i="4"/>
  <c r="AS107" i="4" s="1"/>
  <c r="AK108" i="4"/>
  <c r="AS108" i="4" s="1"/>
  <c r="AK109" i="4"/>
  <c r="AS109" i="4" s="1"/>
  <c r="AK110" i="4"/>
  <c r="AS110" i="4" s="1"/>
  <c r="AK111" i="4"/>
  <c r="AS111" i="4" s="1"/>
  <c r="AK112" i="4"/>
  <c r="AS112" i="4" s="1"/>
  <c r="AK113" i="4"/>
  <c r="AS113" i="4" s="1"/>
  <c r="AK114" i="4"/>
  <c r="AS114" i="4" s="1"/>
  <c r="AK115" i="4"/>
  <c r="AS115" i="4" s="1"/>
  <c r="AK116" i="4"/>
  <c r="AK117" i="4"/>
  <c r="AS117" i="4" s="1"/>
  <c r="AK118" i="4"/>
  <c r="AS118" i="4" s="1"/>
  <c r="AK119" i="4"/>
  <c r="AS119" i="4" s="1"/>
  <c r="AK120" i="4"/>
  <c r="AS120" i="4" s="1"/>
  <c r="AK121" i="4"/>
  <c r="AS121" i="4" s="1"/>
  <c r="AK122" i="4"/>
  <c r="AS122" i="4" s="1"/>
  <c r="AK123" i="4"/>
  <c r="AS123" i="4" s="1"/>
  <c r="AK124" i="4"/>
  <c r="AS124" i="4" s="1"/>
  <c r="AK125" i="4"/>
  <c r="AK161" i="4" s="1"/>
  <c r="AK126" i="4"/>
  <c r="AS126" i="4" s="1"/>
  <c r="AK127" i="4"/>
  <c r="AS127" i="4" s="1"/>
  <c r="AK128" i="4"/>
  <c r="AS128" i="4" s="1"/>
  <c r="AK129" i="4"/>
  <c r="AS129" i="4" s="1"/>
  <c r="AK130" i="4"/>
  <c r="AS130" i="4" s="1"/>
  <c r="AK131" i="4"/>
  <c r="AS131" i="4" s="1"/>
  <c r="AK132" i="4"/>
  <c r="AS132" i="4" s="1"/>
  <c r="AK133" i="4"/>
  <c r="AS133" i="4" s="1"/>
  <c r="AK134" i="4"/>
  <c r="AS134" i="4" s="1"/>
  <c r="AK135" i="4"/>
  <c r="AK136" i="4"/>
  <c r="AS136" i="4" s="1"/>
  <c r="AK137" i="4"/>
  <c r="AS137" i="4" s="1"/>
  <c r="AK138" i="4"/>
  <c r="AS138" i="4" s="1"/>
  <c r="AK139" i="4"/>
  <c r="AS139" i="4" s="1"/>
  <c r="AK140" i="4"/>
  <c r="AS140" i="4" s="1"/>
  <c r="AK141" i="4"/>
  <c r="AS141" i="4" s="1"/>
  <c r="AK142" i="4"/>
  <c r="AS142" i="4" s="1"/>
  <c r="AK143" i="4"/>
  <c r="AS143" i="4" s="1"/>
  <c r="AK144" i="4"/>
  <c r="AS144" i="4" s="1"/>
  <c r="AK45" i="4"/>
  <c r="I41" i="8"/>
  <c r="R161" i="4" s="1"/>
  <c r="F86" i="12" l="1"/>
  <c r="H86" i="12" s="1"/>
  <c r="T9" i="12" s="1"/>
  <c r="T15" i="12" s="1"/>
  <c r="T23" i="12" s="1"/>
  <c r="F70" i="12"/>
  <c r="H70" i="12" s="1"/>
  <c r="D74" i="12" s="1"/>
  <c r="T10" i="9"/>
  <c r="T6" i="9"/>
  <c r="T7" i="9"/>
  <c r="AK193" i="4"/>
  <c r="AQ199" i="4" s="1"/>
  <c r="AK199" i="4"/>
  <c r="AK198" i="4"/>
  <c r="AK189" i="4"/>
  <c r="AQ189" i="4" s="1"/>
  <c r="AK185" i="4"/>
  <c r="AQ185" i="4" s="1"/>
  <c r="AK200" i="4"/>
  <c r="AI202" i="4"/>
  <c r="AK187" i="4"/>
  <c r="AQ187" i="4" s="1"/>
  <c r="AK182" i="4"/>
  <c r="AQ182" i="4" s="1"/>
  <c r="AK188" i="4"/>
  <c r="AQ188" i="4" s="1"/>
  <c r="AK190" i="4"/>
  <c r="AQ190" i="4" s="1"/>
  <c r="AK194" i="4"/>
  <c r="AQ200" i="4" s="1"/>
  <c r="AG202" i="4"/>
  <c r="AP163" i="4"/>
  <c r="AK156" i="4"/>
  <c r="AS125" i="4"/>
  <c r="AM176" i="4"/>
  <c r="AK173" i="4"/>
  <c r="AP167" i="4"/>
  <c r="AK159" i="4"/>
  <c r="AP168" i="4"/>
  <c r="AP156" i="4"/>
  <c r="AV45" i="4"/>
  <c r="AK174" i="4"/>
  <c r="AK172" i="4"/>
  <c r="AK163" i="4"/>
  <c r="AP169" i="4"/>
  <c r="AP164" i="4"/>
  <c r="AK158" i="4"/>
  <c r="AG176" i="4"/>
  <c r="AP159" i="4"/>
  <c r="AP158" i="4"/>
  <c r="AP173" i="4"/>
  <c r="AV94" i="4"/>
  <c r="AK162" i="4"/>
  <c r="AS57" i="4"/>
  <c r="AV125" i="4"/>
  <c r="AS88" i="4"/>
  <c r="AV75" i="4"/>
  <c r="AK164" i="4"/>
  <c r="AK169" i="4"/>
  <c r="AV104" i="4"/>
  <c r="AV110" i="4"/>
  <c r="AS74" i="4"/>
  <c r="AS135" i="4"/>
  <c r="AK146" i="4"/>
  <c r="AK149" i="4" s="1"/>
  <c r="AK168" i="4"/>
  <c r="AP174" i="4"/>
  <c r="AS116" i="4"/>
  <c r="AK167" i="4"/>
  <c r="AP162" i="4"/>
  <c r="AP146" i="4"/>
  <c r="AP149" i="4" s="1"/>
  <c r="AP172" i="4"/>
  <c r="AS45" i="4"/>
  <c r="H74" i="12"/>
  <c r="F78" i="12" s="1"/>
  <c r="X40" i="8"/>
  <c r="T29" i="12" l="1"/>
  <c r="V23" i="12"/>
  <c r="X23" i="12" s="1"/>
  <c r="K12" i="21" s="1"/>
  <c r="H77" i="12"/>
  <c r="AK202" i="4"/>
  <c r="AV146" i="4"/>
  <c r="AV149" i="4" s="1"/>
  <c r="AP176" i="4"/>
  <c r="AK176" i="4"/>
  <c r="AS146" i="4"/>
  <c r="AS149" i="4" s="1"/>
  <c r="AW149" i="4" s="1"/>
  <c r="BE152" i="4" s="1"/>
  <c r="X36" i="8"/>
  <c r="I37" i="8"/>
  <c r="V30" i="8"/>
  <c r="V28" i="8"/>
  <c r="V27" i="8"/>
  <c r="V26" i="8"/>
  <c r="G27" i="8"/>
  <c r="T33" i="12" l="1"/>
  <c r="T39" i="12" s="1"/>
  <c r="V29" i="12"/>
  <c r="X29" i="12" s="1"/>
  <c r="K14" i="21" s="1"/>
  <c r="D81" i="12"/>
  <c r="H81" i="12" s="1"/>
  <c r="T8" i="12" s="1"/>
  <c r="W148" i="4"/>
  <c r="X149" i="4" s="1"/>
  <c r="Q148" i="4"/>
  <c r="AC116" i="4"/>
  <c r="AC141" i="4"/>
  <c r="T20" i="12" l="1"/>
  <c r="T14" i="12"/>
  <c r="T22" i="12" s="1"/>
  <c r="T50" i="12"/>
  <c r="T58" i="12" s="1"/>
  <c r="T44" i="12"/>
  <c r="V44" i="12" s="1"/>
  <c r="X44" i="12" s="1"/>
  <c r="K17" i="21" s="1"/>
  <c r="AC145" i="4"/>
  <c r="V58" i="12" l="1"/>
  <c r="X58" i="12" s="1"/>
  <c r="K22" i="21" s="1"/>
  <c r="T75" i="12"/>
  <c r="T26" i="12"/>
  <c r="T28" i="12"/>
  <c r="V22" i="12"/>
  <c r="X22" i="12" s="1"/>
  <c r="I12" i="21" s="1"/>
  <c r="AC125" i="4"/>
  <c r="AC128" i="4"/>
  <c r="AC131" i="4"/>
  <c r="AC142" i="4"/>
  <c r="AC143" i="4"/>
  <c r="AC144" i="4"/>
  <c r="AC45" i="4"/>
  <c r="AB66" i="4"/>
  <c r="Y47" i="4"/>
  <c r="Z47" i="4"/>
  <c r="AA47" i="4"/>
  <c r="AB47" i="4"/>
  <c r="Y48" i="4"/>
  <c r="Z48" i="4"/>
  <c r="AA48" i="4"/>
  <c r="AB48" i="4"/>
  <c r="Y49" i="4"/>
  <c r="Z49" i="4"/>
  <c r="AA49" i="4"/>
  <c r="AB49" i="4"/>
  <c r="Y52" i="4"/>
  <c r="Z52" i="4"/>
  <c r="AA52" i="4"/>
  <c r="AB52" i="4"/>
  <c r="Y53" i="4"/>
  <c r="Z53" i="4"/>
  <c r="AA53" i="4"/>
  <c r="AB53" i="4"/>
  <c r="Y54" i="4"/>
  <c r="Z54" i="4"/>
  <c r="AA54" i="4"/>
  <c r="AB54" i="4"/>
  <c r="Y55" i="4"/>
  <c r="Z55" i="4"/>
  <c r="AA55" i="4"/>
  <c r="AB55" i="4"/>
  <c r="Y56" i="4"/>
  <c r="Z56" i="4"/>
  <c r="AA56" i="4"/>
  <c r="AB56" i="4"/>
  <c r="Y57" i="4"/>
  <c r="Z57" i="4"/>
  <c r="AA57" i="4"/>
  <c r="AB57" i="4"/>
  <c r="Y58" i="4"/>
  <c r="Z58" i="4"/>
  <c r="AA58" i="4"/>
  <c r="AB58" i="4"/>
  <c r="Y59" i="4"/>
  <c r="Z59" i="4"/>
  <c r="AA59" i="4"/>
  <c r="AB59" i="4"/>
  <c r="Y60" i="4"/>
  <c r="Z60" i="4"/>
  <c r="AA60" i="4"/>
  <c r="AB60" i="4"/>
  <c r="Y61" i="4"/>
  <c r="Z61" i="4"/>
  <c r="AA61" i="4"/>
  <c r="AB61" i="4"/>
  <c r="Y62" i="4"/>
  <c r="Z62" i="4"/>
  <c r="AA62" i="4"/>
  <c r="AB62" i="4"/>
  <c r="Y63" i="4"/>
  <c r="Z63" i="4"/>
  <c r="AA63" i="4"/>
  <c r="AB63" i="4"/>
  <c r="Y64" i="4"/>
  <c r="Z64" i="4"/>
  <c r="AA64" i="4"/>
  <c r="AB64" i="4"/>
  <c r="Y65" i="4"/>
  <c r="Z65" i="4"/>
  <c r="AA65" i="4"/>
  <c r="AB65" i="4"/>
  <c r="Y66" i="4"/>
  <c r="Z66" i="4"/>
  <c r="AA66" i="4"/>
  <c r="Y67" i="4"/>
  <c r="Z67" i="4"/>
  <c r="AA67" i="4"/>
  <c r="AB67" i="4"/>
  <c r="Y70" i="4"/>
  <c r="Z70" i="4"/>
  <c r="AA70" i="4"/>
  <c r="AB70" i="4"/>
  <c r="Y71" i="4"/>
  <c r="Z71" i="4"/>
  <c r="AA71" i="4"/>
  <c r="AB71" i="4"/>
  <c r="Y74" i="4"/>
  <c r="Z74" i="4"/>
  <c r="AA74" i="4"/>
  <c r="AB74" i="4"/>
  <c r="Y75" i="4"/>
  <c r="Z75" i="4"/>
  <c r="AA75" i="4"/>
  <c r="AB75" i="4"/>
  <c r="Y78" i="4"/>
  <c r="Z78" i="4"/>
  <c r="AA78" i="4"/>
  <c r="AB78" i="4"/>
  <c r="Y79" i="4"/>
  <c r="Z79" i="4"/>
  <c r="AA79" i="4"/>
  <c r="AB79" i="4"/>
  <c r="Y80" i="4"/>
  <c r="Z80" i="4"/>
  <c r="AA80" i="4"/>
  <c r="AB80" i="4"/>
  <c r="Y81" i="4"/>
  <c r="Z81" i="4"/>
  <c r="AA81" i="4"/>
  <c r="AB81" i="4"/>
  <c r="Y84" i="4"/>
  <c r="Z84" i="4"/>
  <c r="AA84" i="4"/>
  <c r="AB84" i="4"/>
  <c r="Y85" i="4"/>
  <c r="Z85" i="4"/>
  <c r="AA85" i="4"/>
  <c r="AB85" i="4"/>
  <c r="Y86" i="4"/>
  <c r="Z86" i="4"/>
  <c r="AA86" i="4"/>
  <c r="AB86" i="4"/>
  <c r="Y87" i="4"/>
  <c r="Z87" i="4"/>
  <c r="AA87" i="4"/>
  <c r="AB87" i="4"/>
  <c r="Y88" i="4"/>
  <c r="Z88" i="4"/>
  <c r="AA88" i="4"/>
  <c r="AB88" i="4"/>
  <c r="Y89" i="4"/>
  <c r="Z89" i="4"/>
  <c r="AA89" i="4"/>
  <c r="AB89" i="4"/>
  <c r="Y90" i="4"/>
  <c r="Z90" i="4"/>
  <c r="AA90" i="4"/>
  <c r="AB90" i="4"/>
  <c r="Y91" i="4"/>
  <c r="Z91" i="4"/>
  <c r="AA91" i="4"/>
  <c r="AB91" i="4"/>
  <c r="Y94" i="4"/>
  <c r="Z94" i="4"/>
  <c r="AA94" i="4"/>
  <c r="AB94" i="4"/>
  <c r="Y95" i="4"/>
  <c r="Z95" i="4"/>
  <c r="AA95" i="4"/>
  <c r="AB95" i="4"/>
  <c r="Y96" i="4"/>
  <c r="Z96" i="4"/>
  <c r="AA96" i="4"/>
  <c r="AB96" i="4"/>
  <c r="Y97" i="4"/>
  <c r="Z97" i="4"/>
  <c r="AA97" i="4"/>
  <c r="AB97" i="4"/>
  <c r="Y98" i="4"/>
  <c r="Z98" i="4"/>
  <c r="AA98" i="4"/>
  <c r="AB98" i="4"/>
  <c r="Y99" i="4"/>
  <c r="Z99" i="4"/>
  <c r="AA99" i="4"/>
  <c r="AB99" i="4"/>
  <c r="Y100" i="4"/>
  <c r="Z100" i="4"/>
  <c r="AA100" i="4"/>
  <c r="AB100" i="4"/>
  <c r="Y103" i="4"/>
  <c r="Z103" i="4"/>
  <c r="AA103" i="4"/>
  <c r="AB103" i="4"/>
  <c r="Y104" i="4"/>
  <c r="Z104" i="4"/>
  <c r="AA104" i="4"/>
  <c r="AB104" i="4"/>
  <c r="Y105" i="4"/>
  <c r="Z105" i="4"/>
  <c r="AA105" i="4"/>
  <c r="AB105" i="4"/>
  <c r="Y106" i="4"/>
  <c r="Z106" i="4"/>
  <c r="AA106" i="4"/>
  <c r="AB106" i="4"/>
  <c r="Y107" i="4"/>
  <c r="Z107" i="4"/>
  <c r="AA107" i="4"/>
  <c r="AB107" i="4"/>
  <c r="Y110" i="4"/>
  <c r="Z110" i="4"/>
  <c r="AA110" i="4"/>
  <c r="AB110" i="4"/>
  <c r="Y111" i="4"/>
  <c r="Z111" i="4"/>
  <c r="AA111" i="4"/>
  <c r="AB111" i="4"/>
  <c r="Y112" i="4"/>
  <c r="Z112" i="4"/>
  <c r="AA112" i="4"/>
  <c r="AB112" i="4"/>
  <c r="Y113" i="4"/>
  <c r="Z113" i="4"/>
  <c r="AA113" i="4"/>
  <c r="AB113" i="4"/>
  <c r="Y116" i="4"/>
  <c r="Z116" i="4"/>
  <c r="AA116" i="4"/>
  <c r="AB116" i="4"/>
  <c r="Y117" i="4"/>
  <c r="Z117" i="4"/>
  <c r="AA117" i="4"/>
  <c r="AB117" i="4"/>
  <c r="Y118" i="4"/>
  <c r="Z118" i="4"/>
  <c r="AA118" i="4"/>
  <c r="AB118" i="4"/>
  <c r="Y119" i="4"/>
  <c r="Z119" i="4"/>
  <c r="AA119" i="4"/>
  <c r="AB119" i="4"/>
  <c r="Y120" i="4"/>
  <c r="Z120" i="4"/>
  <c r="AA120" i="4"/>
  <c r="AB120" i="4"/>
  <c r="Y121" i="4"/>
  <c r="Z121" i="4"/>
  <c r="AA121" i="4"/>
  <c r="AB121" i="4"/>
  <c r="Y135" i="4"/>
  <c r="Z135" i="4"/>
  <c r="AA135" i="4"/>
  <c r="AB135" i="4"/>
  <c r="Y136" i="4"/>
  <c r="Z136" i="4"/>
  <c r="AA136" i="4"/>
  <c r="AB136" i="4"/>
  <c r="Y137" i="4"/>
  <c r="Z137" i="4"/>
  <c r="AA137" i="4"/>
  <c r="AB137" i="4"/>
  <c r="Y138" i="4"/>
  <c r="Z138" i="4"/>
  <c r="AA138" i="4"/>
  <c r="AB138" i="4"/>
  <c r="Y139" i="4"/>
  <c r="Z139" i="4"/>
  <c r="AA139" i="4"/>
  <c r="AB139" i="4"/>
  <c r="Y140" i="4"/>
  <c r="Z140" i="4"/>
  <c r="AA140" i="4"/>
  <c r="AB140" i="4"/>
  <c r="AB46" i="4"/>
  <c r="AA46" i="4"/>
  <c r="Z46" i="4"/>
  <c r="T32" i="12" l="1"/>
  <c r="T38" i="12" s="1"/>
  <c r="V28" i="12"/>
  <c r="X28" i="12" s="1"/>
  <c r="I14" i="21" s="1"/>
  <c r="E14" i="21" s="1"/>
  <c r="T82" i="12"/>
  <c r="T91" i="12" s="1"/>
  <c r="T76" i="12"/>
  <c r="V76" i="12" s="1"/>
  <c r="X76" i="12" s="1"/>
  <c r="V47" i="4"/>
  <c r="V48" i="4"/>
  <c r="V49" i="4"/>
  <c r="V52" i="4"/>
  <c r="V53" i="4"/>
  <c r="V54" i="4"/>
  <c r="V55" i="4"/>
  <c r="V56" i="4"/>
  <c r="V57" i="4"/>
  <c r="V58" i="4"/>
  <c r="V59" i="4"/>
  <c r="V60" i="4"/>
  <c r="V61" i="4"/>
  <c r="V62" i="4"/>
  <c r="V63" i="4"/>
  <c r="V64" i="4"/>
  <c r="V65" i="4"/>
  <c r="V66" i="4"/>
  <c r="V67" i="4"/>
  <c r="V70" i="4"/>
  <c r="V71" i="4"/>
  <c r="V74" i="4"/>
  <c r="V75" i="4"/>
  <c r="V78" i="4"/>
  <c r="V79" i="4"/>
  <c r="V80" i="4"/>
  <c r="V81" i="4"/>
  <c r="V84" i="4"/>
  <c r="V85" i="4"/>
  <c r="V86" i="4"/>
  <c r="V87" i="4"/>
  <c r="V88" i="4"/>
  <c r="V89" i="4"/>
  <c r="V90" i="4"/>
  <c r="V91" i="4"/>
  <c r="V94" i="4"/>
  <c r="V95" i="4"/>
  <c r="V96" i="4"/>
  <c r="V97" i="4"/>
  <c r="V98" i="4"/>
  <c r="V99" i="4"/>
  <c r="V100" i="4"/>
  <c r="V103" i="4"/>
  <c r="V104" i="4"/>
  <c r="V105" i="4"/>
  <c r="V106" i="4"/>
  <c r="V107" i="4"/>
  <c r="V110" i="4"/>
  <c r="V111" i="4"/>
  <c r="V112" i="4"/>
  <c r="V113" i="4"/>
  <c r="V117" i="4"/>
  <c r="V118" i="4"/>
  <c r="V119" i="4"/>
  <c r="V120" i="4"/>
  <c r="V121" i="4"/>
  <c r="V135" i="4"/>
  <c r="V136" i="4"/>
  <c r="V137" i="4"/>
  <c r="V138" i="4"/>
  <c r="V139" i="4"/>
  <c r="V140" i="4"/>
  <c r="V46" i="4"/>
  <c r="T43" i="12" l="1"/>
  <c r="V43" i="12" s="1"/>
  <c r="X43" i="12" s="1"/>
  <c r="I17" i="21" s="1"/>
  <c r="E17" i="21" s="1"/>
  <c r="T49" i="12"/>
  <c r="T74" i="12" s="1"/>
  <c r="V148" i="4"/>
  <c r="X46" i="4"/>
  <c r="E20" i="10"/>
  <c r="F20" i="10"/>
  <c r="D20" i="10"/>
  <c r="G8" i="10"/>
  <c r="G9" i="10"/>
  <c r="G10" i="10"/>
  <c r="G11" i="10"/>
  <c r="G12" i="10"/>
  <c r="G13" i="10"/>
  <c r="G14" i="10"/>
  <c r="G15" i="10"/>
  <c r="G16" i="10"/>
  <c r="G17" i="10"/>
  <c r="G18" i="10"/>
  <c r="G7" i="10"/>
  <c r="F16" i="9"/>
  <c r="D20" i="9"/>
  <c r="T81" i="12" l="1"/>
  <c r="T90" i="12" s="1"/>
  <c r="AA80" i="12"/>
  <c r="F20" i="9"/>
  <c r="G21" i="9" s="1"/>
  <c r="G20" i="10"/>
  <c r="G21" i="10" s="1"/>
  <c r="E21" i="10"/>
  <c r="E32" i="10" s="1"/>
  <c r="G34" i="7"/>
  <c r="G37" i="7" s="1"/>
  <c r="G31" i="7"/>
  <c r="U53" i="7"/>
  <c r="G20" i="5" l="1"/>
  <c r="K20" i="5" s="1"/>
  <c r="H28" i="6"/>
  <c r="L28" i="6" s="1"/>
  <c r="G20" i="9"/>
  <c r="T16" i="9"/>
  <c r="T20" i="9" s="1"/>
  <c r="G24" i="10"/>
  <c r="G25" i="10" s="1"/>
  <c r="D21" i="10"/>
  <c r="D32" i="10" s="1"/>
  <c r="F21" i="10"/>
  <c r="F32" i="10" s="1"/>
  <c r="D41" i="10" s="1"/>
  <c r="O42" i="10"/>
  <c r="F43" i="6"/>
  <c r="F69" i="6" s="1"/>
  <c r="Z41" i="7"/>
  <c r="Z39" i="7"/>
  <c r="AC13" i="7"/>
  <c r="H48" i="6"/>
  <c r="H36" i="6" s="1"/>
  <c r="D40" i="10" l="1"/>
  <c r="D43" i="10" s="1"/>
  <c r="G33" i="5"/>
  <c r="K33" i="5" s="1"/>
  <c r="O40" i="10"/>
  <c r="O39" i="10"/>
  <c r="G31" i="8"/>
  <c r="G29" i="8"/>
  <c r="G28" i="8"/>
  <c r="R10" i="8"/>
  <c r="R11" i="8"/>
  <c r="R12" i="8"/>
  <c r="R13" i="8"/>
  <c r="R14" i="8"/>
  <c r="R15" i="8"/>
  <c r="R16" i="8"/>
  <c r="R17" i="8"/>
  <c r="R18" i="8"/>
  <c r="R19" i="8"/>
  <c r="R20" i="8"/>
  <c r="R9" i="8"/>
  <c r="Z13" i="8"/>
  <c r="Z10" i="8"/>
  <c r="Z11" i="8"/>
  <c r="Z12" i="8"/>
  <c r="Z14" i="8"/>
  <c r="Z15" i="8"/>
  <c r="Z16" i="8"/>
  <c r="Z17" i="8"/>
  <c r="Z18" i="8"/>
  <c r="Z19" i="8"/>
  <c r="Z20" i="8"/>
  <c r="Z9" i="8"/>
  <c r="U22" i="8"/>
  <c r="Y22" i="8"/>
  <c r="X22" i="8"/>
  <c r="W22" i="8"/>
  <c r="V22" i="8"/>
  <c r="O22" i="8"/>
  <c r="J18" i="8"/>
  <c r="J15" i="8"/>
  <c r="J16" i="8" s="1"/>
  <c r="P14" i="8"/>
  <c r="L22" i="8"/>
  <c r="M22" i="8"/>
  <c r="N22" i="8"/>
  <c r="K22" i="8"/>
  <c r="P10" i="8"/>
  <c r="P11" i="8"/>
  <c r="P12" i="8"/>
  <c r="P13" i="8"/>
  <c r="P15" i="8"/>
  <c r="P16" i="8"/>
  <c r="P17" i="8"/>
  <c r="P18" i="8"/>
  <c r="P19" i="8"/>
  <c r="P20" i="8"/>
  <c r="P9" i="8"/>
  <c r="D22" i="8"/>
  <c r="E22" i="8"/>
  <c r="F22" i="8"/>
  <c r="G22" i="8"/>
  <c r="C22" i="8"/>
  <c r="C25" i="8" s="1"/>
  <c r="H10" i="8"/>
  <c r="H11" i="8"/>
  <c r="H12" i="8"/>
  <c r="H13" i="8"/>
  <c r="H14" i="8"/>
  <c r="H15" i="8"/>
  <c r="H16" i="8"/>
  <c r="H17" i="8"/>
  <c r="H18" i="8"/>
  <c r="H19" i="8"/>
  <c r="H20" i="8"/>
  <c r="H9" i="8"/>
  <c r="AC84" i="4"/>
  <c r="AC47" i="4"/>
  <c r="AC48" i="4"/>
  <c r="AC49" i="4"/>
  <c r="AC66" i="4"/>
  <c r="AC70" i="4"/>
  <c r="AC71" i="4"/>
  <c r="AC80" i="4"/>
  <c r="AC90" i="4"/>
  <c r="AC91" i="4"/>
  <c r="AC94" i="4"/>
  <c r="AC95" i="4"/>
  <c r="AC96" i="4"/>
  <c r="AC97" i="4"/>
  <c r="AC98" i="4"/>
  <c r="AC99" i="4"/>
  <c r="AC100" i="4"/>
  <c r="AC103" i="4"/>
  <c r="AC106" i="4"/>
  <c r="AC107" i="4"/>
  <c r="AC110" i="4"/>
  <c r="AC117" i="4"/>
  <c r="AC118" i="4"/>
  <c r="AC119" i="4"/>
  <c r="AC120" i="4"/>
  <c r="AC121" i="4"/>
  <c r="AC135" i="4"/>
  <c r="AC136" i="4"/>
  <c r="AC137" i="4"/>
  <c r="AC140" i="4"/>
  <c r="X140" i="4"/>
  <c r="X137" i="4"/>
  <c r="X119" i="4"/>
  <c r="X118" i="4"/>
  <c r="X117" i="4"/>
  <c r="X48" i="4"/>
  <c r="X49" i="4"/>
  <c r="X58" i="4"/>
  <c r="X59" i="4"/>
  <c r="X60" i="4"/>
  <c r="X61" i="4"/>
  <c r="X62" i="4"/>
  <c r="X64" i="4"/>
  <c r="X65" i="4"/>
  <c r="X66" i="4"/>
  <c r="X67" i="4"/>
  <c r="X75" i="4"/>
  <c r="X78" i="4"/>
  <c r="X80" i="4"/>
  <c r="X81" i="4"/>
  <c r="X91" i="4"/>
  <c r="X94" i="4"/>
  <c r="X96" i="4"/>
  <c r="X97" i="4"/>
  <c r="X98" i="4"/>
  <c r="X99" i="4"/>
  <c r="X110" i="4"/>
  <c r="X113" i="4"/>
  <c r="X52" i="4"/>
  <c r="X53" i="4"/>
  <c r="X54" i="4"/>
  <c r="X55" i="4"/>
  <c r="X56" i="4"/>
  <c r="X57" i="4"/>
  <c r="X63" i="4"/>
  <c r="X70" i="4"/>
  <c r="X71" i="4"/>
  <c r="X74" i="4"/>
  <c r="X79" i="4"/>
  <c r="X84" i="4"/>
  <c r="X85" i="4"/>
  <c r="X86" i="4"/>
  <c r="X87" i="4"/>
  <c r="X88" i="4"/>
  <c r="X89" i="4"/>
  <c r="X90" i="4"/>
  <c r="X95" i="4"/>
  <c r="X100" i="4"/>
  <c r="X103" i="4"/>
  <c r="X104" i="4"/>
  <c r="X105" i="4"/>
  <c r="X107" i="4"/>
  <c r="X111" i="4"/>
  <c r="X112" i="4"/>
  <c r="X116" i="4"/>
  <c r="X120" i="4"/>
  <c r="X121" i="4"/>
  <c r="X135" i="4"/>
  <c r="X136" i="4"/>
  <c r="X138" i="4"/>
  <c r="X139" i="4"/>
  <c r="X45" i="4"/>
  <c r="X125" i="4"/>
  <c r="P176" i="4" s="1"/>
  <c r="R176" i="4" s="1"/>
  <c r="W176" i="4" s="1"/>
  <c r="X128" i="4"/>
  <c r="P168" i="4" s="1"/>
  <c r="X131" i="4"/>
  <c r="P185" i="4" s="1"/>
  <c r="X141" i="4"/>
  <c r="X142" i="4"/>
  <c r="X143" i="4"/>
  <c r="X144" i="4"/>
  <c r="X47" i="4"/>
  <c r="P198" i="4" l="1"/>
  <c r="R185" i="4"/>
  <c r="AA185" i="4" s="1"/>
  <c r="P199" i="4"/>
  <c r="R199" i="4" s="1"/>
  <c r="AG214" i="4" s="1"/>
  <c r="R168" i="4"/>
  <c r="R210" i="4" s="1"/>
  <c r="P173" i="4"/>
  <c r="P215" i="4" s="1"/>
  <c r="P171" i="4"/>
  <c r="H43" i="6"/>
  <c r="L43" i="6" s="1"/>
  <c r="Z43" i="6" s="1"/>
  <c r="Q14" i="20" s="1"/>
  <c r="G34" i="5"/>
  <c r="K34" i="5" s="1"/>
  <c r="Y30" i="10"/>
  <c r="P175" i="4"/>
  <c r="R175" i="4" s="1"/>
  <c r="P177" i="4"/>
  <c r="R177" i="4" s="1"/>
  <c r="P187" i="4"/>
  <c r="Q187" i="4" s="1"/>
  <c r="I16" i="4" s="1"/>
  <c r="P197" i="4"/>
  <c r="R197" i="4" s="1"/>
  <c r="P174" i="4"/>
  <c r="R174" i="4" s="1"/>
  <c r="P169" i="4"/>
  <c r="R169" i="4" s="1"/>
  <c r="G25" i="8"/>
  <c r="F25" i="8"/>
  <c r="E25" i="8"/>
  <c r="H22" i="8"/>
  <c r="D25" i="8"/>
  <c r="Z22" i="8"/>
  <c r="P22" i="8"/>
  <c r="H25" i="8" s="1"/>
  <c r="AC52" i="4"/>
  <c r="AC53" i="4"/>
  <c r="AC54" i="4"/>
  <c r="AC55" i="4"/>
  <c r="AC57" i="4"/>
  <c r="AC60" i="4"/>
  <c r="AC61" i="4"/>
  <c r="AC62" i="4"/>
  <c r="AC65" i="4"/>
  <c r="AC67" i="4"/>
  <c r="AC74" i="4"/>
  <c r="AC75" i="4"/>
  <c r="AC79" i="4"/>
  <c r="AC85" i="4"/>
  <c r="AC86" i="4"/>
  <c r="AC87" i="4"/>
  <c r="AC88" i="4"/>
  <c r="AC89" i="4"/>
  <c r="AC111" i="4"/>
  <c r="AC113" i="4"/>
  <c r="AC138" i="4"/>
  <c r="AC139" i="4"/>
  <c r="Y45" i="4"/>
  <c r="Z45" i="4"/>
  <c r="AA45" i="4"/>
  <c r="AB45" i="4"/>
  <c r="Y125" i="4"/>
  <c r="Z125" i="4"/>
  <c r="AA125" i="4"/>
  <c r="AB125" i="4"/>
  <c r="Y128" i="4"/>
  <c r="Z128" i="4"/>
  <c r="AA128" i="4"/>
  <c r="AB128" i="4"/>
  <c r="Y131" i="4"/>
  <c r="Z131" i="4"/>
  <c r="AA131" i="4"/>
  <c r="AB131" i="4"/>
  <c r="Y141" i="4"/>
  <c r="Z141" i="4"/>
  <c r="AA141" i="4"/>
  <c r="AB141" i="4"/>
  <c r="Y142" i="4"/>
  <c r="Z142" i="4"/>
  <c r="AA142" i="4"/>
  <c r="AB142" i="4"/>
  <c r="Y143" i="4"/>
  <c r="Z143" i="4"/>
  <c r="AA143" i="4"/>
  <c r="AB143" i="4"/>
  <c r="Y144" i="4"/>
  <c r="Z144" i="4"/>
  <c r="AA144" i="4"/>
  <c r="AB144" i="4"/>
  <c r="S180" i="4" l="1"/>
  <c r="S190" i="4"/>
  <c r="S14" i="20"/>
  <c r="E14" i="20"/>
  <c r="AB43" i="6"/>
  <c r="AC43" i="6" s="1"/>
  <c r="R24" i="12"/>
  <c r="AI214" i="4"/>
  <c r="AK214" i="4"/>
  <c r="AG213" i="4"/>
  <c r="R198" i="4"/>
  <c r="P220" i="4"/>
  <c r="P216" i="4"/>
  <c r="P217" i="4"/>
  <c r="S182" i="4"/>
  <c r="S192" i="4"/>
  <c r="R171" i="4"/>
  <c r="P213" i="4" s="1"/>
  <c r="T213" i="4" s="1"/>
  <c r="P229" i="4"/>
  <c r="P211" i="4"/>
  <c r="R187" i="4"/>
  <c r="AA187" i="4" s="1"/>
  <c r="Q173" i="4"/>
  <c r="G16" i="4" s="1"/>
  <c r="AC59" i="4"/>
  <c r="AC63" i="4"/>
  <c r="AC112" i="4"/>
  <c r="AC56" i="4"/>
  <c r="AC81" i="4"/>
  <c r="AC78" i="4"/>
  <c r="AC105" i="4"/>
  <c r="AC104" i="4"/>
  <c r="AC64" i="4"/>
  <c r="AC58" i="4"/>
  <c r="Y46" i="4"/>
  <c r="AC46" i="4" s="1"/>
  <c r="V24" i="12" l="1"/>
  <c r="X24" i="12" s="1"/>
  <c r="Q12" i="21" s="1"/>
  <c r="E12" i="21" s="1"/>
  <c r="Z24" i="12"/>
  <c r="AA190" i="4"/>
  <c r="AQ203" i="4"/>
  <c r="AA192" i="4"/>
  <c r="AQ205" i="4"/>
  <c r="Z182" i="4"/>
  <c r="Z201" i="4" s="1"/>
  <c r="BG183" i="4" s="1"/>
  <c r="BG196" i="4" s="1"/>
  <c r="AQ194" i="4"/>
  <c r="R228" i="4"/>
  <c r="R230" i="4" s="1"/>
  <c r="AQ192" i="4"/>
  <c r="AE244" i="4"/>
  <c r="AE246" i="4" s="1"/>
  <c r="AI213" i="4"/>
  <c r="AK213" i="4"/>
  <c r="Q201" i="4"/>
  <c r="E16" i="4" s="1"/>
  <c r="Z37" i="6"/>
  <c r="R248" i="4"/>
  <c r="R173" i="4"/>
  <c r="T215" i="4"/>
  <c r="P222" i="4"/>
  <c r="Q211" i="4" s="1"/>
  <c r="AC148" i="4"/>
  <c r="X106" i="4"/>
  <c r="X148" i="4" s="1"/>
  <c r="E15" i="4" s="1"/>
  <c r="V276" i="4"/>
  <c r="Q10" i="20" l="1"/>
  <c r="BG222" i="4"/>
  <c r="BG225" i="4" s="1"/>
  <c r="Z73" i="6" s="1"/>
  <c r="T22" i="19"/>
  <c r="BG199" i="4"/>
  <c r="AG250" i="4"/>
  <c r="AG251" i="4"/>
  <c r="AG249" i="4"/>
  <c r="AI249" i="4" s="1"/>
  <c r="AM260" i="4"/>
  <c r="AM259" i="4"/>
  <c r="AL259" i="4" s="1"/>
  <c r="AM258" i="4"/>
  <c r="AC261" i="4"/>
  <c r="AD261" i="4" s="1"/>
  <c r="AD262" i="4"/>
  <c r="AC262" i="4"/>
  <c r="E18" i="4"/>
  <c r="E21" i="4" s="1"/>
  <c r="O153" i="4"/>
  <c r="O156" i="4" s="1"/>
  <c r="O159" i="4" s="1"/>
  <c r="T222" i="4"/>
  <c r="U213" i="4" s="1"/>
  <c r="P231" i="4"/>
  <c r="R211" i="4"/>
  <c r="Q217" i="4"/>
  <c r="R217" i="4" s="1"/>
  <c r="S175" i="4" s="1"/>
  <c r="W175" i="4" s="1"/>
  <c r="Q220" i="4"/>
  <c r="R220" i="4" s="1"/>
  <c r="S177" i="4" s="1"/>
  <c r="Y227" i="4" s="1"/>
  <c r="Q216" i="4"/>
  <c r="R216" i="4" s="1"/>
  <c r="S174" i="4" s="1"/>
  <c r="W174" i="4" s="1"/>
  <c r="Q213" i="4"/>
  <c r="R213" i="4" s="1"/>
  <c r="S171" i="4" s="1"/>
  <c r="Q215" i="4"/>
  <c r="R215" i="4" s="1"/>
  <c r="S173" i="4" s="1"/>
  <c r="P186" i="4"/>
  <c r="BB49" i="2"/>
  <c r="BB47" i="2"/>
  <c r="BB46" i="2"/>
  <c r="BB56" i="2"/>
  <c r="BB53" i="2"/>
  <c r="X290" i="4"/>
  <c r="X284" i="4"/>
  <c r="X283" i="4"/>
  <c r="X275" i="4"/>
  <c r="X273" i="4"/>
  <c r="X274" i="4"/>
  <c r="X267" i="4"/>
  <c r="AK251" i="4" l="1"/>
  <c r="AL251" i="4" s="1"/>
  <c r="AI250" i="4"/>
  <c r="AI253" i="4" s="1"/>
  <c r="AK250" i="4"/>
  <c r="AK253" i="4" s="1"/>
  <c r="R85" i="12"/>
  <c r="V85" i="12" s="1"/>
  <c r="X85" i="12" s="1"/>
  <c r="Q26" i="21" s="1"/>
  <c r="Q36" i="20"/>
  <c r="U215" i="4"/>
  <c r="U222" i="4" s="1"/>
  <c r="AL249" i="4"/>
  <c r="S191" i="4"/>
  <c r="AQ204" i="4" s="1"/>
  <c r="AM262" i="4"/>
  <c r="AK258" i="4"/>
  <c r="AK260" i="4"/>
  <c r="AL260" i="4"/>
  <c r="AL262" i="4" s="1"/>
  <c r="AD264" i="4"/>
  <c r="AC264" i="4"/>
  <c r="P238" i="4"/>
  <c r="Q229" i="4" s="1"/>
  <c r="R229" i="4" s="1"/>
  <c r="S169" i="4"/>
  <c r="R222" i="4"/>
  <c r="Q222" i="4"/>
  <c r="R186" i="4"/>
  <c r="P201" i="4"/>
  <c r="Y35" i="4"/>
  <c r="G12" i="5"/>
  <c r="BD42" i="2"/>
  <c r="R65" i="2"/>
  <c r="R56" i="2"/>
  <c r="R57" i="2"/>
  <c r="R47" i="2"/>
  <c r="R48" i="2"/>
  <c r="S59" i="2"/>
  <c r="S57" i="2"/>
  <c r="S56" i="2"/>
  <c r="S55" i="2"/>
  <c r="AC70" i="2"/>
  <c r="AX17" i="2"/>
  <c r="R55" i="2"/>
  <c r="G40" i="2"/>
  <c r="G47" i="2"/>
  <c r="G55" i="2"/>
  <c r="G56" i="2"/>
  <c r="G57" i="2"/>
  <c r="G54" i="2"/>
  <c r="AX35" i="2"/>
  <c r="V54" i="2"/>
  <c r="V55" i="2"/>
  <c r="V56" i="2"/>
  <c r="V59" i="2"/>
  <c r="AC74" i="2"/>
  <c r="AC71" i="2"/>
  <c r="AC72" i="2"/>
  <c r="X56" i="2"/>
  <c r="O56" i="2"/>
  <c r="P56" i="2"/>
  <c r="Q56" i="2"/>
  <c r="R68" i="2"/>
  <c r="R67" i="2"/>
  <c r="R66" i="2"/>
  <c r="O47" i="2"/>
  <c r="P47" i="2"/>
  <c r="Q47" i="2"/>
  <c r="AC68" i="2"/>
  <c r="S43" i="2"/>
  <c r="G68" i="2"/>
  <c r="M35" i="2"/>
  <c r="M40" i="2"/>
  <c r="W28" i="2"/>
  <c r="R35" i="2"/>
  <c r="H67" i="2"/>
  <c r="I67" i="2"/>
  <c r="K67" i="2"/>
  <c r="L67" i="2"/>
  <c r="M67" i="2"/>
  <c r="N67" i="2"/>
  <c r="P67" i="2"/>
  <c r="Q67" i="2"/>
  <c r="G67" i="2"/>
  <c r="AK16" i="4" l="1"/>
  <c r="AL250" i="4"/>
  <c r="AL253" i="4" s="1"/>
  <c r="AK17" i="4" s="1"/>
  <c r="AQ207" i="4"/>
  <c r="S181" i="4"/>
  <c r="AQ193" i="4" s="1"/>
  <c r="AK262" i="4"/>
  <c r="AD265" i="4"/>
  <c r="AC265" i="4"/>
  <c r="R201" i="4"/>
  <c r="AA186" i="4"/>
  <c r="Y229" i="4"/>
  <c r="Y230" i="4"/>
  <c r="V210" i="4"/>
  <c r="U171" i="4"/>
  <c r="Q231" i="4"/>
  <c r="R231" i="4" s="1"/>
  <c r="U173" i="4" s="1"/>
  <c r="H57" i="2"/>
  <c r="I57" i="2"/>
  <c r="K57" i="2"/>
  <c r="L57" i="2"/>
  <c r="M57" i="2"/>
  <c r="N57" i="2"/>
  <c r="P57" i="2"/>
  <c r="Q57" i="2"/>
  <c r="AK254" i="4" l="1"/>
  <c r="AK19" i="4"/>
  <c r="AO5" i="4" s="1"/>
  <c r="AQ5" i="4" s="1"/>
  <c r="AI254" i="4"/>
  <c r="AL254" i="4" s="1"/>
  <c r="AF33" i="16"/>
  <c r="AF32" i="16"/>
  <c r="AU207" i="4"/>
  <c r="G31" i="5" s="1"/>
  <c r="K31" i="5" s="1"/>
  <c r="BA150" i="4"/>
  <c r="AQ196" i="4"/>
  <c r="Y181" i="4"/>
  <c r="Y201" i="4" s="1"/>
  <c r="S201" i="4"/>
  <c r="AA191" i="4"/>
  <c r="AA203" i="4" s="1"/>
  <c r="BI196" i="4" s="1"/>
  <c r="AC266" i="4"/>
  <c r="U201" i="4"/>
  <c r="AW7" i="4" s="1"/>
  <c r="X177" i="4"/>
  <c r="X201" i="4" s="1"/>
  <c r="BC183" i="4" s="1"/>
  <c r="BC196" i="4" s="1"/>
  <c r="V215" i="4"/>
  <c r="T173" i="4" s="1"/>
  <c r="V213" i="4"/>
  <c r="T171" i="4" s="1"/>
  <c r="Y232" i="4"/>
  <c r="R238" i="4"/>
  <c r="E16" i="7"/>
  <c r="I16" i="7" s="1"/>
  <c r="I15" i="7"/>
  <c r="G8" i="7"/>
  <c r="D7" i="7"/>
  <c r="D8" i="7"/>
  <c r="D9" i="7"/>
  <c r="D6" i="7"/>
  <c r="E7" i="7"/>
  <c r="E8" i="7"/>
  <c r="E9" i="7"/>
  <c r="E6" i="7"/>
  <c r="E5" i="7"/>
  <c r="E227" i="1"/>
  <c r="E230" i="1" s="1"/>
  <c r="F181" i="1"/>
  <c r="F182" i="1"/>
  <c r="F183" i="1"/>
  <c r="F184" i="1"/>
  <c r="F185" i="1"/>
  <c r="O254" i="1" s="1"/>
  <c r="F187" i="1"/>
  <c r="F188" i="1"/>
  <c r="F189" i="1"/>
  <c r="F190" i="1"/>
  <c r="F192" i="1"/>
  <c r="F194" i="1"/>
  <c r="F195" i="1"/>
  <c r="F196" i="1"/>
  <c r="F199" i="1"/>
  <c r="F200" i="1"/>
  <c r="F203" i="1"/>
  <c r="F204" i="1"/>
  <c r="F205" i="1"/>
  <c r="F207" i="1"/>
  <c r="F208" i="1"/>
  <c r="F209" i="1"/>
  <c r="O278" i="1" s="1"/>
  <c r="S278" i="1" s="1"/>
  <c r="F210" i="1"/>
  <c r="F178" i="1"/>
  <c r="AW12" i="4" l="1"/>
  <c r="AQ12" i="4"/>
  <c r="BC5" i="4"/>
  <c r="AY7" i="4"/>
  <c r="AY12" i="4" s="1"/>
  <c r="T53" i="6" s="1"/>
  <c r="R33" i="12" s="1"/>
  <c r="AF35" i="16"/>
  <c r="AG32" i="16" s="1"/>
  <c r="AH32" i="16" s="1"/>
  <c r="O21" i="16" s="1"/>
  <c r="BC222" i="4"/>
  <c r="BC225" i="4" s="1"/>
  <c r="V73" i="6" s="1"/>
  <c r="P22" i="19"/>
  <c r="BC199" i="4"/>
  <c r="V22" i="19"/>
  <c r="BI222" i="4"/>
  <c r="BI225" i="4" s="1"/>
  <c r="BI227" i="4" s="1"/>
  <c r="BI230" i="4" s="1"/>
  <c r="BI199" i="4"/>
  <c r="BI201" i="4" s="1"/>
  <c r="BI204" i="4" s="1"/>
  <c r="BI186" i="4"/>
  <c r="BA149" i="4"/>
  <c r="O269" i="1"/>
  <c r="S269" i="1" s="1"/>
  <c r="F269" i="1"/>
  <c r="F252" i="1"/>
  <c r="O252" i="1"/>
  <c r="X252" i="1" s="1"/>
  <c r="Z252" i="1" s="1"/>
  <c r="AA252" i="1" s="1"/>
  <c r="F272" i="1"/>
  <c r="O272" i="1"/>
  <c r="S272" i="1" s="1"/>
  <c r="O264" i="1"/>
  <c r="S264" i="1" s="1"/>
  <c r="F264" i="1"/>
  <c r="O251" i="1"/>
  <c r="X251" i="1" s="1"/>
  <c r="Z251" i="1" s="1"/>
  <c r="AA251" i="1" s="1"/>
  <c r="F251" i="1"/>
  <c r="O261" i="1"/>
  <c r="X261" i="1" s="1"/>
  <c r="Z261" i="1" s="1"/>
  <c r="AA261" i="1" s="1"/>
  <c r="F261" i="1"/>
  <c r="F279" i="1"/>
  <c r="O279" i="1"/>
  <c r="S279" i="1" s="1"/>
  <c r="F277" i="1"/>
  <c r="O277" i="1"/>
  <c r="X277" i="1" s="1"/>
  <c r="Z277" i="1" s="1"/>
  <c r="AA277" i="1" s="1"/>
  <c r="O273" i="1"/>
  <c r="S273" i="1" s="1"/>
  <c r="F273" i="1"/>
  <c r="F259" i="1"/>
  <c r="O259" i="1"/>
  <c r="X259" i="1" s="1"/>
  <c r="Z259" i="1" s="1"/>
  <c r="AA259" i="1" s="1"/>
  <c r="F253" i="1"/>
  <c r="O253" i="1"/>
  <c r="O274" i="1"/>
  <c r="S274" i="1" s="1"/>
  <c r="F274" i="1"/>
  <c r="O248" i="1"/>
  <c r="X248" i="1" s="1"/>
  <c r="Z248" i="1" s="1"/>
  <c r="AA248" i="1" s="1"/>
  <c r="F248" i="1"/>
  <c r="H180" i="1"/>
  <c r="O249" i="1"/>
  <c r="F249" i="1"/>
  <c r="O268" i="1"/>
  <c r="S268" i="1" s="1"/>
  <c r="F268" i="1"/>
  <c r="O265" i="1"/>
  <c r="X265" i="1" s="1"/>
  <c r="Z265" i="1" s="1"/>
  <c r="AA265" i="1" s="1"/>
  <c r="F265" i="1"/>
  <c r="F258" i="1"/>
  <c r="O258" i="1"/>
  <c r="X258" i="1" s="1"/>
  <c r="Z258" i="1" s="1"/>
  <c r="AA258" i="1" s="1"/>
  <c r="F256" i="1"/>
  <c r="O256" i="1"/>
  <c r="F276" i="1"/>
  <c r="O276" i="1"/>
  <c r="S276" i="1" s="1"/>
  <c r="O250" i="1"/>
  <c r="X250" i="1" s="1"/>
  <c r="Z250" i="1" s="1"/>
  <c r="AA250" i="1" s="1"/>
  <c r="F250" i="1"/>
  <c r="O263" i="1"/>
  <c r="X263" i="1" s="1"/>
  <c r="Z263" i="1" s="1"/>
  <c r="AA263" i="1" s="1"/>
  <c r="F263" i="1"/>
  <c r="F213" i="1"/>
  <c r="F247" i="1"/>
  <c r="O247" i="1"/>
  <c r="X247" i="1" s="1"/>
  <c r="F257" i="1"/>
  <c r="O257" i="1"/>
  <c r="X257" i="1" s="1"/>
  <c r="Z257" i="1" s="1"/>
  <c r="AA257" i="1" s="1"/>
  <c r="R247" i="4"/>
  <c r="BE183" i="4"/>
  <c r="BE196" i="4" s="1"/>
  <c r="X37" i="6"/>
  <c r="AU196" i="4"/>
  <c r="AQ209" i="4"/>
  <c r="I15" i="4"/>
  <c r="W173" i="4"/>
  <c r="W201" i="4" s="1"/>
  <c r="T37" i="6" s="1"/>
  <c r="V37" i="6"/>
  <c r="R246" i="4"/>
  <c r="V222" i="4"/>
  <c r="I18" i="7"/>
  <c r="BC12" i="4" l="1"/>
  <c r="X53" i="6" s="1"/>
  <c r="BG5" i="4"/>
  <c r="G42" i="5"/>
  <c r="K42" i="5" s="1"/>
  <c r="H53" i="6"/>
  <c r="BG15" i="4"/>
  <c r="BG14" i="4"/>
  <c r="R53" i="6"/>
  <c r="BG7" i="4"/>
  <c r="S249" i="1"/>
  <c r="F16" i="24" s="1"/>
  <c r="F15" i="24" s="1"/>
  <c r="D16" i="24" s="1"/>
  <c r="Z247" i="1"/>
  <c r="AA247" i="1" s="1"/>
  <c r="X279" i="1"/>
  <c r="AB280" i="1" s="1"/>
  <c r="AG33" i="16"/>
  <c r="AG35" i="16" s="1"/>
  <c r="AK16" i="13"/>
  <c r="Y1167" i="13"/>
  <c r="O24" i="16"/>
  <c r="M36" i="20"/>
  <c r="R83" i="12"/>
  <c r="V83" i="12" s="1"/>
  <c r="X83" i="12" s="1"/>
  <c r="M26" i="21" s="1"/>
  <c r="BA152" i="4"/>
  <c r="BC150" i="4" s="1"/>
  <c r="BE150" i="4" s="1"/>
  <c r="BC149" i="4"/>
  <c r="G32" i="5"/>
  <c r="K32" i="5" s="1"/>
  <c r="BE222" i="4"/>
  <c r="R22" i="19"/>
  <c r="BE199" i="4"/>
  <c r="G56" i="5"/>
  <c r="K56" i="5" s="1"/>
  <c r="F281" i="1"/>
  <c r="O281" i="1"/>
  <c r="AC75" i="22" s="1"/>
  <c r="O10" i="20"/>
  <c r="R11" i="12"/>
  <c r="M10" i="20"/>
  <c r="R10" i="12"/>
  <c r="BA183" i="4"/>
  <c r="BA196" i="4" s="1"/>
  <c r="H39" i="6"/>
  <c r="AU209" i="4"/>
  <c r="I18" i="4"/>
  <c r="I21" i="4" s="1"/>
  <c r="G28" i="5" s="1"/>
  <c r="R245" i="4"/>
  <c r="T201" i="4"/>
  <c r="V171" i="4"/>
  <c r="V201" i="4" s="1"/>
  <c r="AY183" i="4" s="1"/>
  <c r="AY196" i="4" s="1"/>
  <c r="H17" i="6"/>
  <c r="L17" i="6" s="1"/>
  <c r="H182" i="1"/>
  <c r="H185" i="1"/>
  <c r="H187" i="1"/>
  <c r="H190" i="1"/>
  <c r="H193" i="1"/>
  <c r="H194" i="1"/>
  <c r="H195" i="1"/>
  <c r="H199" i="1"/>
  <c r="H200" i="1"/>
  <c r="H203" i="1"/>
  <c r="H204" i="1"/>
  <c r="H205" i="1"/>
  <c r="H209" i="1"/>
  <c r="H210" i="1"/>
  <c r="L179" i="1"/>
  <c r="L180" i="1"/>
  <c r="L181" i="1"/>
  <c r="L182" i="1"/>
  <c r="L183" i="1"/>
  <c r="L184" i="1"/>
  <c r="L185" i="1"/>
  <c r="L186" i="1"/>
  <c r="L187" i="1"/>
  <c r="L188" i="1"/>
  <c r="L189" i="1"/>
  <c r="L190" i="1"/>
  <c r="L191" i="1"/>
  <c r="L192" i="1"/>
  <c r="L194" i="1"/>
  <c r="L196" i="1"/>
  <c r="L197" i="1"/>
  <c r="L198" i="1"/>
  <c r="L199" i="1"/>
  <c r="L200" i="1"/>
  <c r="L201" i="1"/>
  <c r="L202" i="1"/>
  <c r="L203" i="1"/>
  <c r="L204" i="1"/>
  <c r="L205" i="1"/>
  <c r="L206" i="1"/>
  <c r="L207" i="1"/>
  <c r="L208" i="1"/>
  <c r="L209" i="1"/>
  <c r="L210" i="1"/>
  <c r="L178" i="1"/>
  <c r="C207" i="1"/>
  <c r="H207" i="1" s="1"/>
  <c r="H196" i="1"/>
  <c r="H192" i="1"/>
  <c r="H189" i="1"/>
  <c r="H188" i="1"/>
  <c r="C184" i="1"/>
  <c r="H183" i="1"/>
  <c r="H181" i="1"/>
  <c r="H179" i="1"/>
  <c r="H178" i="1"/>
  <c r="K28" i="5" l="1"/>
  <c r="BK196" i="4"/>
  <c r="BG12" i="4"/>
  <c r="BG17" i="4" s="1"/>
  <c r="R35" i="12"/>
  <c r="V35" i="12" s="1"/>
  <c r="X35" i="12" s="1"/>
  <c r="O15" i="21" s="1"/>
  <c r="O24" i="20"/>
  <c r="AH33" i="16"/>
  <c r="AH35" i="16" s="1"/>
  <c r="AY222" i="4"/>
  <c r="AY225" i="4" s="1"/>
  <c r="R73" i="6" s="1"/>
  <c r="L22" i="19"/>
  <c r="AY199" i="4"/>
  <c r="BA222" i="4"/>
  <c r="BA225" i="4" s="1"/>
  <c r="T73" i="6" s="1"/>
  <c r="N22" i="19"/>
  <c r="BA199" i="4"/>
  <c r="O25" i="16"/>
  <c r="Y1170" i="13"/>
  <c r="AK19" i="13"/>
  <c r="X22" i="19"/>
  <c r="R23" i="19" s="1"/>
  <c r="R25" i="19" s="1"/>
  <c r="X56" i="6" s="1"/>
  <c r="BE225" i="4"/>
  <c r="BC152" i="4"/>
  <c r="BE149" i="4"/>
  <c r="C208" i="1"/>
  <c r="H208" i="1" s="1"/>
  <c r="N50" i="1"/>
  <c r="F165" i="1" s="1"/>
  <c r="H184" i="1"/>
  <c r="K10" i="20"/>
  <c r="R9" i="12"/>
  <c r="V10" i="12"/>
  <c r="X10" i="12" s="1"/>
  <c r="M9" i="21" s="1"/>
  <c r="AB84" i="12"/>
  <c r="AC84" i="12" s="1"/>
  <c r="AD84" i="12" s="1"/>
  <c r="V11" i="12"/>
  <c r="X11" i="12" s="1"/>
  <c r="O9" i="21" s="1"/>
  <c r="AB85" i="12"/>
  <c r="AC85" i="12" s="1"/>
  <c r="AD85" i="12" s="1"/>
  <c r="BI183" i="4"/>
  <c r="BA184" i="4" s="1"/>
  <c r="BA186" i="4" s="1"/>
  <c r="Z202" i="4"/>
  <c r="AA204" i="4" s="1"/>
  <c r="R37" i="6"/>
  <c r="I10" i="20" s="1"/>
  <c r="R244" i="4"/>
  <c r="R250" i="4" s="1"/>
  <c r="H213" i="1" l="1"/>
  <c r="Q21" i="16"/>
  <c r="BG201" i="4"/>
  <c r="BG204" i="4" s="1"/>
  <c r="BK201" i="4"/>
  <c r="O27" i="16"/>
  <c r="AM16" i="13"/>
  <c r="AB1167" i="13"/>
  <c r="Q24" i="16"/>
  <c r="Y21" i="16"/>
  <c r="Y24" i="16" s="1"/>
  <c r="K36" i="20"/>
  <c r="R82" i="12"/>
  <c r="V82" i="12" s="1"/>
  <c r="X82" i="12" s="1"/>
  <c r="K26" i="21" s="1"/>
  <c r="T40" i="6"/>
  <c r="K12" i="20" s="1"/>
  <c r="BK222" i="4"/>
  <c r="I36" i="20"/>
  <c r="R81" i="12"/>
  <c r="V81" i="12" s="1"/>
  <c r="X81" i="12" s="1"/>
  <c r="I26" i="21" s="1"/>
  <c r="X73" i="6"/>
  <c r="BG227" i="4"/>
  <c r="O27" i="20"/>
  <c r="R52" i="12"/>
  <c r="V52" i="12" s="1"/>
  <c r="X52" i="12" s="1"/>
  <c r="O18" i="21" s="1"/>
  <c r="L115" i="6"/>
  <c r="BE153" i="4"/>
  <c r="V23" i="19"/>
  <c r="V25" i="19" s="1"/>
  <c r="T23" i="19"/>
  <c r="T25" i="19" s="1"/>
  <c r="Z56" i="6" s="1"/>
  <c r="P23" i="19"/>
  <c r="P25" i="19" s="1"/>
  <c r="V56" i="6" s="1"/>
  <c r="N23" i="19"/>
  <c r="N25" i="19" s="1"/>
  <c r="T56" i="6" s="1"/>
  <c r="L23" i="19"/>
  <c r="AB37" i="6"/>
  <c r="R8" i="12"/>
  <c r="V9" i="12"/>
  <c r="X9" i="12" s="1"/>
  <c r="K9" i="21" s="1"/>
  <c r="AB83" i="12"/>
  <c r="AC83" i="12" s="1"/>
  <c r="AD83" i="12" s="1"/>
  <c r="BG184" i="4"/>
  <c r="BG186" i="4" s="1"/>
  <c r="Z40" i="6" s="1"/>
  <c r="BC184" i="4"/>
  <c r="BC186" i="4" s="1"/>
  <c r="V40" i="6" s="1"/>
  <c r="BE184" i="4"/>
  <c r="BE186" i="4" s="1"/>
  <c r="X40" i="6" s="1"/>
  <c r="AY184" i="4"/>
  <c r="G15" i="4"/>
  <c r="G18" i="4" s="1"/>
  <c r="G21" i="4" s="1"/>
  <c r="H37" i="6" s="1"/>
  <c r="J17" i="6"/>
  <c r="F128" i="1"/>
  <c r="F133" i="1"/>
  <c r="F135" i="1"/>
  <c r="F141" i="1"/>
  <c r="F143" i="1"/>
  <c r="F144" i="1"/>
  <c r="F147" i="1"/>
  <c r="F148" i="1"/>
  <c r="F151" i="1"/>
  <c r="F152" i="1"/>
  <c r="F153" i="1"/>
  <c r="F157" i="1"/>
  <c r="F158" i="1"/>
  <c r="C155" i="1"/>
  <c r="F155" i="1" s="1"/>
  <c r="C142" i="1"/>
  <c r="F142" i="1" s="1"/>
  <c r="C140" i="1"/>
  <c r="F140" i="1" s="1"/>
  <c r="C138" i="1"/>
  <c r="F138" i="1" s="1"/>
  <c r="C137" i="1"/>
  <c r="F137" i="1" s="1"/>
  <c r="C136" i="1"/>
  <c r="F136" i="1" s="1"/>
  <c r="C132" i="1"/>
  <c r="F132" i="1" s="1"/>
  <c r="C131" i="1"/>
  <c r="F131" i="1" s="1"/>
  <c r="C130" i="1"/>
  <c r="F130" i="1" s="1"/>
  <c r="C129" i="1"/>
  <c r="F129" i="1" s="1"/>
  <c r="C127" i="1"/>
  <c r="F127" i="1" s="1"/>
  <c r="C126" i="1"/>
  <c r="F126" i="1" s="1"/>
  <c r="L78" i="1"/>
  <c r="F80" i="1"/>
  <c r="F85" i="1"/>
  <c r="F86" i="1"/>
  <c r="F87" i="1"/>
  <c r="F91" i="1"/>
  <c r="F93" i="1"/>
  <c r="F95" i="1"/>
  <c r="F97" i="1"/>
  <c r="F98" i="1"/>
  <c r="F99" i="1"/>
  <c r="F100" i="1"/>
  <c r="F101" i="1"/>
  <c r="F102" i="1"/>
  <c r="F103" i="1"/>
  <c r="F104" i="1"/>
  <c r="F105" i="1"/>
  <c r="F106" i="1"/>
  <c r="F109" i="1"/>
  <c r="F110" i="1"/>
  <c r="I112" i="1"/>
  <c r="E112" i="1"/>
  <c r="M110" i="1"/>
  <c r="L110" i="1"/>
  <c r="J110" i="1"/>
  <c r="M109" i="1"/>
  <c r="L109" i="1"/>
  <c r="J109" i="1"/>
  <c r="M108" i="1"/>
  <c r="L108" i="1"/>
  <c r="M107" i="1"/>
  <c r="L107" i="1"/>
  <c r="C107" i="1"/>
  <c r="J107" i="1" s="1"/>
  <c r="M105" i="1"/>
  <c r="L105" i="1"/>
  <c r="J105" i="1"/>
  <c r="M104" i="1"/>
  <c r="L104" i="1"/>
  <c r="J104" i="1"/>
  <c r="M103" i="1"/>
  <c r="L103" i="1"/>
  <c r="J103" i="1"/>
  <c r="M100" i="1"/>
  <c r="L100" i="1"/>
  <c r="J100" i="1"/>
  <c r="M99" i="1"/>
  <c r="L99" i="1"/>
  <c r="J99" i="1"/>
  <c r="M96" i="1"/>
  <c r="L96" i="1"/>
  <c r="J96" i="1"/>
  <c r="M95" i="1"/>
  <c r="L95" i="1"/>
  <c r="J95" i="1"/>
  <c r="M94" i="1"/>
  <c r="L94" i="1"/>
  <c r="J94" i="1"/>
  <c r="M93" i="1"/>
  <c r="L93" i="1"/>
  <c r="J93" i="1"/>
  <c r="M92" i="1"/>
  <c r="L92" i="1"/>
  <c r="J92" i="1"/>
  <c r="M90" i="1"/>
  <c r="L90" i="1"/>
  <c r="J90" i="1"/>
  <c r="M89" i="1"/>
  <c r="L89" i="1"/>
  <c r="J89" i="1"/>
  <c r="M88" i="1"/>
  <c r="L88" i="1"/>
  <c r="J88" i="1"/>
  <c r="M87" i="1"/>
  <c r="L87" i="1"/>
  <c r="J87" i="1"/>
  <c r="M85" i="1"/>
  <c r="L85" i="1"/>
  <c r="J85" i="1"/>
  <c r="M84" i="1"/>
  <c r="L84" i="1"/>
  <c r="C84" i="1"/>
  <c r="J84" i="1" s="1"/>
  <c r="M83" i="1"/>
  <c r="L83" i="1"/>
  <c r="C83" i="1"/>
  <c r="J83" i="1" s="1"/>
  <c r="M82" i="1"/>
  <c r="L82" i="1"/>
  <c r="C82" i="1"/>
  <c r="J82" i="1" s="1"/>
  <c r="M81" i="1"/>
  <c r="L81" i="1"/>
  <c r="C81" i="1"/>
  <c r="J81" i="1" s="1"/>
  <c r="M80" i="1"/>
  <c r="L80" i="1"/>
  <c r="J80" i="1"/>
  <c r="M79" i="1"/>
  <c r="L79" i="1"/>
  <c r="C79" i="1"/>
  <c r="J79" i="1" s="1"/>
  <c r="M78" i="1"/>
  <c r="C78" i="1"/>
  <c r="J78" i="1" s="1"/>
  <c r="H21" i="6"/>
  <c r="L21" i="6" s="1"/>
  <c r="AO148" i="1"/>
  <c r="AO147" i="1"/>
  <c r="AO146" i="1"/>
  <c r="AK132" i="1"/>
  <c r="L13" i="1"/>
  <c r="Q13" i="1" s="1"/>
  <c r="L14" i="1"/>
  <c r="L15" i="1"/>
  <c r="Q15" i="1" s="1"/>
  <c r="L16" i="1"/>
  <c r="Q16" i="1" s="1"/>
  <c r="L17" i="1"/>
  <c r="Q17" i="1" s="1"/>
  <c r="L18" i="1"/>
  <c r="Q18" i="1" s="1"/>
  <c r="L19" i="1"/>
  <c r="Q19" i="1" s="1"/>
  <c r="L21" i="1"/>
  <c r="L22" i="1"/>
  <c r="Q22" i="1" s="1"/>
  <c r="L23" i="1"/>
  <c r="Q23" i="1" s="1"/>
  <c r="L24" i="1"/>
  <c r="Q24" i="1" s="1"/>
  <c r="L26" i="1"/>
  <c r="Q26" i="1" s="1"/>
  <c r="L27" i="1"/>
  <c r="L28" i="1"/>
  <c r="Q28" i="1" s="1"/>
  <c r="L29" i="1"/>
  <c r="Q29" i="1" s="1"/>
  <c r="L30" i="1"/>
  <c r="Q30" i="1" s="1"/>
  <c r="L33" i="1"/>
  <c r="L34" i="1"/>
  <c r="Q34" i="1" s="1"/>
  <c r="L37" i="1"/>
  <c r="L38" i="1"/>
  <c r="Q38" i="1" s="1"/>
  <c r="L39" i="1"/>
  <c r="Q39" i="1" s="1"/>
  <c r="L41" i="1"/>
  <c r="L42" i="1"/>
  <c r="Q42" i="1" s="1"/>
  <c r="L43" i="1"/>
  <c r="Q43" i="1" s="1"/>
  <c r="L44" i="1"/>
  <c r="Q44" i="1" s="1"/>
  <c r="L12" i="1"/>
  <c r="I63" i="1"/>
  <c r="E63" i="1"/>
  <c r="F61" i="1"/>
  <c r="C12" i="1"/>
  <c r="F12" i="1" s="1"/>
  <c r="J61" i="1"/>
  <c r="J60" i="1"/>
  <c r="J63" i="1" s="1"/>
  <c r="M61" i="1"/>
  <c r="M60" i="1"/>
  <c r="M13" i="1"/>
  <c r="M14" i="1"/>
  <c r="S14" i="1" s="1"/>
  <c r="M15" i="1"/>
  <c r="M16" i="1"/>
  <c r="M17" i="1"/>
  <c r="M18" i="1"/>
  <c r="M19" i="1"/>
  <c r="M21" i="1"/>
  <c r="M22" i="1"/>
  <c r="M23" i="1"/>
  <c r="M24" i="1"/>
  <c r="M26" i="1"/>
  <c r="M27" i="1"/>
  <c r="M28" i="1"/>
  <c r="M29" i="1"/>
  <c r="M30" i="1"/>
  <c r="M33" i="1"/>
  <c r="M34" i="1"/>
  <c r="M37" i="1"/>
  <c r="M38" i="1"/>
  <c r="M39" i="1"/>
  <c r="M41" i="1"/>
  <c r="M42" i="1"/>
  <c r="M43" i="1"/>
  <c r="M44" i="1"/>
  <c r="M12" i="1"/>
  <c r="I46" i="1"/>
  <c r="J14" i="1"/>
  <c r="J19" i="1"/>
  <c r="J21" i="1"/>
  <c r="J27" i="1"/>
  <c r="J29" i="1"/>
  <c r="J33" i="1"/>
  <c r="J34" i="1"/>
  <c r="J37" i="1"/>
  <c r="J38" i="1"/>
  <c r="J39" i="1"/>
  <c r="J43" i="1"/>
  <c r="J44" i="1"/>
  <c r="E46" i="1"/>
  <c r="F14" i="1"/>
  <c r="F19" i="1"/>
  <c r="F21" i="1"/>
  <c r="F27" i="1"/>
  <c r="F29" i="1"/>
  <c r="F33" i="1"/>
  <c r="F34" i="1"/>
  <c r="F37" i="1"/>
  <c r="F38" i="1"/>
  <c r="F39" i="1"/>
  <c r="F43" i="1"/>
  <c r="F44" i="1"/>
  <c r="C41" i="1"/>
  <c r="F41" i="1" s="1"/>
  <c r="F30" i="1"/>
  <c r="F28" i="1"/>
  <c r="C26" i="1"/>
  <c r="F26" i="1" s="1"/>
  <c r="F24" i="1"/>
  <c r="C23" i="1"/>
  <c r="F23" i="1" s="1"/>
  <c r="C22" i="1"/>
  <c r="F22" i="1" s="1"/>
  <c r="C18" i="1"/>
  <c r="C42" i="1" s="1"/>
  <c r="F42" i="1" s="1"/>
  <c r="C17" i="1"/>
  <c r="F17" i="1" s="1"/>
  <c r="C16" i="1"/>
  <c r="F16" i="1" s="1"/>
  <c r="C15" i="1"/>
  <c r="F15" i="1" s="1"/>
  <c r="C13" i="1"/>
  <c r="F13" i="1" s="1"/>
  <c r="L47" i="6"/>
  <c r="L46" i="6"/>
  <c r="P46" i="6" s="1"/>
  <c r="L48" i="6"/>
  <c r="AC48" i="6" s="1"/>
  <c r="L49" i="6"/>
  <c r="AC49" i="6" s="1"/>
  <c r="L50" i="6"/>
  <c r="L51" i="6"/>
  <c r="L52" i="6"/>
  <c r="L53" i="6"/>
  <c r="I24" i="20" s="1"/>
  <c r="L54" i="6"/>
  <c r="L55" i="6"/>
  <c r="AC55" i="6" s="1"/>
  <c r="L59" i="6"/>
  <c r="F75" i="6"/>
  <c r="BI205" i="4" l="1"/>
  <c r="H40" i="6"/>
  <c r="L40" i="6" s="1"/>
  <c r="AB1170" i="13"/>
  <c r="AF1167" i="13"/>
  <c r="AF1170" i="13" s="1"/>
  <c r="R54" i="6"/>
  <c r="R15" i="12"/>
  <c r="V15" i="12" s="1"/>
  <c r="X15" i="12" s="1"/>
  <c r="K10" i="21" s="1"/>
  <c r="Q25" i="16"/>
  <c r="Y25" i="16"/>
  <c r="AM19" i="13"/>
  <c r="AI16" i="13"/>
  <c r="AI19" i="13" s="1"/>
  <c r="K27" i="20"/>
  <c r="R50" i="12"/>
  <c r="V50" i="12" s="1"/>
  <c r="X50" i="12" s="1"/>
  <c r="K18" i="21" s="1"/>
  <c r="R53" i="12"/>
  <c r="V53" i="12" s="1"/>
  <c r="X53" i="12" s="1"/>
  <c r="Q18" i="21" s="1"/>
  <c r="Q27" i="20"/>
  <c r="M12" i="20"/>
  <c r="R16" i="12"/>
  <c r="V16" i="12" s="1"/>
  <c r="X16" i="12" s="1"/>
  <c r="M10" i="21" s="1"/>
  <c r="L25" i="19"/>
  <c r="X23" i="19"/>
  <c r="H56" i="6"/>
  <c r="L56" i="6" s="1"/>
  <c r="G44" i="5"/>
  <c r="K44" i="5" s="1"/>
  <c r="R17" i="12"/>
  <c r="V17" i="12" s="1"/>
  <c r="X17" i="12" s="1"/>
  <c r="O10" i="21" s="1"/>
  <c r="O12" i="20"/>
  <c r="Q12" i="20"/>
  <c r="R18" i="12"/>
  <c r="V18" i="12" s="1"/>
  <c r="X18" i="12" s="1"/>
  <c r="Q10" i="21" s="1"/>
  <c r="BK227" i="4"/>
  <c r="BG230" i="4"/>
  <c r="M27" i="20"/>
  <c r="R51" i="12"/>
  <c r="V51" i="12" s="1"/>
  <c r="X51" i="12" s="1"/>
  <c r="M18" i="21" s="1"/>
  <c r="O36" i="20"/>
  <c r="R84" i="12"/>
  <c r="AB73" i="6"/>
  <c r="N100" i="1"/>
  <c r="Q37" i="1"/>
  <c r="L46" i="1"/>
  <c r="Q12" i="1"/>
  <c r="Q21" i="1"/>
  <c r="Q27" i="1"/>
  <c r="Q14" i="1"/>
  <c r="Q41" i="1"/>
  <c r="Q33" i="1"/>
  <c r="S10" i="20"/>
  <c r="E10" i="20"/>
  <c r="V8" i="12"/>
  <c r="AB82" i="12"/>
  <c r="AC82" i="12" s="1"/>
  <c r="AD82" i="12" s="1"/>
  <c r="N103" i="1"/>
  <c r="R52" i="6"/>
  <c r="R32" i="12" s="1"/>
  <c r="Z59" i="6"/>
  <c r="Z51" i="6"/>
  <c r="Z50" i="6"/>
  <c r="R36" i="12" s="1"/>
  <c r="L37" i="6"/>
  <c r="R47" i="6"/>
  <c r="AY186" i="4"/>
  <c r="BI184" i="4"/>
  <c r="Z38" i="6"/>
  <c r="N80" i="1"/>
  <c r="N95" i="1"/>
  <c r="F89" i="1"/>
  <c r="N89" i="1" s="1"/>
  <c r="N110" i="1"/>
  <c r="F88" i="1"/>
  <c r="N88" i="1" s="1"/>
  <c r="N109" i="1"/>
  <c r="N105" i="1"/>
  <c r="N104" i="1"/>
  <c r="F90" i="1"/>
  <c r="C156" i="1"/>
  <c r="F156" i="1" s="1"/>
  <c r="N148" i="1" s="1"/>
  <c r="F94" i="1"/>
  <c r="N94" i="1" s="1"/>
  <c r="C108" i="1"/>
  <c r="F108" i="1" s="1"/>
  <c r="F84" i="1"/>
  <c r="F78" i="1"/>
  <c r="N93" i="1"/>
  <c r="F92" i="1"/>
  <c r="N92" i="1" s="1"/>
  <c r="F107" i="1"/>
  <c r="N107" i="1" s="1"/>
  <c r="N87" i="1"/>
  <c r="N99" i="1"/>
  <c r="F83" i="1"/>
  <c r="N83" i="1" s="1"/>
  <c r="M112" i="1"/>
  <c r="F82" i="1"/>
  <c r="N82" i="1" s="1"/>
  <c r="F81" i="1"/>
  <c r="F96" i="1"/>
  <c r="N96" i="1" s="1"/>
  <c r="F79" i="1"/>
  <c r="N79" i="1" s="1"/>
  <c r="N85" i="1"/>
  <c r="N90" i="1"/>
  <c r="N81" i="1"/>
  <c r="J108" i="1"/>
  <c r="N108" i="1" s="1"/>
  <c r="N84" i="1"/>
  <c r="N38" i="1"/>
  <c r="N39" i="1"/>
  <c r="F63" i="1"/>
  <c r="N37" i="1"/>
  <c r="N34" i="1"/>
  <c r="N29" i="1"/>
  <c r="N21" i="1"/>
  <c r="N44" i="1"/>
  <c r="N43" i="1"/>
  <c r="N27" i="1"/>
  <c r="N19" i="1"/>
  <c r="J24" i="1"/>
  <c r="N24" i="1" s="1"/>
  <c r="M46" i="1"/>
  <c r="M63" i="1"/>
  <c r="N14" i="1"/>
  <c r="E65" i="1"/>
  <c r="N33" i="1"/>
  <c r="N60" i="1"/>
  <c r="N61" i="1"/>
  <c r="J18" i="1"/>
  <c r="J17" i="1"/>
  <c r="N17" i="1" s="1"/>
  <c r="I65" i="1"/>
  <c r="J41" i="1"/>
  <c r="N41" i="1" s="1"/>
  <c r="J12" i="1"/>
  <c r="N12" i="1" s="1"/>
  <c r="J16" i="1"/>
  <c r="N16" i="1" s="1"/>
  <c r="J15" i="1"/>
  <c r="N15" i="1" s="1"/>
  <c r="J30" i="1"/>
  <c r="N30" i="1" s="1"/>
  <c r="J13" i="1"/>
  <c r="N13" i="1" s="1"/>
  <c r="J28" i="1"/>
  <c r="N28" i="1" s="1"/>
  <c r="J42" i="1"/>
  <c r="N42" i="1" s="1"/>
  <c r="J26" i="1"/>
  <c r="N26" i="1" s="1"/>
  <c r="J22" i="1"/>
  <c r="N22" i="1" s="1"/>
  <c r="J23" i="1"/>
  <c r="N23" i="1" s="1"/>
  <c r="F18" i="1"/>
  <c r="X8" i="12" l="1"/>
  <c r="Q11" i="20"/>
  <c r="R12" i="12"/>
  <c r="AB1171" i="13"/>
  <c r="AF1171" i="13"/>
  <c r="AO20" i="13"/>
  <c r="Y13" i="13" s="1"/>
  <c r="Y18" i="13" s="1"/>
  <c r="V72" i="6" s="1"/>
  <c r="V75" i="6" s="1"/>
  <c r="AQ20" i="13"/>
  <c r="AC13" i="13" s="1"/>
  <c r="AC18" i="13" s="1"/>
  <c r="Z72" i="6" s="1"/>
  <c r="AK20" i="13"/>
  <c r="AM20" i="13"/>
  <c r="W13" i="13" s="1"/>
  <c r="W18" i="13" s="1"/>
  <c r="T72" i="6" s="1"/>
  <c r="Q27" i="16"/>
  <c r="M25" i="16"/>
  <c r="I25" i="20"/>
  <c r="R38" i="12"/>
  <c r="AD1171" i="13"/>
  <c r="Y1171" i="13"/>
  <c r="X25" i="19"/>
  <c r="R56" i="6"/>
  <c r="V84" i="12"/>
  <c r="X84" i="12" s="1"/>
  <c r="O26" i="21" s="1"/>
  <c r="E26" i="21" s="1"/>
  <c r="Z85" i="12"/>
  <c r="E36" i="20"/>
  <c r="S36" i="20"/>
  <c r="R40" i="6"/>
  <c r="AB40" i="6" s="1"/>
  <c r="BK186" i="4"/>
  <c r="H73" i="6"/>
  <c r="BI231" i="4"/>
  <c r="V15" i="22"/>
  <c r="X15" i="22" s="1"/>
  <c r="V10" i="22"/>
  <c r="V13" i="22"/>
  <c r="X13" i="22" s="1"/>
  <c r="V12" i="22"/>
  <c r="X12" i="22" s="1"/>
  <c r="V11" i="22"/>
  <c r="X11" i="22" s="1"/>
  <c r="V14" i="22"/>
  <c r="X14" i="22" s="1"/>
  <c r="AC37" i="6"/>
  <c r="AB52" i="6"/>
  <c r="AC52" i="6" s="1"/>
  <c r="I23" i="20"/>
  <c r="E11" i="20"/>
  <c r="S11" i="20"/>
  <c r="AB59" i="6"/>
  <c r="AC59" i="6" s="1"/>
  <c r="R55" i="12"/>
  <c r="V55" i="12" s="1"/>
  <c r="X55" i="12" s="1"/>
  <c r="Q20" i="21" s="1"/>
  <c r="E20" i="21" s="1"/>
  <c r="Q29" i="20"/>
  <c r="K24" i="20"/>
  <c r="V33" i="12"/>
  <c r="X33" i="12" s="1"/>
  <c r="K15" i="21" s="1"/>
  <c r="M24" i="20"/>
  <c r="M33" i="20" s="1"/>
  <c r="R34" i="12"/>
  <c r="AB46" i="6"/>
  <c r="G17" i="20"/>
  <c r="P75" i="6"/>
  <c r="R20" i="12"/>
  <c r="V20" i="12" s="1"/>
  <c r="X20" i="12" s="1"/>
  <c r="G11" i="21" s="1"/>
  <c r="AB47" i="6"/>
  <c r="AC47" i="6" s="1"/>
  <c r="I18" i="20"/>
  <c r="R26" i="12"/>
  <c r="V26" i="12" s="1"/>
  <c r="X26" i="12" s="1"/>
  <c r="G13" i="21" s="1"/>
  <c r="E13" i="21" s="1"/>
  <c r="AB51" i="6"/>
  <c r="AC51" i="6" s="1"/>
  <c r="Q22" i="20"/>
  <c r="Q21" i="20"/>
  <c r="AB50" i="6"/>
  <c r="AB38" i="6"/>
  <c r="AC38" i="6" s="1"/>
  <c r="AB53" i="6"/>
  <c r="J112" i="1"/>
  <c r="F112" i="1"/>
  <c r="N78" i="1"/>
  <c r="N112" i="1" s="1"/>
  <c r="M65" i="1"/>
  <c r="N63" i="1"/>
  <c r="F46" i="1"/>
  <c r="F65" i="1" s="1"/>
  <c r="N18" i="1"/>
  <c r="J46" i="1"/>
  <c r="J65" i="1" s="1"/>
  <c r="AC50" i="6" l="1"/>
  <c r="AE52" i="6"/>
  <c r="V34" i="12"/>
  <c r="X34" i="12" s="1"/>
  <c r="M15" i="21" s="1"/>
  <c r="M24" i="21" s="1"/>
  <c r="M35" i="12"/>
  <c r="I9" i="21"/>
  <c r="T54" i="6"/>
  <c r="Y27" i="16"/>
  <c r="AD1175" i="13"/>
  <c r="AD1173" i="13"/>
  <c r="U13" i="13"/>
  <c r="AI20" i="13"/>
  <c r="Y1175" i="13"/>
  <c r="Y1173" i="13"/>
  <c r="AF1173" i="13" s="1"/>
  <c r="V38" i="12"/>
  <c r="X38" i="12" s="1"/>
  <c r="I16" i="21" s="1"/>
  <c r="K35" i="20"/>
  <c r="R75" i="12"/>
  <c r="V75" i="12" s="1"/>
  <c r="X75" i="12" s="1"/>
  <c r="K25" i="21" s="1"/>
  <c r="Q35" i="20"/>
  <c r="R79" i="12"/>
  <c r="V79" i="12" s="1"/>
  <c r="X79" i="12" s="1"/>
  <c r="Q25" i="21" s="1"/>
  <c r="R77" i="12"/>
  <c r="V77" i="12" s="1"/>
  <c r="X77" i="12" s="1"/>
  <c r="M25" i="21" s="1"/>
  <c r="M35" i="20"/>
  <c r="M38" i="20" s="1"/>
  <c r="AB1175" i="13"/>
  <c r="AB1173" i="13"/>
  <c r="I27" i="20"/>
  <c r="AB56" i="6"/>
  <c r="AC56" i="6" s="1"/>
  <c r="R49" i="12"/>
  <c r="AC40" i="6"/>
  <c r="I12" i="20"/>
  <c r="R14" i="12"/>
  <c r="N149" i="1"/>
  <c r="N151" i="1" s="1"/>
  <c r="N152" i="1" s="1"/>
  <c r="V23" i="22"/>
  <c r="V35" i="22" s="1"/>
  <c r="X10" i="22"/>
  <c r="X23" i="22" s="1"/>
  <c r="AA35" i="22" s="1"/>
  <c r="AC46" i="6"/>
  <c r="S24" i="20"/>
  <c r="E24" i="20"/>
  <c r="S29" i="20"/>
  <c r="E29" i="20"/>
  <c r="S23" i="20"/>
  <c r="E23" i="20"/>
  <c r="V12" i="12"/>
  <c r="Z12" i="12"/>
  <c r="S18" i="20"/>
  <c r="E18" i="20"/>
  <c r="V32" i="12"/>
  <c r="X32" i="12" s="1"/>
  <c r="I15" i="21" s="1"/>
  <c r="G24" i="21"/>
  <c r="G28" i="21" s="1"/>
  <c r="G31" i="21" s="1"/>
  <c r="E11" i="21"/>
  <c r="S17" i="20"/>
  <c r="G33" i="20"/>
  <c r="G38" i="20" s="1"/>
  <c r="E17" i="20"/>
  <c r="S21" i="20"/>
  <c r="E21" i="20"/>
  <c r="S22" i="20"/>
  <c r="E22" i="20"/>
  <c r="Z36" i="12"/>
  <c r="V36" i="12"/>
  <c r="X36" i="12" s="1"/>
  <c r="Q15" i="21" s="1"/>
  <c r="AC53" i="6"/>
  <c r="AB86" i="12"/>
  <c r="N115" i="1"/>
  <c r="N65" i="1"/>
  <c r="M28" i="21" l="1"/>
  <c r="X12" i="12"/>
  <c r="I33" i="20"/>
  <c r="AF1175" i="13"/>
  <c r="U18" i="13"/>
  <c r="R72" i="6" s="1"/>
  <c r="AD13" i="13"/>
  <c r="AD18" i="13" s="1"/>
  <c r="Q19" i="13" s="1"/>
  <c r="K25" i="20"/>
  <c r="R39" i="12"/>
  <c r="AB54" i="6"/>
  <c r="T75" i="6"/>
  <c r="Z53" i="12"/>
  <c r="V49" i="12"/>
  <c r="X49" i="12" s="1"/>
  <c r="I18" i="21" s="1"/>
  <c r="E18" i="21" s="1"/>
  <c r="V14" i="12"/>
  <c r="X14" i="12" s="1"/>
  <c r="I10" i="21" s="1"/>
  <c r="E10" i="21" s="1"/>
  <c r="Z18" i="12"/>
  <c r="S12" i="20"/>
  <c r="E12" i="20"/>
  <c r="E27" i="20"/>
  <c r="S27" i="20"/>
  <c r="E15" i="21"/>
  <c r="AC86" i="12"/>
  <c r="AD86" i="12" s="1"/>
  <c r="AB88" i="12"/>
  <c r="Y166" i="1"/>
  <c r="Z168" i="1"/>
  <c r="AA187" i="1"/>
  <c r="AB187" i="1"/>
  <c r="AC187" i="1"/>
  <c r="AD187" i="1"/>
  <c r="AE187" i="1"/>
  <c r="AF187" i="1"/>
  <c r="AG187" i="1"/>
  <c r="AH187" i="1"/>
  <c r="AI187" i="1"/>
  <c r="AJ187" i="1"/>
  <c r="AI166" i="1"/>
  <c r="AJ165" i="1"/>
  <c r="AJ166" i="1" s="1"/>
  <c r="Y184" i="1"/>
  <c r="Y187" i="1" s="1"/>
  <c r="Z187" i="1"/>
  <c r="AK139" i="1"/>
  <c r="X166" i="1"/>
  <c r="Y168" i="1"/>
  <c r="AC54" i="6" l="1"/>
  <c r="Q9" i="21"/>
  <c r="E9" i="21" s="1"/>
  <c r="V39" i="12"/>
  <c r="X39" i="12" s="1"/>
  <c r="K16" i="21" s="1"/>
  <c r="Z41" i="12"/>
  <c r="K33" i="20"/>
  <c r="K38" i="20" s="1"/>
  <c r="E25" i="20"/>
  <c r="S25" i="20"/>
  <c r="I24" i="21"/>
  <c r="R74" i="12"/>
  <c r="I35" i="20"/>
  <c r="AB72" i="6"/>
  <c r="AC72" i="6" s="1"/>
  <c r="R75" i="6"/>
  <c r="F20" i="6"/>
  <c r="F23" i="6" s="1"/>
  <c r="F32" i="6" s="1"/>
  <c r="Z173" i="1"/>
  <c r="Y173" i="1"/>
  <c r="L73" i="6"/>
  <c r="AC73" i="6" s="1"/>
  <c r="S35" i="20" l="1"/>
  <c r="E35" i="20"/>
  <c r="I38" i="20"/>
  <c r="V74" i="12"/>
  <c r="X74" i="12" s="1"/>
  <c r="I25" i="21" s="1"/>
  <c r="E25" i="21" s="1"/>
  <c r="Z79" i="12"/>
  <c r="E16" i="21"/>
  <c r="K24" i="21"/>
  <c r="K28" i="21" s="1"/>
  <c r="AA88" i="12"/>
  <c r="F77" i="6"/>
  <c r="F82" i="6" s="1"/>
  <c r="E231" i="1"/>
  <c r="E233" i="1" s="1"/>
  <c r="H20" i="6" s="1"/>
  <c r="L20" i="6" s="1"/>
  <c r="I28" i="21" l="1"/>
  <c r="AA49" i="15"/>
  <c r="G35" i="2"/>
  <c r="AX19" i="2"/>
  <c r="BB19" i="2" s="1"/>
  <c r="T84" i="2"/>
  <c r="U84" i="2"/>
  <c r="V84" i="2"/>
  <c r="W84" i="2"/>
  <c r="X84" i="2"/>
  <c r="AB84" i="2"/>
  <c r="AC84" i="2"/>
  <c r="S84" i="2"/>
  <c r="AD81" i="2"/>
  <c r="S65" i="2"/>
  <c r="H66" i="2"/>
  <c r="H68" i="2" l="1"/>
  <c r="H54" i="2" s="1"/>
  <c r="AD84" i="2"/>
  <c r="I66" i="2"/>
  <c r="J66" i="2" l="1"/>
  <c r="I68" i="2"/>
  <c r="I54" i="2" s="1"/>
  <c r="X54" i="2"/>
  <c r="BB17" i="2"/>
  <c r="K66" i="2" l="1"/>
  <c r="K68" i="2" l="1"/>
  <c r="K54" i="2" s="1"/>
  <c r="L66" i="2"/>
  <c r="L68" i="2" l="1"/>
  <c r="L54" i="2" s="1"/>
  <c r="M66" i="2"/>
  <c r="M68" i="2" l="1"/>
  <c r="M54" i="2" s="1"/>
  <c r="N66" i="2"/>
  <c r="N68" i="2" l="1"/>
  <c r="N54" i="2" s="1"/>
  <c r="O66" i="2"/>
  <c r="P66" i="2" s="1"/>
  <c r="P68" i="2" s="1"/>
  <c r="P54" i="2" s="1"/>
  <c r="Q66" i="2"/>
  <c r="Q68" i="2" s="1"/>
  <c r="Q54" i="2" s="1"/>
  <c r="R54" i="2" l="1"/>
  <c r="E10" i="5" l="1"/>
  <c r="I78" i="2"/>
  <c r="G5" i="7" l="1"/>
  <c r="G12" i="7" s="1"/>
  <c r="H56" i="2"/>
  <c r="N56" i="2"/>
  <c r="M56" i="2"/>
  <c r="L56" i="2"/>
  <c r="K56" i="2"/>
  <c r="J56" i="2"/>
  <c r="I56" i="2"/>
  <c r="H17" i="2"/>
  <c r="H19" i="2" s="1"/>
  <c r="H41" i="2" s="1"/>
  <c r="G19" i="2"/>
  <c r="S30" i="2"/>
  <c r="S31" i="2"/>
  <c r="S28" i="2"/>
  <c r="H35" i="2"/>
  <c r="I35" i="2"/>
  <c r="I40" i="2" s="1"/>
  <c r="J35" i="2"/>
  <c r="J40" i="2" s="1"/>
  <c r="K35" i="2"/>
  <c r="K40" i="2" s="1"/>
  <c r="L35" i="2"/>
  <c r="L40" i="2" s="1"/>
  <c r="N35" i="2"/>
  <c r="N40" i="2" s="1"/>
  <c r="O35" i="2"/>
  <c r="O40" i="2" s="1"/>
  <c r="P35" i="2"/>
  <c r="P40" i="2" s="1"/>
  <c r="Q35" i="2"/>
  <c r="Q40" i="2" s="1"/>
  <c r="R40" i="2"/>
  <c r="S27" i="2"/>
  <c r="G11" i="2"/>
  <c r="H11" i="2" s="1"/>
  <c r="I11" i="2" s="1"/>
  <c r="J11" i="2" s="1"/>
  <c r="K11" i="2" s="1"/>
  <c r="L11" i="2" s="1"/>
  <c r="M11" i="2" s="1"/>
  <c r="N11" i="2" s="1"/>
  <c r="O11" i="2" s="1"/>
  <c r="P11" i="2" s="1"/>
  <c r="Q11" i="2" s="1"/>
  <c r="R11" i="2" s="1"/>
  <c r="H40" i="2" l="1"/>
  <c r="S35" i="2"/>
  <c r="G41" i="2"/>
  <c r="G43" i="2" s="1"/>
  <c r="H43" i="2"/>
  <c r="H47" i="2" s="1"/>
  <c r="H55" i="2" s="1"/>
  <c r="I17" i="2"/>
  <c r="T31" i="2"/>
  <c r="X31" i="2"/>
  <c r="T28" i="2"/>
  <c r="H8" i="2"/>
  <c r="AK142" i="1"/>
  <c r="S71" i="3"/>
  <c r="C67" i="3"/>
  <c r="H82" i="3"/>
  <c r="L82" i="3" s="1"/>
  <c r="H81" i="3"/>
  <c r="L81" i="3" s="1"/>
  <c r="H80" i="3"/>
  <c r="L80" i="3" s="1"/>
  <c r="X68" i="3"/>
  <c r="AB68" i="3" s="1"/>
  <c r="X67" i="3"/>
  <c r="AB67" i="3" s="1"/>
  <c r="X66" i="3"/>
  <c r="AB66" i="3" s="1"/>
  <c r="L63" i="3"/>
  <c r="L62" i="3"/>
  <c r="X64" i="3"/>
  <c r="Z64" i="3"/>
  <c r="V64" i="3"/>
  <c r="Z63" i="3"/>
  <c r="X63" i="3"/>
  <c r="V63" i="3"/>
  <c r="Z62" i="3"/>
  <c r="X62" i="3"/>
  <c r="V62" i="3"/>
  <c r="AK167" i="1"/>
  <c r="W168" i="1"/>
  <c r="AA168" i="1" s="1"/>
  <c r="Z166" i="1"/>
  <c r="AA166" i="1"/>
  <c r="AB166" i="1"/>
  <c r="AC166" i="1"/>
  <c r="AD166" i="1"/>
  <c r="AE166" i="1"/>
  <c r="AF166" i="1"/>
  <c r="AG166" i="1"/>
  <c r="AH166" i="1"/>
  <c r="AK165" i="1"/>
  <c r="Y146" i="1"/>
  <c r="Y159" i="1" s="1"/>
  <c r="AK131" i="1"/>
  <c r="AB64" i="3" l="1"/>
  <c r="Y56" i="2"/>
  <c r="AC56" i="2" s="1"/>
  <c r="AX10" i="2"/>
  <c r="V28" i="2"/>
  <c r="X28" i="2" s="1"/>
  <c r="X33" i="2" s="1"/>
  <c r="T33" i="2"/>
  <c r="AH168" i="1"/>
  <c r="AH173" i="1" s="1"/>
  <c r="AG168" i="1"/>
  <c r="AG173" i="1" s="1"/>
  <c r="AF168" i="1"/>
  <c r="AF173" i="1" s="1"/>
  <c r="AE168" i="1"/>
  <c r="AE173" i="1" s="1"/>
  <c r="AB168" i="1"/>
  <c r="AB173" i="1" s="1"/>
  <c r="AJ168" i="1"/>
  <c r="AJ173" i="1" s="1"/>
  <c r="AI168" i="1"/>
  <c r="AI173" i="1" s="1"/>
  <c r="AD168" i="1"/>
  <c r="AD173" i="1" s="1"/>
  <c r="AC168" i="1"/>
  <c r="AC173" i="1" s="1"/>
  <c r="AA173" i="1"/>
  <c r="J17" i="2"/>
  <c r="I19" i="2"/>
  <c r="I8" i="2"/>
  <c r="J10" i="2"/>
  <c r="AD76" i="3"/>
  <c r="AF76" i="3" s="1"/>
  <c r="AB62" i="3"/>
  <c r="AB63" i="3"/>
  <c r="AK166" i="1"/>
  <c r="J57" i="2" l="1"/>
  <c r="J67" i="2"/>
  <c r="J68" i="2" s="1"/>
  <c r="J54" i="2" s="1"/>
  <c r="I41" i="2"/>
  <c r="AK168" i="1"/>
  <c r="AK173" i="1" s="1"/>
  <c r="I43" i="2"/>
  <c r="J19" i="2"/>
  <c r="J41" i="2" s="1"/>
  <c r="J43" i="2" s="1"/>
  <c r="J47" i="2" s="1"/>
  <c r="J55" i="2" s="1"/>
  <c r="K17" i="2"/>
  <c r="J8" i="2"/>
  <c r="AD68" i="3"/>
  <c r="AF68" i="3" s="1"/>
  <c r="AD64" i="3"/>
  <c r="AF64" i="3" s="1"/>
  <c r="AD72" i="3"/>
  <c r="AF72" i="3" s="1"/>
  <c r="L64" i="3"/>
  <c r="AO84" i="3"/>
  <c r="AN84" i="3"/>
  <c r="AP82" i="3"/>
  <c r="AP81" i="3"/>
  <c r="AP80" i="3"/>
  <c r="AP79" i="3"/>
  <c r="AP78" i="3"/>
  <c r="AP77" i="3"/>
  <c r="AO71" i="3"/>
  <c r="AN71" i="3"/>
  <c r="AP69" i="3"/>
  <c r="AP68" i="3"/>
  <c r="AP67" i="3"/>
  <c r="AP66" i="3"/>
  <c r="AP65" i="3"/>
  <c r="AP64" i="3"/>
  <c r="I47" i="2" l="1"/>
  <c r="I55" i="2" s="1"/>
  <c r="L17" i="2"/>
  <c r="K19" i="2"/>
  <c r="K41" i="2" s="1"/>
  <c r="K43" i="2" s="1"/>
  <c r="K47" i="2" s="1"/>
  <c r="K55" i="2" s="1"/>
  <c r="K8" i="2"/>
  <c r="AP84" i="3"/>
  <c r="AN85" i="3" s="1"/>
  <c r="M64" i="3"/>
  <c r="O64" i="3" s="1"/>
  <c r="AP71" i="3"/>
  <c r="AN72" i="3" s="1"/>
  <c r="AK155" i="1"/>
  <c r="AK156" i="1"/>
  <c r="AM156" i="1" s="1"/>
  <c r="AK157" i="1"/>
  <c r="AM157" i="1" s="1"/>
  <c r="AK154" i="1"/>
  <c r="Z146" i="1"/>
  <c r="Z159" i="1" s="1"/>
  <c r="AJ146" i="1"/>
  <c r="AJ159" i="1" s="1"/>
  <c r="AI146" i="1"/>
  <c r="AI159" i="1" s="1"/>
  <c r="AH146" i="1"/>
  <c r="AH159" i="1" s="1"/>
  <c r="AG146" i="1"/>
  <c r="AG159" i="1" s="1"/>
  <c r="AF146" i="1"/>
  <c r="AF159" i="1" s="1"/>
  <c r="AE146" i="1"/>
  <c r="AE159" i="1" s="1"/>
  <c r="AD146" i="1"/>
  <c r="AD159" i="1" s="1"/>
  <c r="AC146" i="1"/>
  <c r="AC159" i="1" s="1"/>
  <c r="AB146" i="1"/>
  <c r="AB159" i="1" s="1"/>
  <c r="AA146" i="1"/>
  <c r="AA159" i="1" s="1"/>
  <c r="AL137" i="1"/>
  <c r="AK137" i="1"/>
  <c r="AK144" i="1"/>
  <c r="AL144" i="1" s="1"/>
  <c r="AK140" i="1"/>
  <c r="AL142" i="1" s="1"/>
  <c r="AK135" i="1"/>
  <c r="AK134" i="1"/>
  <c r="AL9" i="2"/>
  <c r="AN9" i="2" s="1"/>
  <c r="AZ36" i="2" s="1"/>
  <c r="AL11" i="2"/>
  <c r="AN11" i="2" s="1"/>
  <c r="AZ37" i="2" s="1"/>
  <c r="AL8" i="2"/>
  <c r="AN8" i="2" s="1"/>
  <c r="AZ35" i="2" s="1"/>
  <c r="AF9" i="2"/>
  <c r="AH9" i="2" s="1"/>
  <c r="AZ9" i="2" s="1"/>
  <c r="AF11" i="2"/>
  <c r="AH11" i="2" s="1"/>
  <c r="AZ10" i="2" s="1"/>
  <c r="BB10" i="2" s="1"/>
  <c r="AX37" i="2" s="1"/>
  <c r="AF8" i="2"/>
  <c r="AH8" i="2" s="1"/>
  <c r="AZ8" i="2" s="1"/>
  <c r="AM121" i="1"/>
  <c r="AN126" i="1"/>
  <c r="AM110" i="1"/>
  <c r="AM94" i="1"/>
  <c r="BB37" i="2" l="1"/>
  <c r="AK146" i="1"/>
  <c r="AN146" i="1" s="1"/>
  <c r="AP148" i="1" s="1"/>
  <c r="AM126" i="1"/>
  <c r="AP126" i="1" s="1"/>
  <c r="M17" i="2"/>
  <c r="L19" i="2"/>
  <c r="L8" i="2"/>
  <c r="AO85" i="3"/>
  <c r="F66" i="3"/>
  <c r="F67" i="3"/>
  <c r="A67" i="3"/>
  <c r="J68" i="3"/>
  <c r="J67" i="3"/>
  <c r="J66" i="3"/>
  <c r="H67" i="3"/>
  <c r="H66" i="3"/>
  <c r="F68" i="3"/>
  <c r="H68" i="3"/>
  <c r="AO72" i="3"/>
  <c r="AK147" i="1"/>
  <c r="AL135" i="1"/>
  <c r="AL132" i="1"/>
  <c r="AR8" i="2"/>
  <c r="AR11" i="2"/>
  <c r="AR9" i="2"/>
  <c r="X71" i="3" l="1"/>
  <c r="Z71" i="3"/>
  <c r="X70" i="3"/>
  <c r="Z72" i="3"/>
  <c r="Z70" i="3"/>
  <c r="X72" i="3"/>
  <c r="L41" i="2"/>
  <c r="L43" i="2" s="1"/>
  <c r="AK149" i="1"/>
  <c r="AL146" i="1"/>
  <c r="N17" i="2"/>
  <c r="M19" i="2"/>
  <c r="M41" i="2" s="1"/>
  <c r="M43" i="2" s="1"/>
  <c r="M8" i="2"/>
  <c r="Q71" i="3"/>
  <c r="V70" i="3"/>
  <c r="V71" i="3"/>
  <c r="V72" i="3"/>
  <c r="L68" i="3"/>
  <c r="L67" i="3"/>
  <c r="L66" i="3"/>
  <c r="AK159" i="1"/>
  <c r="AB71" i="3" l="1"/>
  <c r="L47" i="2"/>
  <c r="L55" i="2" s="1"/>
  <c r="M47" i="2"/>
  <c r="M55" i="2" s="1"/>
  <c r="N19" i="2"/>
  <c r="O17" i="2"/>
  <c r="O10" i="2"/>
  <c r="N8" i="2"/>
  <c r="AB70" i="3"/>
  <c r="AB72" i="3"/>
  <c r="M68" i="3"/>
  <c r="O68" i="3" s="1"/>
  <c r="O73" i="3" s="1"/>
  <c r="L70" i="3"/>
  <c r="L73" i="3" s="1"/>
  <c r="L89" i="6" s="1"/>
  <c r="C17" i="11" s="1"/>
  <c r="L90" i="6" l="1"/>
  <c r="C18" i="11" s="1"/>
  <c r="C21" i="11" s="1"/>
  <c r="O57" i="2"/>
  <c r="O67" i="2"/>
  <c r="O68" i="2" s="1"/>
  <c r="O54" i="2" s="1"/>
  <c r="S54" i="2" s="1"/>
  <c r="N41" i="2"/>
  <c r="N43" i="2" s="1"/>
  <c r="N47" i="2" s="1"/>
  <c r="N55" i="2" s="1"/>
  <c r="O19" i="2"/>
  <c r="O41" i="2" s="1"/>
  <c r="O43" i="2" s="1"/>
  <c r="O55" i="2" s="1"/>
  <c r="P17" i="2"/>
  <c r="O8" i="2"/>
  <c r="AD80" i="3"/>
  <c r="AF80" i="3" s="1"/>
  <c r="AF85" i="3" s="1"/>
  <c r="AB74" i="3"/>
  <c r="AB77" i="3" s="1"/>
  <c r="K73" i="5" s="1"/>
  <c r="K74" i="5" l="1"/>
  <c r="K77" i="5" s="1"/>
  <c r="C14" i="11"/>
  <c r="AX8" i="2"/>
  <c r="BB8" i="2" s="1"/>
  <c r="BB35" i="2" s="1"/>
  <c r="Y54" i="2"/>
  <c r="AC54" i="2" s="1"/>
  <c r="G11" i="5"/>
  <c r="P19" i="2"/>
  <c r="P41" i="2" s="1"/>
  <c r="P43" i="2" s="1"/>
  <c r="P55" i="2" s="1"/>
  <c r="Q17" i="2"/>
  <c r="P8" i="2"/>
  <c r="AA61" i="15" l="1"/>
  <c r="G16" i="5"/>
  <c r="K13" i="5"/>
  <c r="K84" i="5" s="1"/>
  <c r="AC61" i="15"/>
  <c r="Y62" i="15" s="1"/>
  <c r="K14" i="11"/>
  <c r="R93" i="12" s="1"/>
  <c r="G14" i="11"/>
  <c r="R91" i="12" s="1"/>
  <c r="I14" i="11"/>
  <c r="R92" i="12" s="1"/>
  <c r="V92" i="12" s="1"/>
  <c r="X92" i="12" s="1"/>
  <c r="M29" i="21" s="1"/>
  <c r="M31" i="21" s="1"/>
  <c r="M14" i="11"/>
  <c r="R94" i="12" s="1"/>
  <c r="E14" i="11"/>
  <c r="G62" i="5"/>
  <c r="K62" i="5" s="1"/>
  <c r="K80" i="5" s="1"/>
  <c r="R17" i="2"/>
  <c r="R19" i="2" s="1"/>
  <c r="Q19" i="2"/>
  <c r="Q41" i="2" s="1"/>
  <c r="Q43" i="2" s="1"/>
  <c r="R8" i="2"/>
  <c r="Q8" i="2"/>
  <c r="AA62" i="15" l="1"/>
  <c r="AA64" i="15" s="1"/>
  <c r="M24" i="11"/>
  <c r="R90" i="12"/>
  <c r="V94" i="12"/>
  <c r="X94" i="12" s="1"/>
  <c r="Q29" i="21" s="1"/>
  <c r="V91" i="12"/>
  <c r="X91" i="12" s="1"/>
  <c r="V93" i="12"/>
  <c r="X93" i="12" s="1"/>
  <c r="O29" i="21" s="1"/>
  <c r="Q55" i="2"/>
  <c r="AX9" i="2" s="1"/>
  <c r="R41" i="2"/>
  <c r="S19" i="2"/>
  <c r="E14" i="5" s="1"/>
  <c r="R43" i="2"/>
  <c r="S41" i="2"/>
  <c r="K14" i="5" l="1"/>
  <c r="E16" i="5"/>
  <c r="E24" i="5" s="1"/>
  <c r="E60" i="5" s="1"/>
  <c r="E65" i="5" s="1"/>
  <c r="K29" i="21"/>
  <c r="K31" i="21" s="1"/>
  <c r="R96" i="12"/>
  <c r="V90" i="12"/>
  <c r="H60" i="6"/>
  <c r="G47" i="5"/>
  <c r="Y64" i="15"/>
  <c r="AC66" i="15" s="1"/>
  <c r="AC62" i="15"/>
  <c r="S61" i="2"/>
  <c r="R59" i="2"/>
  <c r="BB9" i="2"/>
  <c r="AX12" i="2"/>
  <c r="K16" i="5" l="1"/>
  <c r="K78" i="5"/>
  <c r="K47" i="5"/>
  <c r="L60" i="6"/>
  <c r="X60" i="6" s="1"/>
  <c r="AB60" i="6" s="1"/>
  <c r="X90" i="12"/>
  <c r="V96" i="12"/>
  <c r="BB12" i="2"/>
  <c r="AX36" i="2"/>
  <c r="V61" i="2"/>
  <c r="X75" i="6" l="1"/>
  <c r="R56" i="12"/>
  <c r="V56" i="12" s="1"/>
  <c r="O30" i="20"/>
  <c r="O33" i="20" s="1"/>
  <c r="I29" i="21"/>
  <c r="X96" i="12"/>
  <c r="AC60" i="6"/>
  <c r="AX18" i="2"/>
  <c r="X55" i="2"/>
  <c r="Y55" i="2" s="1"/>
  <c r="AC55" i="2" s="1"/>
  <c r="AC59" i="2" s="1"/>
  <c r="E30" i="20" l="1"/>
  <c r="S30" i="20"/>
  <c r="E29" i="21"/>
  <c r="I31" i="21"/>
  <c r="X56" i="12"/>
  <c r="O21" i="21" s="1"/>
  <c r="O38" i="20"/>
  <c r="BB18" i="2"/>
  <c r="AX21" i="2"/>
  <c r="AX23" i="2" s="1"/>
  <c r="BB24" i="2" s="1"/>
  <c r="E21" i="21" l="1"/>
  <c r="O24" i="21"/>
  <c r="O28" i="21" s="1"/>
  <c r="O31" i="21" s="1"/>
  <c r="BB21" i="2"/>
  <c r="BB23" i="2" s="1"/>
  <c r="BB26" i="2" s="1"/>
  <c r="BB36" i="2" l="1"/>
  <c r="BB39" i="2" s="1"/>
  <c r="AX39" i="2"/>
  <c r="BB40" i="2" s="1"/>
  <c r="BB42" i="2" l="1"/>
  <c r="N69" i="12" l="1"/>
  <c r="E10" i="7"/>
  <c r="E12" i="7" s="1"/>
  <c r="I12" i="7" s="1"/>
  <c r="N47" i="1"/>
  <c r="N154" i="1" s="1"/>
  <c r="E13" i="7" l="1"/>
  <c r="G13" i="7"/>
  <c r="G15" i="7" s="1"/>
  <c r="G18" i="7" s="1"/>
  <c r="G19" i="5" s="1"/>
  <c r="G22" i="5" s="1"/>
  <c r="G24" i="5" s="1"/>
  <c r="N49" i="1"/>
  <c r="N52" i="1" s="1"/>
  <c r="N53" i="1" s="1"/>
  <c r="N155" i="1"/>
  <c r="I13" i="7" l="1"/>
  <c r="E15" i="7"/>
  <c r="E18" i="7" s="1"/>
  <c r="H27" i="6" s="1"/>
  <c r="H30" i="6" s="1"/>
  <c r="N157" i="1"/>
  <c r="F162" i="1" s="1"/>
  <c r="F164" i="1" s="1"/>
  <c r="K19" i="5"/>
  <c r="K22" i="5" l="1"/>
  <c r="K24" i="5" s="1"/>
  <c r="AA27" i="15" s="1"/>
  <c r="AA37" i="15" s="1"/>
  <c r="L27" i="6"/>
  <c r="L30" i="6" s="1"/>
  <c r="L94" i="6" s="1"/>
  <c r="O217" i="1"/>
  <c r="H218" i="1"/>
  <c r="F167" i="1"/>
  <c r="H15" i="6" s="1"/>
  <c r="O220" i="1"/>
  <c r="O221" i="1"/>
  <c r="E41" i="21" l="1"/>
  <c r="K79" i="5"/>
  <c r="O223" i="1"/>
  <c r="H215" i="1" s="1"/>
  <c r="M15" i="6"/>
  <c r="H217" i="1" l="1"/>
  <c r="H220" i="1" s="1"/>
  <c r="H16" i="6" s="1"/>
  <c r="L16" i="6" s="1"/>
  <c r="AI70" i="22"/>
  <c r="L18" i="6" l="1"/>
  <c r="L23" i="6" s="1"/>
  <c r="H18" i="6"/>
  <c r="H23" i="6" s="1"/>
  <c r="H32" i="6" s="1"/>
  <c r="L32" i="6" l="1"/>
  <c r="Y37" i="15" s="1"/>
  <c r="L122" i="6"/>
  <c r="L98" i="6"/>
  <c r="M104" i="6" s="1"/>
  <c r="L111" i="6" l="1"/>
  <c r="L118" i="6" s="1"/>
  <c r="L124" i="6"/>
  <c r="AC37" i="15"/>
  <c r="AA38" i="15" s="1"/>
  <c r="AA40" i="15" s="1"/>
  <c r="G63" i="5" s="1"/>
  <c r="Y27" i="15"/>
  <c r="Y49" i="15" s="1"/>
  <c r="AC49" i="15" s="1"/>
  <c r="AA50" i="15" s="1"/>
  <c r="K63" i="5" l="1"/>
  <c r="K81" i="5" s="1"/>
  <c r="H80" i="6"/>
  <c r="L80" i="6" s="1"/>
  <c r="L95" i="6" s="1"/>
  <c r="Y38" i="15"/>
  <c r="AC27" i="15"/>
  <c r="Y50" i="15"/>
  <c r="AC50" i="15" s="1"/>
  <c r="AA28" i="15"/>
  <c r="AA30" i="15" s="1"/>
  <c r="Y28" i="15"/>
  <c r="Y40" i="15" l="1"/>
  <c r="AC38" i="15"/>
  <c r="G48" i="5"/>
  <c r="H62" i="6"/>
  <c r="H69" i="6" s="1"/>
  <c r="H75" i="6" s="1"/>
  <c r="AC28" i="15"/>
  <c r="Y30" i="15"/>
  <c r="AC32" i="15" s="1"/>
  <c r="K49" i="5" l="1"/>
  <c r="K52" i="5" s="1"/>
  <c r="K58" i="5" s="1"/>
  <c r="K60" i="5" s="1"/>
  <c r="K65" i="5" s="1"/>
  <c r="G52" i="5"/>
  <c r="G58" i="5" s="1"/>
  <c r="G60" i="5" s="1"/>
  <c r="G65" i="5" s="1"/>
  <c r="AC52" i="15"/>
  <c r="AC42" i="15"/>
  <c r="H77" i="6"/>
  <c r="H82" i="6" s="1"/>
  <c r="L63" i="6"/>
  <c r="L69" i="6" s="1"/>
  <c r="AC69" i="6" s="1"/>
  <c r="Y52" i="15" l="1"/>
  <c r="AA52" i="15"/>
  <c r="V99" i="12" s="1"/>
  <c r="E42" i="21" s="1"/>
  <c r="K72" i="5"/>
  <c r="Z63" i="6"/>
  <c r="R60" i="12" l="1"/>
  <c r="Q31" i="20"/>
  <c r="AB63" i="6"/>
  <c r="AB75" i="6" s="1"/>
  <c r="Z75" i="6"/>
  <c r="L75" i="6"/>
  <c r="L77" i="6" s="1"/>
  <c r="L82" i="6" s="1"/>
  <c r="K86" i="5" l="1"/>
  <c r="K87" i="5" s="1"/>
  <c r="N35" i="24" s="1"/>
  <c r="F32" i="24" s="1"/>
  <c r="F4" i="24" s="1"/>
  <c r="L88" i="6"/>
  <c r="L93" i="6" s="1"/>
  <c r="L97" i="6" s="1"/>
  <c r="Q286" i="1" s="1"/>
  <c r="AC63" i="6"/>
  <c r="AD69" i="6"/>
  <c r="AE69" i="6" s="1"/>
  <c r="S31" i="20"/>
  <c r="Q33" i="20"/>
  <c r="E31" i="20"/>
  <c r="E33" i="20" s="1"/>
  <c r="E38" i="20" s="1"/>
  <c r="V60" i="12"/>
  <c r="R62" i="12"/>
  <c r="R87" i="12" s="1"/>
  <c r="R98" i="12" s="1"/>
  <c r="N38" i="24" l="1"/>
  <c r="P38" i="24" s="1"/>
  <c r="R38" i="24" s="1"/>
  <c r="H4" i="24"/>
  <c r="P35" i="24"/>
  <c r="R35" i="24" s="1"/>
  <c r="V62" i="12"/>
  <c r="X60" i="12"/>
  <c r="X62" i="12" s="1"/>
  <c r="S33" i="20"/>
  <c r="Q38" i="20"/>
  <c r="S38" i="20" s="1"/>
  <c r="L100" i="6"/>
  <c r="L133" i="6" s="1"/>
  <c r="L135" i="6" s="1"/>
  <c r="H286" i="1"/>
  <c r="H32" i="24" l="1"/>
  <c r="J32" i="24" s="1"/>
  <c r="F33" i="24"/>
  <c r="H33" i="24" s="1"/>
  <c r="J33" i="24" s="1"/>
  <c r="F5" i="24"/>
  <c r="H5" i="24" s="1"/>
  <c r="J5" i="24" s="1"/>
  <c r="H15" i="24" s="1"/>
  <c r="J4" i="24"/>
  <c r="H14" i="24" s="1"/>
  <c r="Q22" i="21"/>
  <c r="Q24" i="21" s="1"/>
  <c r="Z62" i="12"/>
  <c r="V87" i="12"/>
  <c r="V98" i="12" s="1"/>
  <c r="X87" i="12"/>
  <c r="L101" i="6"/>
  <c r="L105" i="6"/>
  <c r="M105" i="6" s="1"/>
  <c r="H16" i="24" l="1"/>
  <c r="H17" i="24" s="1"/>
  <c r="H18" i="24" s="1"/>
  <c r="AI71" i="22"/>
  <c r="AI73" i="22" s="1"/>
  <c r="AC72" i="22" s="1"/>
  <c r="F38" i="24"/>
  <c r="H38" i="24" s="1"/>
  <c r="J38" i="24" s="1"/>
  <c r="F7" i="24"/>
  <c r="H7" i="24" s="1"/>
  <c r="J7" i="24" s="1"/>
  <c r="E22" i="21"/>
  <c r="E24" i="21" s="1"/>
  <c r="E28" i="21" s="1"/>
  <c r="E31" i="21" s="1"/>
  <c r="S24" i="21"/>
  <c r="Q28" i="21"/>
  <c r="X98" i="12"/>
  <c r="Y98" i="12" s="1"/>
  <c r="Z87" i="12"/>
  <c r="Q282" i="1" l="1"/>
  <c r="H282" i="1" s="1"/>
  <c r="Q31" i="21"/>
  <c r="S28" i="21"/>
  <c r="S31" i="21" l="1"/>
  <c r="E32" i="21"/>
  <c r="E34" i="21" s="1"/>
  <c r="G36" i="21" l="1"/>
  <c r="O36" i="21"/>
  <c r="I36" i="21"/>
  <c r="K36" i="21"/>
  <c r="M36" i="21"/>
  <c r="I42" i="21" l="1"/>
  <c r="I37" i="21"/>
  <c r="I39" i="21" s="1"/>
  <c r="I41" i="21"/>
  <c r="M37" i="21"/>
  <c r="M39" i="21" s="1"/>
  <c r="M41" i="21"/>
  <c r="M42" i="21"/>
  <c r="K41" i="21"/>
  <c r="K37" i="21"/>
  <c r="K39" i="21" s="1"/>
  <c r="K42" i="21"/>
  <c r="O37" i="21"/>
  <c r="O39" i="21" s="1"/>
  <c r="O41" i="21"/>
  <c r="O42" i="21"/>
  <c r="E36" i="21"/>
  <c r="G42" i="21"/>
  <c r="G41" i="21"/>
  <c r="G37" i="21"/>
  <c r="S42" i="21" l="1"/>
  <c r="I44" i="21"/>
  <c r="I47" i="21" s="1"/>
  <c r="S41" i="21"/>
  <c r="G39" i="21"/>
  <c r="E37" i="21"/>
  <c r="O44" i="21"/>
  <c r="M44" i="21"/>
  <c r="K44" i="21"/>
  <c r="K47" i="21" s="1"/>
  <c r="AC69" i="22" l="1"/>
  <c r="M47" i="21"/>
  <c r="O47" i="21"/>
  <c r="AC70" i="22"/>
  <c r="E39" i="21"/>
  <c r="E44" i="21" s="1"/>
  <c r="E47" i="21" s="1"/>
  <c r="G44" i="21"/>
  <c r="G47" i="21" s="1"/>
  <c r="S39" i="21"/>
  <c r="V33" i="22" l="1"/>
  <c r="V37" i="22" s="1"/>
  <c r="AA33" i="22"/>
  <c r="AA37" i="22" s="1"/>
  <c r="AA46" i="22" s="1"/>
  <c r="AA51" i="22" s="1"/>
  <c r="S44" i="21"/>
  <c r="AC68" i="22"/>
  <c r="AC74" i="22" l="1"/>
  <c r="AC77" i="22" s="1"/>
  <c r="V46" i="22"/>
  <c r="AC46" i="22" s="1"/>
  <c r="F16" i="23" s="1"/>
  <c r="H16" i="23" s="1"/>
  <c r="H41" i="23" s="1"/>
  <c r="J41" i="23" s="1"/>
  <c r="L41" i="23" s="1"/>
  <c r="V42" i="22"/>
  <c r="V43" i="22"/>
  <c r="V41" i="22"/>
  <c r="V45" i="22"/>
  <c r="V50" i="22" s="1"/>
  <c r="AC33" i="22"/>
  <c r="AA43" i="22"/>
  <c r="V44" i="22"/>
  <c r="V49" i="22" s="1"/>
  <c r="AA45" i="22"/>
  <c r="AA50" i="22" s="1"/>
  <c r="AA44" i="22"/>
  <c r="AA49" i="22" s="1"/>
  <c r="AA41" i="22"/>
  <c r="AA42" i="22"/>
  <c r="C249" i="1"/>
  <c r="C257" i="1" s="1"/>
  <c r="V51" i="22"/>
  <c r="AC51" i="22" s="1"/>
  <c r="C272" i="1"/>
  <c r="E242" i="1"/>
  <c r="AC42" i="22" l="1"/>
  <c r="C276" i="1"/>
  <c r="H276" i="1" s="1"/>
  <c r="AC41" i="22"/>
  <c r="F11" i="23" s="1"/>
  <c r="F17" i="23" s="1"/>
  <c r="F19" i="23"/>
  <c r="H19" i="23" s="1"/>
  <c r="M242" i="1"/>
  <c r="AF77" i="22"/>
  <c r="AC82" i="22"/>
  <c r="AC83" i="22" s="1"/>
  <c r="C264" i="1"/>
  <c r="H264" i="1" s="1"/>
  <c r="C268" i="1"/>
  <c r="H268" i="1" s="1"/>
  <c r="AC43" i="22"/>
  <c r="F13" i="23" s="1"/>
  <c r="H13" i="23" s="1"/>
  <c r="H38" i="23" s="1"/>
  <c r="J38" i="23" s="1"/>
  <c r="L38" i="23" s="1"/>
  <c r="C256" i="1"/>
  <c r="H256" i="1" s="1"/>
  <c r="AC45" i="22"/>
  <c r="AC50" i="22"/>
  <c r="AA53" i="22"/>
  <c r="M50" i="21" s="1"/>
  <c r="AC44" i="22"/>
  <c r="F14" i="23" s="1"/>
  <c r="H14" i="23" s="1"/>
  <c r="H39" i="23" s="1"/>
  <c r="J39" i="23" s="1"/>
  <c r="L39" i="23" s="1"/>
  <c r="J16" i="23"/>
  <c r="L16" i="23" s="1"/>
  <c r="L276" i="1"/>
  <c r="L256" i="1"/>
  <c r="F12" i="23"/>
  <c r="H12" i="23" s="1"/>
  <c r="H37" i="23" s="1"/>
  <c r="J37" i="23" s="1"/>
  <c r="L37" i="23" s="1"/>
  <c r="C253" i="1"/>
  <c r="H253" i="1" s="1"/>
  <c r="L250" i="1"/>
  <c r="L265" i="1"/>
  <c r="Q265" i="1" s="1"/>
  <c r="Q277" i="1"/>
  <c r="L252" i="1"/>
  <c r="Q252" i="1" s="1"/>
  <c r="L261" i="1"/>
  <c r="Q261" i="1" s="1"/>
  <c r="Q258" i="1"/>
  <c r="Q249" i="1"/>
  <c r="C261" i="1"/>
  <c r="H261" i="1" s="1"/>
  <c r="L248" i="1"/>
  <c r="Q257" i="1"/>
  <c r="L259" i="1"/>
  <c r="L253" i="1"/>
  <c r="L254" i="1" s="1"/>
  <c r="C258" i="1"/>
  <c r="H258" i="1" s="1"/>
  <c r="L263" i="1"/>
  <c r="L251" i="1"/>
  <c r="C277" i="1"/>
  <c r="H277" i="1" s="1"/>
  <c r="C250" i="1"/>
  <c r="H250" i="1" s="1"/>
  <c r="C252" i="1"/>
  <c r="H252" i="1" s="1"/>
  <c r="C265" i="1"/>
  <c r="H265" i="1" s="1"/>
  <c r="C263" i="1"/>
  <c r="H263" i="1" s="1"/>
  <c r="C247" i="1"/>
  <c r="H247" i="1" s="1"/>
  <c r="C251" i="1"/>
  <c r="H251" i="1" s="1"/>
  <c r="C259" i="1"/>
  <c r="H259" i="1" s="1"/>
  <c r="C248" i="1"/>
  <c r="H248" i="1" s="1"/>
  <c r="H257" i="1"/>
  <c r="Q247" i="1"/>
  <c r="H249" i="1"/>
  <c r="AC49" i="22"/>
  <c r="V53" i="22"/>
  <c r="O50" i="21" s="1"/>
  <c r="H272" i="1"/>
  <c r="C273" i="1"/>
  <c r="R16" i="23" l="1"/>
  <c r="C278" i="1"/>
  <c r="AC53" i="22"/>
  <c r="Q250" i="1"/>
  <c r="Q251" i="1"/>
  <c r="Q259" i="1"/>
  <c r="Q263" i="1"/>
  <c r="Q256" i="1"/>
  <c r="Q276" i="1"/>
  <c r="Q254" i="1"/>
  <c r="L268" i="1"/>
  <c r="L269" i="1" s="1"/>
  <c r="Q269" i="1" s="1"/>
  <c r="L262" i="1"/>
  <c r="L264" i="1" s="1"/>
  <c r="Q264" i="1" s="1"/>
  <c r="Q248" i="1"/>
  <c r="H44" i="23"/>
  <c r="J44" i="23" s="1"/>
  <c r="L44" i="23" s="1"/>
  <c r="J19" i="23"/>
  <c r="L19" i="23" s="1"/>
  <c r="R17" i="23"/>
  <c r="R11" i="23"/>
  <c r="C262" i="1"/>
  <c r="H262" i="1" s="1"/>
  <c r="C269" i="1"/>
  <c r="H269" i="1" s="1"/>
  <c r="V100" i="12"/>
  <c r="V102" i="12" s="1"/>
  <c r="J14" i="23"/>
  <c r="L14" i="23" s="1"/>
  <c r="R14" i="23"/>
  <c r="F15" i="23"/>
  <c r="H15" i="23" s="1"/>
  <c r="L272" i="1"/>
  <c r="L278" i="1"/>
  <c r="Q278" i="1" s="1"/>
  <c r="J12" i="23"/>
  <c r="L12" i="23" s="1"/>
  <c r="R12" i="23"/>
  <c r="J13" i="23"/>
  <c r="L13" i="23" s="1"/>
  <c r="R13" i="23"/>
  <c r="Q262" i="1"/>
  <c r="C254" i="1"/>
  <c r="H254" i="1" s="1"/>
  <c r="Q253" i="1"/>
  <c r="S50" i="21"/>
  <c r="C274" i="1"/>
  <c r="H274" i="1" s="1"/>
  <c r="H273" i="1"/>
  <c r="C279" i="1"/>
  <c r="H279" i="1" s="1"/>
  <c r="H278" i="1"/>
  <c r="T14" i="23" l="1"/>
  <c r="V14" i="23" s="1"/>
  <c r="X65" i="23" s="1"/>
  <c r="R65" i="23"/>
  <c r="T65" i="23" s="1"/>
  <c r="V65" i="23" s="1"/>
  <c r="T11" i="23"/>
  <c r="V11" i="23" s="1"/>
  <c r="X62" i="23" s="1"/>
  <c r="R62" i="23"/>
  <c r="T62" i="23" s="1"/>
  <c r="V62" i="23" s="1"/>
  <c r="T17" i="23"/>
  <c r="V17" i="23" s="1"/>
  <c r="X68" i="23" s="1"/>
  <c r="R68" i="23"/>
  <c r="T68" i="23" s="1"/>
  <c r="V68" i="23" s="1"/>
  <c r="T13" i="23"/>
  <c r="V13" i="23" s="1"/>
  <c r="X64" i="23" s="1"/>
  <c r="R64" i="23"/>
  <c r="T64" i="23" s="1"/>
  <c r="V64" i="23" s="1"/>
  <c r="T12" i="23"/>
  <c r="V12" i="23" s="1"/>
  <c r="X63" i="23" s="1"/>
  <c r="R63" i="23"/>
  <c r="T63" i="23" s="1"/>
  <c r="V63" i="23" s="1"/>
  <c r="T16" i="23"/>
  <c r="V16" i="23" s="1"/>
  <c r="X67" i="23" s="1"/>
  <c r="R67" i="23"/>
  <c r="T67" i="23" s="1"/>
  <c r="V67" i="23" s="1"/>
  <c r="Q268" i="1"/>
  <c r="L279" i="1"/>
  <c r="Q279" i="1" s="1"/>
  <c r="L273" i="1"/>
  <c r="Q272" i="1"/>
  <c r="H40" i="23"/>
  <c r="J40" i="23" s="1"/>
  <c r="L40" i="23" s="1"/>
  <c r="J15" i="23"/>
  <c r="L15" i="23" s="1"/>
  <c r="R15" i="23"/>
  <c r="V105" i="12"/>
  <c r="E296" i="1" s="1"/>
  <c r="E298" i="1" s="1"/>
  <c r="H283" i="1" s="1"/>
  <c r="H281" i="1"/>
  <c r="T15" i="23" l="1"/>
  <c r="V15" i="23" s="1"/>
  <c r="X66" i="23" s="1"/>
  <c r="R66" i="23"/>
  <c r="T66" i="23" s="1"/>
  <c r="V66" i="23" s="1"/>
  <c r="Q273" i="1"/>
  <c r="L274" i="1"/>
  <c r="Q274" i="1" s="1"/>
  <c r="F22" i="23"/>
  <c r="V108" i="12"/>
  <c r="V109" i="12" s="1"/>
  <c r="O299" i="1"/>
  <c r="O301" i="1" s="1"/>
  <c r="Q283" i="1" s="1"/>
  <c r="H285" i="1"/>
  <c r="H288" i="1" s="1"/>
  <c r="Q281" i="1" l="1"/>
  <c r="Q285" i="1" s="1"/>
  <c r="Q288" i="1" s="1"/>
  <c r="Q289" i="1" s="1"/>
  <c r="H22" i="23"/>
  <c r="H50" i="23" s="1"/>
  <c r="F23" i="23"/>
  <c r="J50" i="23" l="1"/>
  <c r="L50" i="23" s="1"/>
  <c r="H51" i="23"/>
  <c r="R23" i="23"/>
  <c r="R72" i="23" s="1"/>
  <c r="J22" i="23"/>
  <c r="L22" i="23" s="1"/>
  <c r="R22" i="23"/>
  <c r="R71" i="23" s="1"/>
  <c r="T71" i="23" s="1"/>
  <c r="F24" i="23"/>
  <c r="H23" i="23"/>
  <c r="J23" i="23" s="1"/>
  <c r="L23" i="23" s="1"/>
  <c r="J51" i="23" l="1"/>
  <c r="L51" i="23" s="1"/>
  <c r="H52" i="23"/>
  <c r="T22" i="23"/>
  <c r="V22" i="23" s="1"/>
  <c r="V71" i="23"/>
  <c r="T23" i="23"/>
  <c r="V23" i="23" s="1"/>
  <c r="T72" i="23"/>
  <c r="V72" i="23" s="1"/>
  <c r="F25" i="23"/>
  <c r="H25" i="23" s="1"/>
  <c r="J25" i="23" s="1"/>
  <c r="L25" i="23" s="1"/>
  <c r="H24" i="23"/>
  <c r="J24" i="23" s="1"/>
  <c r="L24" i="23" s="1"/>
  <c r="J52" i="23" l="1"/>
  <c r="L52" i="23" s="1"/>
  <c r="H53" i="23"/>
  <c r="J53" i="23" s="1"/>
  <c r="L53" i="2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<sst xmlns="http://schemas.openxmlformats.org/spreadsheetml/2006/main" count="8775" uniqueCount="3587">
  <si>
    <t>Residential</t>
  </si>
  <si>
    <t>Commercial</t>
  </si>
  <si>
    <t>Industrial</t>
  </si>
  <si>
    <t>Multi Family</t>
  </si>
  <si>
    <t>Public Authority</t>
  </si>
  <si>
    <t>Jan</t>
  </si>
  <si>
    <t>Feb</t>
  </si>
  <si>
    <t>Mar</t>
  </si>
  <si>
    <t>Apr</t>
  </si>
  <si>
    <t>May</t>
  </si>
  <si>
    <t>June</t>
  </si>
  <si>
    <t>July</t>
  </si>
  <si>
    <t>Aug</t>
  </si>
  <si>
    <t>Sept</t>
  </si>
  <si>
    <t>Oct</t>
  </si>
  <si>
    <t>Nov</t>
  </si>
  <si>
    <t>Dec</t>
  </si>
  <si>
    <t>Water</t>
  </si>
  <si>
    <t>Rates 2022-00367</t>
  </si>
  <si>
    <t>First 2,000</t>
  </si>
  <si>
    <t>Flat Rate Customers</t>
  </si>
  <si>
    <t>Increase</t>
  </si>
  <si>
    <t>$</t>
  </si>
  <si>
    <t>%</t>
  </si>
  <si>
    <t>Over 2,000 (Per Gallon)</t>
  </si>
  <si>
    <t>Total</t>
  </si>
  <si>
    <t>Percentage</t>
  </si>
  <si>
    <t>Rates</t>
  </si>
  <si>
    <t>Phase 1</t>
  </si>
  <si>
    <t>Phase 2</t>
  </si>
  <si>
    <t>Phase 3</t>
  </si>
  <si>
    <t>Sales</t>
  </si>
  <si>
    <t>Adjustments</t>
  </si>
  <si>
    <t>Industrial Sales</t>
  </si>
  <si>
    <t>Total Adjustments</t>
  </si>
  <si>
    <t>Revenue Reported</t>
  </si>
  <si>
    <t>From G/L</t>
  </si>
  <si>
    <t>Total Customers</t>
  </si>
  <si>
    <t>Total Service Months</t>
  </si>
  <si>
    <t>Tota Amount</t>
  </si>
  <si>
    <t>Total Usage</t>
  </si>
  <si>
    <t>Total from</t>
  </si>
  <si>
    <t>Monthly Reports</t>
  </si>
  <si>
    <t>Annual Report</t>
  </si>
  <si>
    <t>Water Division Final Order dated Oct 31, 2023</t>
  </si>
  <si>
    <t>Taken from Wuetcher 5/29/25 email</t>
  </si>
  <si>
    <t>Taken from District Board Resolution provided by Hafield's 5/7/25 email.</t>
  </si>
  <si>
    <t>KRWFC $5,580,000 loan used to refinance:</t>
  </si>
  <si>
    <t>Original Loan Amounts</t>
  </si>
  <si>
    <t>Sewer</t>
  </si>
  <si>
    <t>Water Revenue Bonds Series 2001</t>
  </si>
  <si>
    <t>Sewer System Revenue Bonds Series 2003</t>
  </si>
  <si>
    <t>Sewer System Revenue Bonds Series 2004</t>
  </si>
  <si>
    <t>Water Revenue Bonds Series 2005</t>
  </si>
  <si>
    <t>Water Revenue Bonds Series 2008</t>
  </si>
  <si>
    <t>KRWFC Loan</t>
  </si>
  <si>
    <t>Percent of Total</t>
  </si>
  <si>
    <t>Refinancing Application, Exhibit D, Case No. 2021-00421</t>
  </si>
  <si>
    <t>Outstanding Principal and Interest at time of Refinance</t>
  </si>
  <si>
    <t>Used Previous Rate Cases</t>
  </si>
  <si>
    <t>Principal</t>
  </si>
  <si>
    <t>Interest</t>
  </si>
  <si>
    <t>Annual</t>
  </si>
  <si>
    <t>Payment</t>
  </si>
  <si>
    <t>RD Series 2003</t>
  </si>
  <si>
    <t>RD  Series 2001</t>
  </si>
  <si>
    <t>RD Series 2005</t>
  </si>
  <si>
    <t>RD Series 2008</t>
  </si>
  <si>
    <t>KRWFC Series 2012 E</t>
  </si>
  <si>
    <t>KIA Loan B291-01</t>
  </si>
  <si>
    <t>Refinanced</t>
  </si>
  <si>
    <t>Fully Retired 12/1/2023</t>
  </si>
  <si>
    <t>Amor Sch Included</t>
  </si>
  <si>
    <t>KIA Loan F-01-07</t>
  </si>
  <si>
    <t>RD Loan 91-24, Series 2001</t>
  </si>
  <si>
    <t>Not on Wuethcer's Schedule</t>
  </si>
  <si>
    <t>2001-339</t>
  </si>
  <si>
    <t>To Construct Water Plant</t>
  </si>
  <si>
    <t>Fully Retired 6/1/24</t>
  </si>
  <si>
    <t xml:space="preserve"> but 91-45 on Amort Schedule </t>
  </si>
  <si>
    <t>Labeled RD Loan 92-45 in Previous App.,</t>
  </si>
  <si>
    <t xml:space="preserve">Amor Sch Included </t>
  </si>
  <si>
    <t>RD Loan 42</t>
  </si>
  <si>
    <t>Fully Retired</t>
  </si>
  <si>
    <t xml:space="preserve">Total After </t>
  </si>
  <si>
    <t>Total Revenue Without Adjustments</t>
  </si>
  <si>
    <t>Difference in G/L Entries for Revenue</t>
  </si>
  <si>
    <t>Ampstun Usage Breakdown by Units Report</t>
  </si>
  <si>
    <t>Water Revenue</t>
  </si>
  <si>
    <t>Wholesale Customers</t>
  </si>
  <si>
    <t>Elkhorn City</t>
  </si>
  <si>
    <t>Mingo County Water</t>
  </si>
  <si>
    <t>Martin County Water District</t>
  </si>
  <si>
    <t>City of Jenkings</t>
  </si>
  <si>
    <t>No Meter</t>
  </si>
  <si>
    <t>4" Meter</t>
  </si>
  <si>
    <t>6" Meter</t>
  </si>
  <si>
    <t>Gallons</t>
  </si>
  <si>
    <t xml:space="preserve">Revenue at </t>
  </si>
  <si>
    <t xml:space="preserve">Gallons </t>
  </si>
  <si>
    <t>Taken form 2022-00367</t>
  </si>
  <si>
    <t xml:space="preserve">Difference in </t>
  </si>
  <si>
    <t xml:space="preserve">Annual and </t>
  </si>
  <si>
    <t>Monthly Report</t>
  </si>
  <si>
    <t>3" Meter</t>
  </si>
  <si>
    <t>Amortization Schedule Included</t>
  </si>
  <si>
    <t>KIA A15-077</t>
  </si>
  <si>
    <t>Not Included on Wuetcher's Schedule</t>
  </si>
  <si>
    <t>Sewer Division Final Order dated Oct 31, 2023</t>
  </si>
  <si>
    <t>Service</t>
  </si>
  <si>
    <t>Fees</t>
  </si>
  <si>
    <t>3-Year Average</t>
  </si>
  <si>
    <t>2% - 5.2%</t>
  </si>
  <si>
    <t>Year</t>
  </si>
  <si>
    <t>at</t>
  </si>
  <si>
    <t>RD Loan No. 91-45:</t>
  </si>
  <si>
    <t>KIA Loan A15-077:</t>
  </si>
  <si>
    <t>RD Loan No. 42, "Belfry":</t>
  </si>
  <si>
    <t>Divide by: 3 Years</t>
  </si>
  <si>
    <t>Water 86.27%</t>
  </si>
  <si>
    <t>Debt Refinanced:</t>
  </si>
  <si>
    <t>3-Year Total Payment</t>
  </si>
  <si>
    <t>Number of Flat Rate Customers</t>
  </si>
  <si>
    <t>January</t>
  </si>
  <si>
    <t>February</t>
  </si>
  <si>
    <t>March</t>
  </si>
  <si>
    <t>April</t>
  </si>
  <si>
    <t>August</t>
  </si>
  <si>
    <t>September</t>
  </si>
  <si>
    <t>October</t>
  </si>
  <si>
    <t>November</t>
  </si>
  <si>
    <t>December</t>
  </si>
  <si>
    <t>Mountain Volumetric Sewer Customers</t>
  </si>
  <si>
    <t>Contract Sewer Rate</t>
  </si>
  <si>
    <t>Residential Sales</t>
  </si>
  <si>
    <t>Commercial Sales</t>
  </si>
  <si>
    <t>Accrue A/R</t>
  </si>
  <si>
    <t>Add Back</t>
  </si>
  <si>
    <t>Adj</t>
  </si>
  <si>
    <t>Cycle 4 and 10 New Rate Revenue Posted to G/L Sales in January. All other cycles post in December.</t>
  </si>
  <si>
    <t>Revenue</t>
  </si>
  <si>
    <t>Cycle 4 and 10</t>
  </si>
  <si>
    <t xml:space="preserve">Mingo Sewer 2003 40 year Contract Rate $3.58 (Lowe 6/16/25 email) </t>
  </si>
  <si>
    <t>Remove December Cycle 10</t>
  </si>
  <si>
    <t>Remove December Cycle 4, Rev</t>
  </si>
  <si>
    <t>Phase 1 Rate Revenue</t>
  </si>
  <si>
    <t>Phase 2 Rate Revenue</t>
  </si>
  <si>
    <t>Remove Mingo Wholesale Sales</t>
  </si>
  <si>
    <t>Water Sold, Cycle 9</t>
  </si>
  <si>
    <t>Revenue Generated from Phase-In Rates</t>
  </si>
  <si>
    <t>Effective</t>
  </si>
  <si>
    <t>Increase to Phase 1</t>
  </si>
  <si>
    <t>to determine</t>
  </si>
  <si>
    <t>Increase to Phase 2</t>
  </si>
  <si>
    <t>Phase 1 Rate Revenue from:</t>
  </si>
  <si>
    <t>Billing Cycle</t>
  </si>
  <si>
    <t>Retail Sewer Service Revenue</t>
  </si>
  <si>
    <t>Sewer Service to Mingo County</t>
  </si>
  <si>
    <t>Number of Volumetric Customers</t>
  </si>
  <si>
    <t>Minimum Bill, Volumetric Customers</t>
  </si>
  <si>
    <t>Over 2,000 Gallon Rate</t>
  </si>
  <si>
    <t>Total Number of Customers at Phase 1 Rate</t>
  </si>
  <si>
    <t xml:space="preserve">1 + Percent </t>
  </si>
  <si>
    <t>Increase to</t>
  </si>
  <si>
    <t>Phase 1 Rates</t>
  </si>
  <si>
    <t>Annualized</t>
  </si>
  <si>
    <t>Revenue at</t>
  </si>
  <si>
    <t>Phase 2 Rates</t>
  </si>
  <si>
    <t>Phase 3 Rates</t>
  </si>
  <si>
    <t>Cycle</t>
  </si>
  <si>
    <t>Total Customers from Billing Analysis</t>
  </si>
  <si>
    <t>Less: Flat Rate Customers</t>
  </si>
  <si>
    <t>Phase 2 Rates in December</t>
  </si>
  <si>
    <t xml:space="preserve">Volumetric Customers Billed </t>
  </si>
  <si>
    <t>(Lowe 6/25/25 email)</t>
  </si>
  <si>
    <t>December Phase 2 Revenue from:</t>
  </si>
  <si>
    <t>Add: December</t>
  </si>
  <si>
    <t>Test Year</t>
  </si>
  <si>
    <t>Total Sewer Service Revenue</t>
  </si>
  <si>
    <t>Pro forma</t>
  </si>
  <si>
    <t>Times: 1 + Percent</t>
  </si>
  <si>
    <t>Less: Test Year</t>
  </si>
  <si>
    <t>Adjustment</t>
  </si>
  <si>
    <t xml:space="preserve">   Minimum Bill</t>
  </si>
  <si>
    <t>Volumetric Rates:</t>
  </si>
  <si>
    <t xml:space="preserve">   Over 2,000 Gallons</t>
  </si>
  <si>
    <t>Phase 2 Rate Revenue from:</t>
  </si>
  <si>
    <t>Revenue from</t>
  </si>
  <si>
    <t xml:space="preserve">Subtotal </t>
  </si>
  <si>
    <t>Subtotal</t>
  </si>
  <si>
    <t>Total Other Revenue</t>
  </si>
  <si>
    <t>Total Operating Revenue</t>
  </si>
  <si>
    <t>Employee Pensions and Benefits</t>
  </si>
  <si>
    <t>Purchased Power</t>
  </si>
  <si>
    <t>Chemicals</t>
  </si>
  <si>
    <t>Materials and Supplies</t>
  </si>
  <si>
    <t>Transportation Expense</t>
  </si>
  <si>
    <t>Insurance - General Liability</t>
  </si>
  <si>
    <t>Advertising</t>
  </si>
  <si>
    <t>Bad Debt Expense</t>
  </si>
  <si>
    <t>Miscellaneous Expenses</t>
  </si>
  <si>
    <t>Total Oper. and Maint. Expenses</t>
  </si>
  <si>
    <t>Depreciation Expense</t>
  </si>
  <si>
    <t>Taxes Other Than Income</t>
  </si>
  <si>
    <t>Total Operating Expenses</t>
  </si>
  <si>
    <t>Operating Income</t>
  </si>
  <si>
    <t>Plus: Interest Income</t>
  </si>
  <si>
    <t>Income Available to Service Debt</t>
  </si>
  <si>
    <t>Pro forma Operating Statement, Water Department</t>
  </si>
  <si>
    <t>Schedule A</t>
  </si>
  <si>
    <t>PRO FORMA ADJUSTED OPERATING STATEMENT</t>
  </si>
  <si>
    <t>Ref.</t>
  </si>
  <si>
    <t xml:space="preserve">Schedule </t>
  </si>
  <si>
    <t>Pro forma Operating Statement, Sewer</t>
  </si>
  <si>
    <t>Purchased Water</t>
  </si>
  <si>
    <t>Pro Forma Operating Expenses</t>
  </si>
  <si>
    <t>Total Revenue Requirement</t>
  </si>
  <si>
    <t>Less: Other Operating Revenue</t>
  </si>
  <si>
    <t>Revenue Required from Rates</t>
  </si>
  <si>
    <t>Less: Pro Forma Present Rate Revenue</t>
  </si>
  <si>
    <t>(A)</t>
  </si>
  <si>
    <t>(B)</t>
  </si>
  <si>
    <t>(C)</t>
  </si>
  <si>
    <t xml:space="preserve">     Interest Income</t>
  </si>
  <si>
    <t>Retail</t>
  </si>
  <si>
    <t>Wholesale</t>
  </si>
  <si>
    <t>Total Water Sales</t>
  </si>
  <si>
    <t>Taken from Billing Reports</t>
  </si>
  <si>
    <t>Test Year Wholesale Sales</t>
  </si>
  <si>
    <t>Mingo County, Cycle 9</t>
  </si>
  <si>
    <t>Sales - Wholesale Customer Elkhorn and Mingo</t>
  </si>
  <si>
    <t>The "Ampstun Usage Breakdown by Units Report" did not include useful information. Reports by billing cycle were required</t>
  </si>
  <si>
    <t>Miscellaneous Service Revenue</t>
  </si>
  <si>
    <t>Collection System Labor</t>
  </si>
  <si>
    <t>Miscellaneous Supplies and Expenses</t>
  </si>
  <si>
    <t>Collection System</t>
  </si>
  <si>
    <t>Treatment and Disposal</t>
  </si>
  <si>
    <t>Office Supplies and Other Expenses</t>
  </si>
  <si>
    <t>20 Percent Debt Service Coverage for Long-Term Debts</t>
  </si>
  <si>
    <t>Insurance - Worker's Compensation</t>
  </si>
  <si>
    <t>Contractual Services - Engineering</t>
  </si>
  <si>
    <t>Contractual Services - Accounting</t>
  </si>
  <si>
    <t>Contractual Services - Legal</t>
  </si>
  <si>
    <t>Contractual Services - Water Testing</t>
  </si>
  <si>
    <t>Contractual Services - Other</t>
  </si>
  <si>
    <t>Salaries and Wages - Officers</t>
  </si>
  <si>
    <t>Salaries and Wages - Employees</t>
  </si>
  <si>
    <t>Employees Pensions and Benefits</t>
  </si>
  <si>
    <t>Bills</t>
  </si>
  <si>
    <t>Per Gallon</t>
  </si>
  <si>
    <t>3/4 Meter Multi 6</t>
  </si>
  <si>
    <t>3/4 Meter Multi 8</t>
  </si>
  <si>
    <t>3/4 Meter</t>
  </si>
  <si>
    <t>3/4 Multi 2</t>
  </si>
  <si>
    <t>3/4 Multi 3</t>
  </si>
  <si>
    <t>3/4 Multi 4</t>
  </si>
  <si>
    <t>3/4 Water Buchanan</t>
  </si>
  <si>
    <t>"No Meter - Flat Rate"</t>
  </si>
  <si>
    <t>1"</t>
  </si>
  <si>
    <t>1" Multi 2</t>
  </si>
  <si>
    <t>1" Multi 4</t>
  </si>
  <si>
    <t>1" Multi 5</t>
  </si>
  <si>
    <t>Multi 52</t>
  </si>
  <si>
    <t>2 2 Stationary</t>
  </si>
  <si>
    <t>2 Multi 16</t>
  </si>
  <si>
    <t>2 RG3 Meter</t>
  </si>
  <si>
    <t>2 RG3 Multi of 68</t>
  </si>
  <si>
    <t>3 2 Stationary</t>
  </si>
  <si>
    <t>3 RG3 Meter</t>
  </si>
  <si>
    <t>4 2 Stationary</t>
  </si>
  <si>
    <t>4  3 Stationary</t>
  </si>
  <si>
    <t>4 RG3 Meter</t>
  </si>
  <si>
    <t>6 3 Stationary</t>
  </si>
  <si>
    <t>6 Multi 84-3 Stat</t>
  </si>
  <si>
    <t>6 RG3 Meter</t>
  </si>
  <si>
    <t>Hospital 6</t>
  </si>
  <si>
    <t>Elkhorn City Rate 6" Meter</t>
  </si>
  <si>
    <t>January = All Cycles</t>
  </si>
  <si>
    <t>Meter</t>
  </si>
  <si>
    <t>Charges</t>
  </si>
  <si>
    <t>Total Wholesale</t>
  </si>
  <si>
    <t>Grand Total</t>
  </si>
  <si>
    <t>Rate Code</t>
  </si>
  <si>
    <t>February = Cycles 4, 5 and 10</t>
  </si>
  <si>
    <t>March - December = All Cycles</t>
  </si>
  <si>
    <t>Test-Year Totals</t>
  </si>
  <si>
    <t>Retail Sales</t>
  </si>
  <si>
    <t>Wholesale Sales</t>
  </si>
  <si>
    <t>Rate</t>
  </si>
  <si>
    <t>February = Cycles 1, 2, 3, 6, 7, 8 and 9</t>
  </si>
  <si>
    <t>Lowe 6/30/25 email</t>
  </si>
  <si>
    <t>(D)</t>
  </si>
  <si>
    <t>Total Retail Billing Analysis Rev.</t>
  </si>
  <si>
    <t>Difference %</t>
  </si>
  <si>
    <t>Pro forma Present Rate Retail Revenue</t>
  </si>
  <si>
    <t>Less: Test-Year Billed Revenue</t>
  </si>
  <si>
    <t>Total Retail Billing Analysis Revenue</t>
  </si>
  <si>
    <t>(E)</t>
  </si>
  <si>
    <t>(F)</t>
  </si>
  <si>
    <t>(G)</t>
  </si>
  <si>
    <t>Billing Analysis - Pro Forma Present Rate Revenue</t>
  </si>
  <si>
    <t>Reduced</t>
  </si>
  <si>
    <t>Pro forma Present Rate Retail Revenue for 365.25 Days</t>
  </si>
  <si>
    <t>Pro forma Retail Revenue at Present Rates for Average Year</t>
  </si>
  <si>
    <t>Less: Pro forma Present Rate Revenue Calculated in Ref. Item (F)</t>
  </si>
  <si>
    <t>Billing Analysis - Pro Forma Present Rate Revenue for Average Number of Days in a Year</t>
  </si>
  <si>
    <t>Test Year Billing Analysis Normalized for $0.01148</t>
  </si>
  <si>
    <t>by 1.035%</t>
  </si>
  <si>
    <t>(H)</t>
  </si>
  <si>
    <t>Wholesale Revenue</t>
  </si>
  <si>
    <t>City of Elkhorn</t>
  </si>
  <si>
    <t>Mingo County Public Service District</t>
  </si>
  <si>
    <t>Total Wholesale Gallons Sold</t>
  </si>
  <si>
    <t>Times: Current Rate</t>
  </si>
  <si>
    <t>Pro forma Present Rate Wholesale Revenue</t>
  </si>
  <si>
    <t>(I)</t>
  </si>
  <si>
    <t>Special Service Sprinkler System</t>
  </si>
  <si>
    <t>(J)</t>
  </si>
  <si>
    <t>Forfeited Discounts</t>
  </si>
  <si>
    <t>Gross Billing</t>
  </si>
  <si>
    <t>Rate-Making Adjustments:</t>
  </si>
  <si>
    <t>Pro forma G/L Revenue Adjustments</t>
  </si>
  <si>
    <t>Net Test-Year Billed Retail Sales</t>
  </si>
  <si>
    <t>Operations</t>
  </si>
  <si>
    <t>Allocated Forfeited Discounts</t>
  </si>
  <si>
    <t>Lowe 7/8 email</t>
  </si>
  <si>
    <t>Big Creek Sewer (Billed $34 each Monthly, Not Regulated)</t>
  </si>
  <si>
    <t xml:space="preserve">   6, 7, 8 and 9</t>
  </si>
  <si>
    <t>Phase 2 Rate</t>
  </si>
  <si>
    <t>Dec. Cycles 4 and 10</t>
  </si>
  <si>
    <t>Dec. Cycles 1, 2, 3, 5,</t>
  </si>
  <si>
    <t>Big Creek Sewer, Cycle 5</t>
  </si>
  <si>
    <t>Number of Big Creek Sewer, Cycle 5</t>
  </si>
  <si>
    <t>Less: Phase 2 Rate Revenue</t>
  </si>
  <si>
    <t>6011.07 Customer Accounts Labor</t>
  </si>
  <si>
    <t>Big Sandy Community Action 1st Reimbursement</t>
  </si>
  <si>
    <t>Admin &amp; General Labor</t>
  </si>
  <si>
    <t>Taken from Hatfield 6/13/25 e-mail</t>
  </si>
  <si>
    <t>Employee No.</t>
  </si>
  <si>
    <t>WATER TREATMENT PLANT</t>
  </si>
  <si>
    <t>WTP Operator Trainee</t>
  </si>
  <si>
    <t>Employee Buy up</t>
  </si>
  <si>
    <t>WTP Operator Class III</t>
  </si>
  <si>
    <t>Family/Buy up</t>
  </si>
  <si>
    <t>Family /Basic</t>
  </si>
  <si>
    <t>Employee Basic</t>
  </si>
  <si>
    <t>WTP Operator Class IV</t>
  </si>
  <si>
    <t>WATER DISTRIBUTION</t>
  </si>
  <si>
    <t>Field Supervisor / DW III</t>
  </si>
  <si>
    <t>Employee/Child Buy up</t>
  </si>
  <si>
    <t>Family-Basic</t>
  </si>
  <si>
    <t>Equip. Operator</t>
  </si>
  <si>
    <t>Water Utility Tech</t>
  </si>
  <si>
    <t>NA</t>
  </si>
  <si>
    <t>EC-Basic</t>
  </si>
  <si>
    <t>Meter Service Tech</t>
  </si>
  <si>
    <t>Family-B up</t>
  </si>
  <si>
    <t>Field Supervisor</t>
  </si>
  <si>
    <t>Family-Bup</t>
  </si>
  <si>
    <t>Construction Supervisor / DW III / CDL</t>
  </si>
  <si>
    <t>Employee /Spouce Buy up</t>
  </si>
  <si>
    <t>Employee /Spouce Basic</t>
  </si>
  <si>
    <t xml:space="preserve"> WATER QUALITY ENVIRONMENTAL COMPLIANCE </t>
  </si>
  <si>
    <t>WQ Compliance Tech Supervisor</t>
  </si>
  <si>
    <t>WQ Compliance Tech</t>
  </si>
  <si>
    <t>Maintenance tech.</t>
  </si>
  <si>
    <t xml:space="preserve">GIS Tech </t>
  </si>
  <si>
    <t>REPAIR / PREVENTATIVE MAINTENANCE</t>
  </si>
  <si>
    <t xml:space="preserve">Maintenance Supervisor </t>
  </si>
  <si>
    <t>Maintenance Tech.</t>
  </si>
  <si>
    <t xml:space="preserve">WATER LOSS COMPLIANCE </t>
  </si>
  <si>
    <t>Night Shift &amp; Leak Detect Supvr / WTP Oper Class III</t>
  </si>
  <si>
    <t>Family/Basic</t>
  </si>
  <si>
    <t>Day Shift Leak Detection Tech</t>
  </si>
  <si>
    <t>Night Shift Leak Detection</t>
  </si>
  <si>
    <t>Day/night  Shift Leak Detection Tech/Equip. opr</t>
  </si>
  <si>
    <t>Night shift</t>
  </si>
  <si>
    <t xml:space="preserve">WATER METER SERVICE DEPARTMENT </t>
  </si>
  <si>
    <t>Supervisor (Retired)</t>
  </si>
  <si>
    <t>7/16.07</t>
  </si>
  <si>
    <t>Supervisor</t>
  </si>
  <si>
    <t>WASTEWATER TREATMENT PLANT</t>
  </si>
  <si>
    <t>WWTP Chief Operator II</t>
  </si>
  <si>
    <t>Employee/Spouse Buy up</t>
  </si>
  <si>
    <t>WWTP Operator II / WW Collection I</t>
  </si>
  <si>
    <t>WWTP Operator II / WW Collection II</t>
  </si>
  <si>
    <t>WWTP Operator / WW Collect. II</t>
  </si>
  <si>
    <t>WWTP Operator II / CDL</t>
  </si>
  <si>
    <t>WASTEWATER COLLECTION</t>
  </si>
  <si>
    <t>WW Utility Tech/EquipOpert</t>
  </si>
  <si>
    <t>WW Utility Tech</t>
  </si>
  <si>
    <t>CUSTOMER SERVICE</t>
  </si>
  <si>
    <t>Cust. Service Clerk</t>
  </si>
  <si>
    <t>ADMINISTRATION</t>
  </si>
  <si>
    <t>HR Spec. / AP Asst.</t>
  </si>
  <si>
    <t>Administrative Asst.</t>
  </si>
  <si>
    <t>Safety Director</t>
  </si>
  <si>
    <t>Warehouse Clerk</t>
  </si>
  <si>
    <t>Fleet Garage Mech.</t>
  </si>
  <si>
    <t>WTP Supervior</t>
  </si>
  <si>
    <t>Family Basic</t>
  </si>
  <si>
    <t>Employee/Spouce/Basic</t>
  </si>
  <si>
    <t>District Project Manager</t>
  </si>
  <si>
    <t>Chief Financial Officer</t>
  </si>
  <si>
    <t>Family -B up</t>
  </si>
  <si>
    <t>Compliance / Off. Mgr.</t>
  </si>
  <si>
    <t>Office / Billing Mgr.</t>
  </si>
  <si>
    <t>Jan.-Feb All Cycles +</t>
  </si>
  <si>
    <t>Revenue Increase from Phase 2 Rates</t>
  </si>
  <si>
    <t>Plus: Revenue Increase from Phase 3 Rates</t>
  </si>
  <si>
    <t>Total Revenue Increase from Phase-In Plan</t>
  </si>
  <si>
    <t>Phase 3 Rate Revenue from Volume Sales</t>
  </si>
  <si>
    <t>Times: Reduction to Average Year</t>
  </si>
  <si>
    <t>Test year employees no longer employed</t>
  </si>
  <si>
    <t>Water Distribution</t>
  </si>
  <si>
    <t>Water Meter Service Department</t>
  </si>
  <si>
    <t>Customer Service</t>
  </si>
  <si>
    <t>Administration</t>
  </si>
  <si>
    <t>Test Year Car Allowance</t>
  </si>
  <si>
    <t>Wage Rate</t>
  </si>
  <si>
    <t>TELEMETRY</t>
  </si>
  <si>
    <t>Customer Service Manager</t>
  </si>
  <si>
    <t>On Call</t>
  </si>
  <si>
    <t>Hire Date</t>
  </si>
  <si>
    <t xml:space="preserve">Health </t>
  </si>
  <si>
    <t>Plan</t>
  </si>
  <si>
    <t>MWD</t>
  </si>
  <si>
    <t>Health</t>
  </si>
  <si>
    <t>per Month</t>
  </si>
  <si>
    <t>Employee</t>
  </si>
  <si>
    <t>Dental</t>
  </si>
  <si>
    <t>Job Title</t>
  </si>
  <si>
    <t>Overtime</t>
  </si>
  <si>
    <t>Safety</t>
  </si>
  <si>
    <t>Hours</t>
  </si>
  <si>
    <t>Regular</t>
  </si>
  <si>
    <t>Wages</t>
  </si>
  <si>
    <t>Employee Sp</t>
  </si>
  <si>
    <t>Employee-Buy</t>
  </si>
  <si>
    <t>Employee-Child Buy-up</t>
  </si>
  <si>
    <t>Employee- Buy up</t>
  </si>
  <si>
    <t xml:space="preserve">Incentive </t>
  </si>
  <si>
    <t>Pay</t>
  </si>
  <si>
    <t>Call Out</t>
  </si>
  <si>
    <t>Materials</t>
  </si>
  <si>
    <t>Vehicle</t>
  </si>
  <si>
    <t>Equipment</t>
  </si>
  <si>
    <t>Labor</t>
  </si>
  <si>
    <t>3/4"</t>
  </si>
  <si>
    <t>No. Taps</t>
  </si>
  <si>
    <t>1" and Larger</t>
  </si>
  <si>
    <t>Size</t>
  </si>
  <si>
    <t>2"</t>
  </si>
  <si>
    <t>6"</t>
  </si>
  <si>
    <t>Total Water</t>
  </si>
  <si>
    <t>(K)</t>
  </si>
  <si>
    <t>(L)</t>
  </si>
  <si>
    <t>(M)</t>
  </si>
  <si>
    <t>Grand</t>
  </si>
  <si>
    <t>Treatment</t>
  </si>
  <si>
    <t>Meters</t>
  </si>
  <si>
    <t>Customer</t>
  </si>
  <si>
    <t>Source</t>
  </si>
  <si>
    <t>of Supply</t>
  </si>
  <si>
    <t>Transmission</t>
  </si>
  <si>
    <t>and Distribution</t>
  </si>
  <si>
    <t>Accounts</t>
  </si>
  <si>
    <t>Administrative</t>
  </si>
  <si>
    <t>Connection/Turn-on Charge</t>
  </si>
  <si>
    <t>Meter Re-read Charge</t>
  </si>
  <si>
    <t>Meter Test Charge</t>
  </si>
  <si>
    <t>Reconnection Charge</t>
  </si>
  <si>
    <t>Returned Check Charge</t>
  </si>
  <si>
    <t>Turn On Charge</t>
  </si>
  <si>
    <t>Total Revenue Shown in G/L account 4741 Service Conneciton Fees</t>
  </si>
  <si>
    <t>Less: Revenue from Unauthorized investigation charge</t>
  </si>
  <si>
    <t>Reports Lowe 7/7/25 emailed reports</t>
  </si>
  <si>
    <t>Service Connection Charge</t>
  </si>
  <si>
    <t xml:space="preserve">Disconnection Charge </t>
  </si>
  <si>
    <t>Revenue from Nonrecurring Charges to Share with Sewer</t>
  </si>
  <si>
    <t>Debits to Acct 4741.17</t>
  </si>
  <si>
    <t>Debit Balance</t>
  </si>
  <si>
    <t>Revenue from NRC Sewer</t>
  </si>
  <si>
    <t>Sewer Only Customers</t>
  </si>
  <si>
    <t>Charged Volumentric Sewer Rate</t>
  </si>
  <si>
    <t xml:space="preserve">  Williamson Utilities provides these</t>
  </si>
  <si>
    <t xml:space="preserve">  customers water and provides MWD</t>
  </si>
  <si>
    <t xml:space="preserve">  with meter readings to which volumetric</t>
  </si>
  <si>
    <t xml:space="preserve">  sewer rates are applied</t>
  </si>
  <si>
    <t>Charged Flat Rate</t>
  </si>
  <si>
    <t>See Lowe 6/25/25 email</t>
  </si>
  <si>
    <t>Nonrecurring Charges</t>
  </si>
  <si>
    <t>Divided by: Number of Water Customers</t>
  </si>
  <si>
    <t>Times: Number of Joint Use Customers</t>
  </si>
  <si>
    <t>Divide by: 2</t>
  </si>
  <si>
    <t>Nonrecurring Charge Revenue, Water Operations</t>
  </si>
  <si>
    <t>Average Revenue Per Water Customer</t>
  </si>
  <si>
    <t>Revenue Attributed to Customers with both Services</t>
  </si>
  <si>
    <t>Revenue Shared with Sewer Operations</t>
  </si>
  <si>
    <t>Uniform Expense</t>
  </si>
  <si>
    <t>Safety Supplies</t>
  </si>
  <si>
    <t>Laboratory Supplies</t>
  </si>
  <si>
    <t>Employee Expense</t>
  </si>
  <si>
    <t>Parts</t>
  </si>
  <si>
    <t>Major Equipment Repair</t>
  </si>
  <si>
    <t>Hand Tools</t>
  </si>
  <si>
    <t>Pumping/Lift Staion</t>
  </si>
  <si>
    <t>Leak Detection</t>
  </si>
  <si>
    <t>General Materials and Supplies</t>
  </si>
  <si>
    <t>Nonpumping</t>
  </si>
  <si>
    <t>ARC /GIS Coordinator, Only Water</t>
  </si>
  <si>
    <t>WW Ops Mgr/Fleet Mgr/DW III/WWTP Opr I/WW Collect. II, 99.9% Sewer</t>
  </si>
  <si>
    <t>Family Buy up</t>
  </si>
  <si>
    <t>Operations Manager for Water</t>
  </si>
  <si>
    <t>Water Treatment Plant</t>
  </si>
  <si>
    <t>Water Meter Service Dept.</t>
  </si>
  <si>
    <t>Waste Water Treatment Plant</t>
  </si>
  <si>
    <t xml:space="preserve">Waste Water Collection </t>
  </si>
  <si>
    <t>Customer Service Dept.</t>
  </si>
  <si>
    <t>Water Distrbution:</t>
  </si>
  <si>
    <t xml:space="preserve">  Repair, Maint. Construction</t>
  </si>
  <si>
    <t xml:space="preserve">  Water Loss Compliance</t>
  </si>
  <si>
    <t xml:space="preserve">  Water Quality/Environ. Comp. </t>
  </si>
  <si>
    <t xml:space="preserve">  Telemetry</t>
  </si>
  <si>
    <t xml:space="preserve">  Repair  and Preventive Maint.</t>
  </si>
  <si>
    <t xml:space="preserve">Water Treatment and Distribution Support </t>
  </si>
  <si>
    <t>Adminstrative</t>
  </si>
  <si>
    <t>WATER OPERATIONS</t>
  </si>
  <si>
    <t xml:space="preserve">  David Talor</t>
  </si>
  <si>
    <t>Test Year Capitalization Rate</t>
  </si>
  <si>
    <t>Test-Year Capitalized Wages</t>
  </si>
  <si>
    <t xml:space="preserve">  Performing Construction</t>
  </si>
  <si>
    <t>Divided by: Test-Year Wages of Crew</t>
  </si>
  <si>
    <t>Taken from file name "Employee List for 2024" in "Hatfield" folder</t>
  </si>
  <si>
    <t>Contribution</t>
  </si>
  <si>
    <t>PSC Required Employee</t>
  </si>
  <si>
    <t>Health Insurnce</t>
  </si>
  <si>
    <t>Percent</t>
  </si>
  <si>
    <t>Dental Insurnce</t>
  </si>
  <si>
    <t>PSC Case Nos. 2022-00366 and 2022-00367</t>
  </si>
  <si>
    <t>Sewer Case No. 2022-00367, Order Oct 31, 2023, Pages 7 and 8</t>
  </si>
  <si>
    <t>Water Case No. 2022-00366, Order Oct 31, 2023, Pages 10 and 11</t>
  </si>
  <si>
    <t>Mountain Water District - Water Operations, Test Year Ended December 31,2024</t>
  </si>
  <si>
    <t>Mountain Water District - Sewer Operations, Test Year Ended December 31,2024</t>
  </si>
  <si>
    <t>Amortization</t>
  </si>
  <si>
    <t>A/R</t>
  </si>
  <si>
    <t>Times: 12</t>
  </si>
  <si>
    <t>2024 Water</t>
  </si>
  <si>
    <t>CERS</t>
  </si>
  <si>
    <t>Taken from District's Purchased Power Spreadsheet</t>
  </si>
  <si>
    <t>Allocate G/L Total based on Spreadsheet Invoice Detail</t>
  </si>
  <si>
    <t xml:space="preserve">General Ledger </t>
  </si>
  <si>
    <t>G/L</t>
  </si>
  <si>
    <t>Difference in Detail Report and General Ledger</t>
  </si>
  <si>
    <t>Not material in nature, no reconciliation performed as part of rate review</t>
  </si>
  <si>
    <t>Purchase Power for Pumping</t>
  </si>
  <si>
    <t>Other Purchased Power</t>
  </si>
  <si>
    <t>Non-Pumping Power</t>
  </si>
  <si>
    <t xml:space="preserve">Number of </t>
  </si>
  <si>
    <t>Customers</t>
  </si>
  <si>
    <t>Non-Pumping</t>
  </si>
  <si>
    <t>Power</t>
  </si>
  <si>
    <t>Insurance</t>
  </si>
  <si>
    <t>Pensions</t>
  </si>
  <si>
    <t>Purchased Water for Resale</t>
  </si>
  <si>
    <t>Water Loss</t>
  </si>
  <si>
    <t>Limit</t>
  </si>
  <si>
    <t>Excess</t>
  </si>
  <si>
    <t>Remove</t>
  </si>
  <si>
    <t>Number of Employees</t>
  </si>
  <si>
    <t>Includes 6 pair of boots for sewer for total $900. No adjustment due to materiality</t>
  </si>
  <si>
    <t>Miles Driven</t>
  </si>
  <si>
    <t>Lowe email 7/7/25</t>
  </si>
  <si>
    <t>No. Employees</t>
  </si>
  <si>
    <t>Distribution</t>
  </si>
  <si>
    <t>Factor</t>
  </si>
  <si>
    <t>ALLOCATION OF DEBT SERVICE USING PLANT VALUES</t>
  </si>
  <si>
    <t>Storage</t>
  </si>
  <si>
    <t>Admin &amp;</t>
  </si>
  <si>
    <t>General</t>
  </si>
  <si>
    <t>Plant in Service</t>
  </si>
  <si>
    <t>Plant Value Percentages</t>
  </si>
  <si>
    <t>Allocation of Debt Service</t>
  </si>
  <si>
    <t>Mountain Water District, Water Operations</t>
  </si>
  <si>
    <t>SYSTEM INFORMATION</t>
  </si>
  <si>
    <t>Schedule of All Main and Jointly Used Main</t>
  </si>
  <si>
    <t>Total System</t>
  </si>
  <si>
    <t>Joint Use</t>
  </si>
  <si>
    <t>Length</t>
  </si>
  <si>
    <t>Miles of</t>
  </si>
  <si>
    <t>Inch-</t>
  </si>
  <si>
    <t>Main Size</t>
  </si>
  <si>
    <t>Feet</t>
  </si>
  <si>
    <t>Main</t>
  </si>
  <si>
    <t>Miles</t>
  </si>
  <si>
    <t>Totals</t>
  </si>
  <si>
    <t>Water Produced, Sold and Used</t>
  </si>
  <si>
    <t>Gallons (000's)</t>
  </si>
  <si>
    <t>Water Produced</t>
  </si>
  <si>
    <t>Total Water Produced and Purchased</t>
  </si>
  <si>
    <t>Water Sold:</t>
  </si>
  <si>
    <t xml:space="preserve">  Retail</t>
  </si>
  <si>
    <t>Total Sold</t>
  </si>
  <si>
    <t>Water Used at Plant</t>
  </si>
  <si>
    <t>System Flushing</t>
  </si>
  <si>
    <t>Water Lost</t>
  </si>
  <si>
    <t>WHOLESALE ALLOCATION FACTORS</t>
  </si>
  <si>
    <t>Plant Use Percentage</t>
  </si>
  <si>
    <t>Line Loss + Plant Use</t>
  </si>
  <si>
    <t>Joint Ues Inch-miles</t>
  </si>
  <si>
    <t>Total Inch-Miles</t>
  </si>
  <si>
    <t>Production Multiplier</t>
  </si>
  <si>
    <t>=</t>
  </si>
  <si>
    <t>Joint Use Pipeline Ratio</t>
  </si>
  <si>
    <t>Joint Share of Line Loss</t>
  </si>
  <si>
    <t>x</t>
  </si>
  <si>
    <t>Joint Share of Line Loss + Plant Use</t>
  </si>
  <si>
    <t>+</t>
  </si>
  <si>
    <t>Wholesale Production Multiplier</t>
  </si>
  <si>
    <t>Production Allocation Factor</t>
  </si>
  <si>
    <t>Pipeline Transmission Factor</t>
  </si>
  <si>
    <t>Use Factor</t>
  </si>
  <si>
    <t>WHOLESALE RATE COMPUTATION</t>
  </si>
  <si>
    <t>Pro Forma</t>
  </si>
  <si>
    <t>Allocation</t>
  </si>
  <si>
    <t>Allocated</t>
  </si>
  <si>
    <t>Expenses</t>
  </si>
  <si>
    <t>System Allocation Factors</t>
  </si>
  <si>
    <t>Salaries and Wages</t>
  </si>
  <si>
    <t>Trans &amp; Dist.</t>
  </si>
  <si>
    <t>Purchased Water:</t>
  </si>
  <si>
    <t>Contractual Service</t>
  </si>
  <si>
    <t xml:space="preserve">   </t>
  </si>
  <si>
    <t>Total Operation and Maintenance</t>
  </si>
  <si>
    <t>Storage Tanks</t>
  </si>
  <si>
    <t>FICA</t>
  </si>
  <si>
    <t>Debt Service</t>
  </si>
  <si>
    <t>Total Revenue Required</t>
  </si>
  <si>
    <t>Divide by: Wholesale Gallons Sold</t>
  </si>
  <si>
    <t>Less: Current Rate</t>
  </si>
  <si>
    <t>Increase $</t>
  </si>
  <si>
    <t>Increase %</t>
  </si>
  <si>
    <t xml:space="preserve">  311-2075</t>
  </si>
  <si>
    <t xml:space="preserve">                       1011-02</t>
  </si>
  <si>
    <t>JIMMY CREEKS BPS</t>
  </si>
  <si>
    <t xml:space="preserve">ST LINE             </t>
  </si>
  <si>
    <t xml:space="preserve">  311-2076</t>
  </si>
  <si>
    <t>HONEY FORK BPS</t>
  </si>
  <si>
    <t xml:space="preserve">  311-2077</t>
  </si>
  <si>
    <t>Big Shelby Booster Pump</t>
  </si>
  <si>
    <t xml:space="preserve">  311-2078</t>
  </si>
  <si>
    <t>HURRICANE BOOSTER PUMP</t>
  </si>
  <si>
    <t xml:space="preserve">  311-2079</t>
  </si>
  <si>
    <t>BP PUMP UPGRADE CANEY</t>
  </si>
  <si>
    <t xml:space="preserve">  311-2080</t>
  </si>
  <si>
    <t xml:space="preserve">  311-2081</t>
  </si>
  <si>
    <t>BPS REPAIRS</t>
  </si>
  <si>
    <t xml:space="preserve">  311-2082</t>
  </si>
  <si>
    <t>AEP ELECTRICAL REHAB</t>
  </si>
  <si>
    <t xml:space="preserve">  311-2083</t>
  </si>
  <si>
    <t>4" PRV STATION - POMPEY</t>
  </si>
  <si>
    <t xml:space="preserve">  311-2084</t>
  </si>
  <si>
    <t>BOOSTER PUMP STATION</t>
  </si>
  <si>
    <t xml:space="preserve">  311-2086</t>
  </si>
  <si>
    <t>SUB PANEL TELEMETRY</t>
  </si>
  <si>
    <t xml:space="preserve">  311-2087</t>
  </si>
  <si>
    <t>CANEY BPS</t>
  </si>
  <si>
    <t xml:space="preserve">  311-2088</t>
  </si>
  <si>
    <t>FEDS CREEK BPS</t>
  </si>
  <si>
    <t xml:space="preserve">  311-2089</t>
  </si>
  <si>
    <t>WILLOW TREE BPS</t>
  </si>
  <si>
    <t xml:space="preserve">  311-2090</t>
  </si>
  <si>
    <t>BROADHEAD BPS</t>
  </si>
  <si>
    <t xml:space="preserve">  311-2091</t>
  </si>
  <si>
    <t>SUNNY FORK BPS</t>
  </si>
  <si>
    <t xml:space="preserve">  311-2092</t>
  </si>
  <si>
    <t>OLD HOUSE BPS</t>
  </si>
  <si>
    <t xml:space="preserve">  311-2093</t>
  </si>
  <si>
    <t>DORTON BPS</t>
  </si>
  <si>
    <t xml:space="preserve">  311-2094</t>
  </si>
  <si>
    <t>ANDERSON BPS</t>
  </si>
  <si>
    <t xml:space="preserve">  311-2095</t>
  </si>
  <si>
    <t>COWPEN BPS</t>
  </si>
  <si>
    <t xml:space="preserve">  311-2096</t>
  </si>
  <si>
    <t>ANDERSON BPS VFD</t>
  </si>
  <si>
    <t xml:space="preserve">  311-2097</t>
  </si>
  <si>
    <t>VFD WATER VALVE</t>
  </si>
  <si>
    <t xml:space="preserve">  311-2098</t>
  </si>
  <si>
    <t>48" SPREADER</t>
  </si>
  <si>
    <t xml:space="preserve">  311-2099</t>
  </si>
  <si>
    <t>TELEMTRY BENT MTN</t>
  </si>
  <si>
    <t xml:space="preserve">  311-2100</t>
  </si>
  <si>
    <t>ROOF ON BPS</t>
  </si>
  <si>
    <t xml:space="preserve">  311-2101</t>
  </si>
  <si>
    <t>TELEMETRY PANEL</t>
  </si>
  <si>
    <t xml:space="preserve">  311-2102</t>
  </si>
  <si>
    <t>GENERATOR FOR BPS</t>
  </si>
  <si>
    <t xml:space="preserve">  311-2103</t>
  </si>
  <si>
    <t>PIKE CENTRAL BPS</t>
  </si>
  <si>
    <t xml:space="preserve">  311-2104</t>
  </si>
  <si>
    <t>BOOSTER FEMA PHELPS 1</t>
  </si>
  <si>
    <t xml:space="preserve">  311-2105</t>
  </si>
  <si>
    <t>BOOSTER FEMA PHELPS 2</t>
  </si>
  <si>
    <t xml:space="preserve">  311-2106</t>
  </si>
  <si>
    <t>FUSION MACHINE</t>
  </si>
  <si>
    <t xml:space="preserve">  311-2107</t>
  </si>
  <si>
    <t>TELEMETRY SYSTEM</t>
  </si>
  <si>
    <t xml:space="preserve">  311-2108</t>
  </si>
  <si>
    <t>VFDS &amp; PUMPS</t>
  </si>
  <si>
    <t xml:space="preserve">  311-2109</t>
  </si>
  <si>
    <t>TELEMETRY WIRELESS</t>
  </si>
  <si>
    <t xml:space="preserve">  311-2110</t>
  </si>
  <si>
    <t>OTP PUMP</t>
  </si>
  <si>
    <t xml:space="preserve">  330-4101</t>
  </si>
  <si>
    <t>6" PRV STATION - POMPEY</t>
  </si>
  <si>
    <t xml:space="preserve">  331-4235</t>
  </si>
  <si>
    <t>BOOSTER PUMP STATIONS - PHELPS</t>
  </si>
  <si>
    <t xml:space="preserve">  331-4236</t>
  </si>
  <si>
    <t>BOOSTER PUMP STATIONS - JC</t>
  </si>
  <si>
    <t>Asset Number</t>
  </si>
  <si>
    <t>G/L Accumulated Account Number</t>
  </si>
  <si>
    <t>Date Acquired</t>
  </si>
  <si>
    <t>Asset Description 1</t>
  </si>
  <si>
    <t>Method</t>
  </si>
  <si>
    <t>Asset Life</t>
  </si>
  <si>
    <t>Cost</t>
  </si>
  <si>
    <t>Depreciable Basis</t>
  </si>
  <si>
    <t>Prior Depreciation</t>
  </si>
  <si>
    <t xml:space="preserve">  334-4458</t>
  </si>
  <si>
    <t xml:space="preserve">                       1034-04</t>
  </si>
  <si>
    <t>RADIO READ METERS</t>
  </si>
  <si>
    <t xml:space="preserve">  334-4459</t>
  </si>
  <si>
    <t xml:space="preserve">  334-4473</t>
  </si>
  <si>
    <t xml:space="preserve">                       1111-02</t>
  </si>
  <si>
    <t xml:space="preserve">  311-2005</t>
  </si>
  <si>
    <t>DUPLEX PUMP</t>
  </si>
  <si>
    <t xml:space="preserve">  311-2013</t>
  </si>
  <si>
    <t>PUMPING EQUIPMENT</t>
  </si>
  <si>
    <t xml:space="preserve">  311-2014</t>
  </si>
  <si>
    <t xml:space="preserve">  311-2015</t>
  </si>
  <si>
    <t xml:space="preserve">  311-2016</t>
  </si>
  <si>
    <t xml:space="preserve">  311-2017</t>
  </si>
  <si>
    <t xml:space="preserve">  311-2018</t>
  </si>
  <si>
    <t xml:space="preserve">  311-2019</t>
  </si>
  <si>
    <t>BRUNDFROS BOOSTER PUMP</t>
  </si>
  <si>
    <t xml:space="preserve">  311-2020</t>
  </si>
  <si>
    <t>1 1/2 HP NEMA</t>
  </si>
  <si>
    <t xml:space="preserve">  311-2022</t>
  </si>
  <si>
    <t xml:space="preserve">  311-2029</t>
  </si>
  <si>
    <t>STEEL BUILDING</t>
  </si>
  <si>
    <t>PUMP MOTOR</t>
  </si>
  <si>
    <t xml:space="preserve">  311-2036</t>
  </si>
  <si>
    <t>UNDERGROUND TANK</t>
  </si>
  <si>
    <t xml:space="preserve">  311-2038</t>
  </si>
  <si>
    <t xml:space="preserve">  311-2041</t>
  </si>
  <si>
    <t>I.C. WATER SUPPLY PROJECT</t>
  </si>
  <si>
    <t xml:space="preserve">  311-2042</t>
  </si>
  <si>
    <t>S.F. AML WATER SUPPLY PROJECT</t>
  </si>
  <si>
    <t xml:space="preserve">  311-2043</t>
  </si>
  <si>
    <t xml:space="preserve">  311-2044</t>
  </si>
  <si>
    <t>AML HURRICANE PROJECT</t>
  </si>
  <si>
    <t xml:space="preserve">  311-2048</t>
  </si>
  <si>
    <t>30HP FLYGT PUMP</t>
  </si>
  <si>
    <t xml:space="preserve">  311-2065</t>
  </si>
  <si>
    <t>4" BERMAD VALVE</t>
  </si>
  <si>
    <t xml:space="preserve">  311-2067</t>
  </si>
  <si>
    <t>BOWLING FORK BOOSTER PUMP STATION</t>
  </si>
  <si>
    <t xml:space="preserve">  311-2068</t>
  </si>
  <si>
    <t>SUGAR CAMP BOOSTER PUMP STATION</t>
  </si>
  <si>
    <t xml:space="preserve">  311-2069</t>
  </si>
  <si>
    <t>BRANHAM HEIGHTS BOOSTER PUMP STATION</t>
  </si>
  <si>
    <t xml:space="preserve">  311-2070</t>
  </si>
  <si>
    <t xml:space="preserve">  311-2071</t>
  </si>
  <si>
    <t>SOOKEYS BOOSTER PUMP STATION</t>
  </si>
  <si>
    <t>ONE CARD</t>
  </si>
  <si>
    <t xml:space="preserve">  331-2062</t>
  </si>
  <si>
    <t>4" PRV CHECK VALVE</t>
  </si>
  <si>
    <t xml:space="preserve">  331-4074</t>
  </si>
  <si>
    <t>BOOSTER PUMP STATION - BIG CREEK FIRE DEPT</t>
  </si>
  <si>
    <t xml:space="preserve">                       1131-04</t>
  </si>
  <si>
    <t xml:space="preserve">  331-4002</t>
  </si>
  <si>
    <t>LINES CONT 1</t>
  </si>
  <si>
    <t xml:space="preserve">  331-4003</t>
  </si>
  <si>
    <t>LINES CONT11</t>
  </si>
  <si>
    <t xml:space="preserve">  331-4004</t>
  </si>
  <si>
    <t>LINES CONT 11</t>
  </si>
  <si>
    <t xml:space="preserve">  331-4005</t>
  </si>
  <si>
    <t>TURKEY CREEK COLD FORK LINE EXT</t>
  </si>
  <si>
    <t xml:space="preserve">  331-4006</t>
  </si>
  <si>
    <t>BOND ISSUE COST</t>
  </si>
  <si>
    <t xml:space="preserve">  331-4007</t>
  </si>
  <si>
    <t>CONSTRUCTION PD. INTEREST</t>
  </si>
  <si>
    <t xml:space="preserve">  331-4008</t>
  </si>
  <si>
    <t>CAPITALIZED SYSTEM COST</t>
  </si>
  <si>
    <t xml:space="preserve">  331-4009</t>
  </si>
  <si>
    <t xml:space="preserve">  331-4010</t>
  </si>
  <si>
    <t>LINES</t>
  </si>
  <si>
    <t xml:space="preserve">  331-4016</t>
  </si>
  <si>
    <t>MAIN LINES</t>
  </si>
  <si>
    <t xml:space="preserve">  331-4017</t>
  </si>
  <si>
    <t>CONSTRUCTION COST VAR</t>
  </si>
  <si>
    <t xml:space="preserve">  331-4018</t>
  </si>
  <si>
    <t>CAPITALIZED INTEREST</t>
  </si>
  <si>
    <t xml:space="preserve">  331-4019</t>
  </si>
  <si>
    <t>HOOKUPS</t>
  </si>
  <si>
    <t xml:space="preserve">  331-4020</t>
  </si>
  <si>
    <t xml:space="preserve">  331-4021</t>
  </si>
  <si>
    <t xml:space="preserve">  331-4022</t>
  </si>
  <si>
    <t>LINES (SETTLEMENT)</t>
  </si>
  <si>
    <t xml:space="preserve">  331-4023</t>
  </si>
  <si>
    <t>FINALIZATION ORIGINAL CONST</t>
  </si>
  <si>
    <t xml:space="preserve">  331-4024</t>
  </si>
  <si>
    <t>LINE</t>
  </si>
  <si>
    <t xml:space="preserve">  331-4025</t>
  </si>
  <si>
    <t>WATER MAINS</t>
  </si>
  <si>
    <t xml:space="preserve">  331-4026</t>
  </si>
  <si>
    <t>WATER MAINS CASE 9850</t>
  </si>
  <si>
    <t xml:space="preserve">  331-4027</t>
  </si>
  <si>
    <t>TRANSMISSION &amp; DISTRIBUTION</t>
  </si>
  <si>
    <t xml:space="preserve">  331-4028</t>
  </si>
  <si>
    <t>GRAPEVINE PROJECT</t>
  </si>
  <si>
    <t xml:space="preserve">  331-4029</t>
  </si>
  <si>
    <t>TRANS &amp; DIST MAINS</t>
  </si>
  <si>
    <t xml:space="preserve">  331-4030</t>
  </si>
  <si>
    <t xml:space="preserve">  331-4031</t>
  </si>
  <si>
    <t xml:space="preserve">  331-4032</t>
  </si>
  <si>
    <t>DISTRIBUTION MAIN</t>
  </si>
  <si>
    <t xml:space="preserve">  331-4033</t>
  </si>
  <si>
    <t>TRANS &amp; DIST LINES</t>
  </si>
  <si>
    <t xml:space="preserve">  331-4034</t>
  </si>
  <si>
    <t>DIST LINE</t>
  </si>
  <si>
    <t xml:space="preserve">  331-4035</t>
  </si>
  <si>
    <t>AIRPORT DIST LINE</t>
  </si>
  <si>
    <t xml:space="preserve">  331-4037</t>
  </si>
  <si>
    <t>TRANSMISSION &amp; DIST MAINS</t>
  </si>
  <si>
    <t xml:space="preserve">  331-4038</t>
  </si>
  <si>
    <t xml:space="preserve">  331-4039</t>
  </si>
  <si>
    <t xml:space="preserve">  331-4040</t>
  </si>
  <si>
    <t>S.F. AML WATER SUPPLY PROJ</t>
  </si>
  <si>
    <t xml:space="preserve">  331-4041</t>
  </si>
  <si>
    <t>TRANS &amp; DIST MAIN</t>
  </si>
  <si>
    <t xml:space="preserve">  331-4042</t>
  </si>
  <si>
    <t xml:space="preserve">  331-4045</t>
  </si>
  <si>
    <t>CAPITALIZE LINE EXT. @ COEBURN</t>
  </si>
  <si>
    <t xml:space="preserve">  331-4046</t>
  </si>
  <si>
    <t>LINE EXTENSION @ STOPOVER FERREL RD</t>
  </si>
  <si>
    <t xml:space="preserve">  331-4047</t>
  </si>
  <si>
    <t>CAPITALIZE LINE EXTENSION @ JONANCE</t>
  </si>
  <si>
    <t xml:space="preserve">  331-4048</t>
  </si>
  <si>
    <t>CAPTILIZE LINE EXTENSION @ META,JAMES KING RD</t>
  </si>
  <si>
    <t xml:space="preserve">  331-4049</t>
  </si>
  <si>
    <t>CAPTILIZE LINE EXTENSION @ PHELPS,BROADTREE</t>
  </si>
  <si>
    <t xml:space="preserve">  331-4050</t>
  </si>
  <si>
    <t>CAPTILIZE LINE EXTENSION @DRY BR. OF JONANCY</t>
  </si>
  <si>
    <t xml:space="preserve">  331-4052</t>
  </si>
  <si>
    <t>W2R ACCESS F&amp;C</t>
  </si>
  <si>
    <t xml:space="preserve">  331-4053</t>
  </si>
  <si>
    <t>CAPT LINE EXT @ SHELBY ANDERSON FORK</t>
  </si>
  <si>
    <t xml:space="preserve">  331-4054</t>
  </si>
  <si>
    <t>CAPTILIZE LINE EXTENSION @ FONSO STANLEY RD.</t>
  </si>
  <si>
    <t xml:space="preserve">  331-4055</t>
  </si>
  <si>
    <t>CAPTIALIZE LINE EXTENSION @ ELKHORN CREEK RD.</t>
  </si>
  <si>
    <t xml:space="preserve">  331-4056</t>
  </si>
  <si>
    <t>CAPITALIZE LINE EXTENSION @ STONE COAL</t>
  </si>
  <si>
    <t xml:space="preserve">  331-4057</t>
  </si>
  <si>
    <t>CAPITALIZE LINE EXTENSION @ POWELLS CREEK</t>
  </si>
  <si>
    <t xml:space="preserve">  331-4058</t>
  </si>
  <si>
    <t>CAPITALIZE LINE EXTENSION @ DORTON</t>
  </si>
  <si>
    <t xml:space="preserve">  331-4059</t>
  </si>
  <si>
    <t>Hunts Branch Mains</t>
  </si>
  <si>
    <t xml:space="preserve">  331-4060</t>
  </si>
  <si>
    <t>Lizzie Fork Mains</t>
  </si>
  <si>
    <t xml:space="preserve">  331-4061</t>
  </si>
  <si>
    <t>Little Robinson Mains</t>
  </si>
  <si>
    <t xml:space="preserve">  331-4062</t>
  </si>
  <si>
    <t>U.S. 119 Relocation Phase I</t>
  </si>
  <si>
    <t xml:space="preserve">  331-4063</t>
  </si>
  <si>
    <t>U.S. 119 Relocation Phase II &amp; Misc.</t>
  </si>
  <si>
    <t xml:space="preserve">  331-4064</t>
  </si>
  <si>
    <t>Rockhouse Line Extension</t>
  </si>
  <si>
    <t xml:space="preserve">  331-4066</t>
  </si>
  <si>
    <t>LINE EXTENSION @ FORDS BRANCH</t>
  </si>
  <si>
    <t xml:space="preserve">  331-4067</t>
  </si>
  <si>
    <t>LINE EXTENSION @ HYLTON CHURCH RD</t>
  </si>
  <si>
    <t xml:space="preserve">  331-4068</t>
  </si>
  <si>
    <t>LINE EXTENSION @ WOLFPEN/LOWER POMPEY</t>
  </si>
  <si>
    <t xml:space="preserve">  331-4069</t>
  </si>
  <si>
    <t>US 119 LINE EXTENSION CIP</t>
  </si>
  <si>
    <t xml:space="preserve">  331-4070</t>
  </si>
  <si>
    <t>AIRPORT ROAD LINE EXT. CIP</t>
  </si>
  <si>
    <t xml:space="preserve">  331-4071</t>
  </si>
  <si>
    <t>BUCKLEY'S CREEK AML CIP</t>
  </si>
  <si>
    <t xml:space="preserve">  331-4072</t>
  </si>
  <si>
    <t>IN-HOUSE PROJECTS</t>
  </si>
  <si>
    <t xml:space="preserve">  331-4073</t>
  </si>
  <si>
    <t>BALL FORK LINE EXTENSION</t>
  </si>
  <si>
    <t xml:space="preserve">  331-4075</t>
  </si>
  <si>
    <t>LINE EXTENSION - CALF BRANCH</t>
  </si>
  <si>
    <t xml:space="preserve">  331-4076</t>
  </si>
  <si>
    <t>LINE EXTENSION - GREASY CREEK</t>
  </si>
  <si>
    <t xml:space="preserve">  331-4077</t>
  </si>
  <si>
    <t>STONECOAL LINE EXTENSION-RICHARD HUFFMAN</t>
  </si>
  <si>
    <t xml:space="preserve">  331-4078</t>
  </si>
  <si>
    <t>LINE EXT. - RIDGLINE I &amp; II</t>
  </si>
  <si>
    <t xml:space="preserve">  331-4093</t>
  </si>
  <si>
    <t>LINE EXTENSION - GIBSON BOTTOM (ELKHORN)</t>
  </si>
  <si>
    <t xml:space="preserve">  331-4094</t>
  </si>
  <si>
    <t>Line Extension - Ford's Branch</t>
  </si>
  <si>
    <t xml:space="preserve">  331-4095</t>
  </si>
  <si>
    <t>Line Extension - May Hollow</t>
  </si>
  <si>
    <t xml:space="preserve">  331-4096</t>
  </si>
  <si>
    <t>Line Extension - Thacker Hollow</t>
  </si>
  <si>
    <t xml:space="preserve">  331-4097</t>
  </si>
  <si>
    <t>Line Extension - Burning Fork</t>
  </si>
  <si>
    <t xml:space="preserve">  331-4098</t>
  </si>
  <si>
    <t>LINE EXT. BRUSHY</t>
  </si>
  <si>
    <t xml:space="preserve">  331-4099</t>
  </si>
  <si>
    <t xml:space="preserve">  331-4100</t>
  </si>
  <si>
    <t>LINE EXT. - BOWLING FORK</t>
  </si>
  <si>
    <t xml:space="preserve">  331-4101</t>
  </si>
  <si>
    <t>HURRICANE RT. 292 LINE EXT.</t>
  </si>
  <si>
    <t xml:space="preserve">  331-4102</t>
  </si>
  <si>
    <t>ELSWICK FORK LINE EXT.</t>
  </si>
  <si>
    <t xml:space="preserve">  331-4103</t>
  </si>
  <si>
    <t>KELLY MTN. RD. LAVAD</t>
  </si>
  <si>
    <t xml:space="preserve">  331-4104</t>
  </si>
  <si>
    <t>LITTLE ROBINSON LINE EXT.</t>
  </si>
  <si>
    <t xml:space="preserve">  331-4105</t>
  </si>
  <si>
    <t>HURRICANE/KNOX LINE EXT.</t>
  </si>
  <si>
    <t xml:space="preserve">  331-4106</t>
  </si>
  <si>
    <t>WOLFPIT LINE EXT.</t>
  </si>
  <si>
    <t xml:space="preserve">  331-4107</t>
  </si>
  <si>
    <t>ROCKHOUSE/VIRGIE LINE EXT</t>
  </si>
  <si>
    <t xml:space="preserve">  331-4108</t>
  </si>
  <si>
    <t>AFLEX LINE EXT.</t>
  </si>
  <si>
    <t xml:space="preserve">  331-4109</t>
  </si>
  <si>
    <t>FIFTY - EIGHT BRANCH LINE EXT</t>
  </si>
  <si>
    <t xml:space="preserve">  331-4110</t>
  </si>
  <si>
    <t>BUCKFIELD (C SEV) LINE EXT.</t>
  </si>
  <si>
    <t xml:space="preserve">  331-4111</t>
  </si>
  <si>
    <t>BLUE POND (C SEV) LINE EXT.</t>
  </si>
  <si>
    <t xml:space="preserve">  331-4112</t>
  </si>
  <si>
    <t>UPPER PETER PH II</t>
  </si>
  <si>
    <t xml:space="preserve">  331-4113</t>
  </si>
  <si>
    <t>ROCKHOUSE (MARROWBONE) LINE EXT.</t>
  </si>
  <si>
    <t xml:space="preserve">  331-4114</t>
  </si>
  <si>
    <t>STRAIGHT HOLLOW LINE EXT.</t>
  </si>
  <si>
    <t xml:space="preserve">  331-4115</t>
  </si>
  <si>
    <t>SUGAR CAMP LINE EXT.</t>
  </si>
  <si>
    <t xml:space="preserve">  331-4116</t>
  </si>
  <si>
    <t>LINE EXTENSION - WINSTON RD</t>
  </si>
  <si>
    <t xml:space="preserve">  331-4117</t>
  </si>
  <si>
    <t>LINE EXTENSION - GRAPEVINE RD</t>
  </si>
  <si>
    <t xml:space="preserve">  331-4118</t>
  </si>
  <si>
    <t>LINE EXTENSION - BOWLING FORK</t>
  </si>
  <si>
    <t xml:space="preserve">  331-4119</t>
  </si>
  <si>
    <t>LINE EXT. - MIDDLE FORK</t>
  </si>
  <si>
    <t xml:space="preserve">  331-4120</t>
  </si>
  <si>
    <t>LINE EXT. - COON CREEK</t>
  </si>
  <si>
    <t xml:space="preserve">  331-4121</t>
  </si>
  <si>
    <t>LINE EXT. - RIGHT FORK BRUSHY</t>
  </si>
  <si>
    <t xml:space="preserve">  331-4122</t>
  </si>
  <si>
    <t>LINE EXT. - US 119 RELOCATION</t>
  </si>
  <si>
    <t xml:space="preserve">  331-4123</t>
  </si>
  <si>
    <t>LINE EXT. - POND CREEK BRIDGE RELOCATION</t>
  </si>
  <si>
    <t xml:space="preserve">  331-4124</t>
  </si>
  <si>
    <t>LINE EXT. - COWPEN RD BRIDGE RELOCATION</t>
  </si>
  <si>
    <t xml:space="preserve">  331-4125</t>
  </si>
  <si>
    <t>LINE EXT. - US 460 VA. STATE LINE</t>
  </si>
  <si>
    <t xml:space="preserve">  331-4126</t>
  </si>
  <si>
    <t xml:space="preserve">  331-4127</t>
  </si>
  <si>
    <t>LINE EXTENSION - HURRICANE (ELKHORN CREEK)</t>
  </si>
  <si>
    <t xml:space="preserve">  331-4128</t>
  </si>
  <si>
    <t>LINE EXTENSION - BURNETTE TRAILER PARK</t>
  </si>
  <si>
    <t xml:space="preserve">  331-4129</t>
  </si>
  <si>
    <t>LINE EXTENSION - FOREST HILLS</t>
  </si>
  <si>
    <t xml:space="preserve">  331-4130</t>
  </si>
  <si>
    <t>FC/MC LINES</t>
  </si>
  <si>
    <t xml:space="preserve">  331-4131</t>
  </si>
  <si>
    <t>IN HOUSE LINES</t>
  </si>
  <si>
    <t xml:space="preserve">  331-4132</t>
  </si>
  <si>
    <t>FEDS CREEK CONNECTOR</t>
  </si>
  <si>
    <t xml:space="preserve">  331-4133</t>
  </si>
  <si>
    <t>FORD MOUNTAIN CONNECTOR</t>
  </si>
  <si>
    <t xml:space="preserve">  331-4134</t>
  </si>
  <si>
    <t>CHLOE CONNECTOR</t>
  </si>
  <si>
    <t xml:space="preserve">  331-4135</t>
  </si>
  <si>
    <t>PHELPS CONNECTOR</t>
  </si>
  <si>
    <t xml:space="preserve">  331-4136</t>
  </si>
  <si>
    <t>LINE RELOCATION - N BIG CREEK</t>
  </si>
  <si>
    <t xml:space="preserve">  331-4137</t>
  </si>
  <si>
    <t>VARIOUS CONSTRUCTION PROJECTS COMPLETED 2005</t>
  </si>
  <si>
    <t xml:space="preserve">  331-4138</t>
  </si>
  <si>
    <t>FLOOD DAMAGE REPAIRS 2004-2005</t>
  </si>
  <si>
    <t xml:space="preserve">  331-4216</t>
  </si>
  <si>
    <t>2013 LINES VARIOUS</t>
  </si>
  <si>
    <t xml:space="preserve">  331-4217</t>
  </si>
  <si>
    <t>DRAFFIN LINES</t>
  </si>
  <si>
    <t xml:space="preserve">  331-9709</t>
  </si>
  <si>
    <t>ELKHORN MAINS EXT.</t>
  </si>
  <si>
    <t xml:space="preserve">  331-9710</t>
  </si>
  <si>
    <t xml:space="preserve">  331-9711</t>
  </si>
  <si>
    <t>STONE COAL MAINS</t>
  </si>
  <si>
    <t xml:space="preserve">  331-9712</t>
  </si>
  <si>
    <t>VARIOUS LINES</t>
  </si>
  <si>
    <t xml:space="preserve">  331-9713</t>
  </si>
  <si>
    <t>HARDY 119 MAINS</t>
  </si>
  <si>
    <t xml:space="preserve">  331-9714</t>
  </si>
  <si>
    <t>HURRICANE LINE EXT.</t>
  </si>
  <si>
    <t xml:space="preserve">  331-9818</t>
  </si>
  <si>
    <t>LINE EXT. BEAR HOLLOW</t>
  </si>
  <si>
    <t xml:space="preserve">  331-9819</t>
  </si>
  <si>
    <t>LINE EXT. GABRIEL BRANCH</t>
  </si>
  <si>
    <t xml:space="preserve">  331-9820</t>
  </si>
  <si>
    <t>LINE EXT. LFT FRK ISLAND CREEK</t>
  </si>
  <si>
    <t xml:space="preserve">  331-9826</t>
  </si>
  <si>
    <t>PENNY ROAD MAINS</t>
  </si>
  <si>
    <t xml:space="preserve">  331-9827</t>
  </si>
  <si>
    <t>460 MAINS</t>
  </si>
  <si>
    <t xml:space="preserve">  331-9828</t>
  </si>
  <si>
    <t>NELSE MAINS</t>
  </si>
  <si>
    <t xml:space="preserve">  331-9829</t>
  </si>
  <si>
    <t>VARIOUS PROJECTS MAINS</t>
  </si>
  <si>
    <t xml:space="preserve">  331-9839</t>
  </si>
  <si>
    <t>MAINS</t>
  </si>
  <si>
    <t xml:space="preserve">  331-9840</t>
  </si>
  <si>
    <t>LINE EXT CLEVENGER BRANCH</t>
  </si>
  <si>
    <t xml:space="preserve">                       1031-04</t>
  </si>
  <si>
    <t>MCVEIGH LINES</t>
  </si>
  <si>
    <t xml:space="preserve">  331-4079</t>
  </si>
  <si>
    <t>LINE EXT. - ASHCAMP II</t>
  </si>
  <si>
    <t xml:space="preserve">  331-4080</t>
  </si>
  <si>
    <t>LINE EXT. - RIVER ROAD II</t>
  </si>
  <si>
    <t xml:space="preserve">  331-4081</t>
  </si>
  <si>
    <t>LINE EXT. - SARAH BRANHAM</t>
  </si>
  <si>
    <t xml:space="preserve">  331-4082</t>
  </si>
  <si>
    <t>LINE EXT. - HELLIER</t>
  </si>
  <si>
    <t xml:space="preserve">  331-4083</t>
  </si>
  <si>
    <t>LINE EXT. - BEEFHIDE</t>
  </si>
  <si>
    <t xml:space="preserve">  331-4084</t>
  </si>
  <si>
    <t>LINE EXT. - CONTRARY HOLLOW</t>
  </si>
  <si>
    <t xml:space="preserve">  331-4085</t>
  </si>
  <si>
    <t>LINE EXT. - UPPER PETER CREEK</t>
  </si>
  <si>
    <t xml:space="preserve">  331-4086</t>
  </si>
  <si>
    <t>LINE EXT. - BALL FORK</t>
  </si>
  <si>
    <t xml:space="preserve">  331-4087</t>
  </si>
  <si>
    <t>LINE EXT. - PAUL TAYLOR FORK</t>
  </si>
  <si>
    <t xml:space="preserve">  331-4088</t>
  </si>
  <si>
    <t>LINE EXT. - STONECOAL (CDEV)</t>
  </si>
  <si>
    <t xml:space="preserve">  331-4089</t>
  </si>
  <si>
    <t>LINE EXT. - THOMPSON BRANCH</t>
  </si>
  <si>
    <t xml:space="preserve">  331-4090</t>
  </si>
  <si>
    <t>LINE EXT. - THREE MILE RD.</t>
  </si>
  <si>
    <t xml:space="preserve">  331-4091</t>
  </si>
  <si>
    <t>LINE EXT. - PIKE-MARTIN RELOCATION</t>
  </si>
  <si>
    <t xml:space="preserve">  331-4092</t>
  </si>
  <si>
    <t xml:space="preserve">  331-4139</t>
  </si>
  <si>
    <t>MEATHOUSE - JOHNS CREEK MAINS</t>
  </si>
  <si>
    <t xml:space="preserve">  331-4140</t>
  </si>
  <si>
    <t>ELSWICK FORK</t>
  </si>
  <si>
    <t xml:space="preserve">  331-4141</t>
  </si>
  <si>
    <t>MCCOY LANE MAINS</t>
  </si>
  <si>
    <t xml:space="preserve">  331-4142</t>
  </si>
  <si>
    <t>RAMEY FORK MAINS</t>
  </si>
  <si>
    <t xml:space="preserve">  331-4143</t>
  </si>
  <si>
    <t>UPPER BEEFHIDE MAINS</t>
  </si>
  <si>
    <t xml:space="preserve">  331-4144</t>
  </si>
  <si>
    <t>SOUTH HERITAGE ROAD MAINS</t>
  </si>
  <si>
    <t xml:space="preserve">  331-4145</t>
  </si>
  <si>
    <t>DAVIS LANE MAINS</t>
  </si>
  <si>
    <t xml:space="preserve">  331-4146</t>
  </si>
  <si>
    <t>WILLOW TREE LANE MAINS</t>
  </si>
  <si>
    <t xml:space="preserve">  331-4147</t>
  </si>
  <si>
    <t>OPEN FORK LINE RELOCATION</t>
  </si>
  <si>
    <t xml:space="preserve">  331-4148</t>
  </si>
  <si>
    <t>UPPER LITTLE CREEK MAINS</t>
  </si>
  <si>
    <t xml:space="preserve">  331-4149</t>
  </si>
  <si>
    <t>WINWRIGHT CONNECTOR</t>
  </si>
  <si>
    <t xml:space="preserve">  331-4150</t>
  </si>
  <si>
    <t>ROCKHOUSE-DORTON MAINS</t>
  </si>
  <si>
    <t xml:space="preserve">  331-4151</t>
  </si>
  <si>
    <t>VARIOUS SMALL PROJECTS</t>
  </si>
  <si>
    <t xml:space="preserve">  331-4152</t>
  </si>
  <si>
    <t>LOVERS LANE MAINS</t>
  </si>
  <si>
    <t xml:space="preserve">  331-4153</t>
  </si>
  <si>
    <t>DAUGHERTY BRANCH MAINS</t>
  </si>
  <si>
    <t xml:space="preserve">  331-4154</t>
  </si>
  <si>
    <t>WOLFPIT MAINS</t>
  </si>
  <si>
    <t xml:space="preserve">  331-4155</t>
  </si>
  <si>
    <t>SHELBY VALLEY MAINS</t>
  </si>
  <si>
    <t xml:space="preserve">  331-4156</t>
  </si>
  <si>
    <t>2006 CAPITALIZED INTEREST</t>
  </si>
  <si>
    <t xml:space="preserve">  331-4157</t>
  </si>
  <si>
    <t>2007 CIP MAINS (JOHNS CREEK)</t>
  </si>
  <si>
    <t xml:space="preserve">  331-4158</t>
  </si>
  <si>
    <t>2007 CIP MAINS (FLOOD PROJECT 2007)</t>
  </si>
  <si>
    <t xml:space="preserve">  331-4159</t>
  </si>
  <si>
    <t>CIP IN HOUSE VARIOUS LINES</t>
  </si>
  <si>
    <t xml:space="preserve">  331-4160</t>
  </si>
  <si>
    <t>CIP 2007 LITTLE FORK</t>
  </si>
  <si>
    <t xml:space="preserve">  331-4161</t>
  </si>
  <si>
    <t>CIP 2007 STRINGTOWN-BURNWELL</t>
  </si>
  <si>
    <t xml:space="preserve">  331-4162</t>
  </si>
  <si>
    <t>CIP 2007 LMI TAPS - 2</t>
  </si>
  <si>
    <t xml:space="preserve">  331-4163</t>
  </si>
  <si>
    <t>CIP 2007 LMI TAPS</t>
  </si>
  <si>
    <t xml:space="preserve">  331-4164</t>
  </si>
  <si>
    <t>CIP 2007 NEWSOME BRANCH</t>
  </si>
  <si>
    <t xml:space="preserve">  331-4165</t>
  </si>
  <si>
    <t>CIP 2007 HOMEMADE HOLLOW</t>
  </si>
  <si>
    <t xml:space="preserve">  331-4166</t>
  </si>
  <si>
    <t>CIP 2007 SMITH FORK</t>
  </si>
  <si>
    <t xml:space="preserve">  331-4167</t>
  </si>
  <si>
    <t>CIP 2007 MAJESTIC EXRENSION</t>
  </si>
  <si>
    <t xml:space="preserve">  331-4168</t>
  </si>
  <si>
    <t>CIP 2007 WOLFPIT TANK - B</t>
  </si>
  <si>
    <t xml:space="preserve">  331-4169</t>
  </si>
  <si>
    <t>FERRELLS CREEK LINES</t>
  </si>
  <si>
    <t xml:space="preserve">  331-4170</t>
  </si>
  <si>
    <t>VARIOUS PCFC LINES</t>
  </si>
  <si>
    <t xml:space="preserve">  331-4171</t>
  </si>
  <si>
    <t>VARIOUS WATER &amp; SEWER PROJECTS</t>
  </si>
  <si>
    <t xml:space="preserve">  331-4172</t>
  </si>
  <si>
    <t>BLANKENSHIP HOLLOW LINES</t>
  </si>
  <si>
    <t xml:space="preserve">  331-4173</t>
  </si>
  <si>
    <t>DRY FORK OF MARROWBONE</t>
  </si>
  <si>
    <t xml:space="preserve">  331-4174</t>
  </si>
  <si>
    <t>MILLARD WATERLINE</t>
  </si>
  <si>
    <t xml:space="preserve">  331-4175</t>
  </si>
  <si>
    <t>MULLINS LINES</t>
  </si>
  <si>
    <t xml:space="preserve">  331-4176</t>
  </si>
  <si>
    <t>PHILLIPS BRANCH</t>
  </si>
  <si>
    <t xml:space="preserve">  331-4177</t>
  </si>
  <si>
    <t>LOWER ELKHORN</t>
  </si>
  <si>
    <t xml:space="preserve">  331-4178</t>
  </si>
  <si>
    <t>GARDNER FORK WATER PROJECT</t>
  </si>
  <si>
    <t xml:space="preserve">  331-4179</t>
  </si>
  <si>
    <t>TRAP WATER PROJECT</t>
  </si>
  <si>
    <t xml:space="preserve">  331-4180</t>
  </si>
  <si>
    <t>UPPER ROCKHOUSE</t>
  </si>
  <si>
    <t xml:space="preserve">  331-4181</t>
  </si>
  <si>
    <t>HURRICANE OF KIMPER</t>
  </si>
  <si>
    <t xml:space="preserve">  331-4182</t>
  </si>
  <si>
    <t>HARLESS CREEK</t>
  </si>
  <si>
    <t xml:space="preserve">  331-4183</t>
  </si>
  <si>
    <t>GRANTS BRANCH</t>
  </si>
  <si>
    <t xml:space="preserve">  331-4184</t>
  </si>
  <si>
    <t>HEDGE RD</t>
  </si>
  <si>
    <t xml:space="preserve">  331-4185</t>
  </si>
  <si>
    <t>HOMEMADE HOLLOW</t>
  </si>
  <si>
    <t xml:space="preserve">  331-4186</t>
  </si>
  <si>
    <t>CITY OF JENKINS CONNECTOR</t>
  </si>
  <si>
    <t xml:space="preserve">  331-4187</t>
  </si>
  <si>
    <t>S. WILLIAMSON</t>
  </si>
  <si>
    <t xml:space="preserve">  331-4188</t>
  </si>
  <si>
    <t>WOLFPIT - LAUREL LANE</t>
  </si>
  <si>
    <t xml:space="preserve">  331-4189</t>
  </si>
  <si>
    <t>CIP Fema 2008 Lines</t>
  </si>
  <si>
    <t xml:space="preserve">  331-4190</t>
  </si>
  <si>
    <t>Peter Fork of Dry Fork</t>
  </si>
  <si>
    <t xml:space="preserve">  331-4191</t>
  </si>
  <si>
    <t>Upper Beefhide Lines</t>
  </si>
  <si>
    <t xml:space="preserve">  331-4192</t>
  </si>
  <si>
    <t>Big Shelby Lines</t>
  </si>
  <si>
    <t xml:space="preserve">  331-4193</t>
  </si>
  <si>
    <t>Runyon Branch Lines</t>
  </si>
  <si>
    <t xml:space="preserve">  331-4194</t>
  </si>
  <si>
    <t>WATSON HILL LINES</t>
  </si>
  <si>
    <t xml:space="preserve">  331-4195</t>
  </si>
  <si>
    <t>FEMA LINES</t>
  </si>
  <si>
    <t xml:space="preserve">  331-4196</t>
  </si>
  <si>
    <t>FEMA LEFTOVER LINES</t>
  </si>
  <si>
    <t xml:space="preserve">  331-4197</t>
  </si>
  <si>
    <t>2011 CIP LINES FERRELLS CREEK</t>
  </si>
  <si>
    <t xml:space="preserve">  331-4198</t>
  </si>
  <si>
    <t>2011 CIP LINES FEMA REPAIRS</t>
  </si>
  <si>
    <t xml:space="preserve">  331-4199</t>
  </si>
  <si>
    <t>2011 CIP LINES BIG SHELBY</t>
  </si>
  <si>
    <t xml:space="preserve">  331-4200</t>
  </si>
  <si>
    <t>2011 CIP LINES MCVEIGH</t>
  </si>
  <si>
    <t xml:space="preserve">  331-4201</t>
  </si>
  <si>
    <t>2011 CIP LINES NARROWS BRANCH</t>
  </si>
  <si>
    <t xml:space="preserve">  331-4202</t>
  </si>
  <si>
    <t>2011 CIP LINES POND CREEK</t>
  </si>
  <si>
    <t xml:space="preserve">  331-4203</t>
  </si>
  <si>
    <t>2011 CIP LINES RUNYONS BRANCH</t>
  </si>
  <si>
    <t xml:space="preserve">  331-4204</t>
  </si>
  <si>
    <t>2011 CIP LINES HUDDY KY 199</t>
  </si>
  <si>
    <t xml:space="preserve">  331-4205</t>
  </si>
  <si>
    <t>2011 CIP LINES AIRPORT RD RELOCATION</t>
  </si>
  <si>
    <t xml:space="preserve">  331-4206</t>
  </si>
  <si>
    <t>2011 CIP LINES JOHNS CREEK</t>
  </si>
  <si>
    <t xml:space="preserve">  331-4207</t>
  </si>
  <si>
    <t>LINES 2011</t>
  </si>
  <si>
    <t xml:space="preserve">  331-4208</t>
  </si>
  <si>
    <t>2012 FEMA LINES</t>
  </si>
  <si>
    <t xml:space="preserve">  331-4209</t>
  </si>
  <si>
    <t xml:space="preserve">  331-4210</t>
  </si>
  <si>
    <t>2012 LINES CAM MINING</t>
  </si>
  <si>
    <t xml:space="preserve">  331-4211</t>
  </si>
  <si>
    <t>2012 LINES SOOKEYS CREEK</t>
  </si>
  <si>
    <t xml:space="preserve">  331-4212</t>
  </si>
  <si>
    <t>2012 LINES BUCKFIELD BRIDGE</t>
  </si>
  <si>
    <t xml:space="preserve">  331-4213</t>
  </si>
  <si>
    <t>2012 LINES SMITH FORK BRIDGE</t>
  </si>
  <si>
    <t xml:space="preserve">  331-4214</t>
  </si>
  <si>
    <t>2012 LINES DRAFFIN RELOCATION</t>
  </si>
  <si>
    <t xml:space="preserve">  331-4215</t>
  </si>
  <si>
    <t>LINES HURRICANE</t>
  </si>
  <si>
    <t xml:space="preserve">  331-4218</t>
  </si>
  <si>
    <t>TECO LINES</t>
  </si>
  <si>
    <t xml:space="preserve">  331-4219</t>
  </si>
  <si>
    <t>LINES 119 RELOCATION</t>
  </si>
  <si>
    <t xml:space="preserve">  331-4221</t>
  </si>
  <si>
    <t>VARIOUS LINES 2015</t>
  </si>
  <si>
    <t xml:space="preserve">  331-4222</t>
  </si>
  <si>
    <t xml:space="preserve">  331-4223</t>
  </si>
  <si>
    <t>PHELPS LINES</t>
  </si>
  <si>
    <t xml:space="preserve">  331-4224</t>
  </si>
  <si>
    <t>CABIN KNOLL LINES</t>
  </si>
  <si>
    <t xml:space="preserve">  331-4225</t>
  </si>
  <si>
    <t>BIG CREEK LINES</t>
  </si>
  <si>
    <t xml:space="preserve">  331-4226</t>
  </si>
  <si>
    <t>2017 KANEY PROJECT</t>
  </si>
  <si>
    <t xml:space="preserve">  331-4227</t>
  </si>
  <si>
    <t>2017 PENNY ROAD PROJECT LINES</t>
  </si>
  <si>
    <t xml:space="preserve">  331-4228</t>
  </si>
  <si>
    <t>DESKINS CURVE LINES</t>
  </si>
  <si>
    <t xml:space="preserve">  331-4229</t>
  </si>
  <si>
    <t>MILLARD CURVE LINES</t>
  </si>
  <si>
    <t xml:space="preserve">  331-4230</t>
  </si>
  <si>
    <t>VIRGIE BRIDGE ENGINEERING</t>
  </si>
  <si>
    <t xml:space="preserve">  331-4231</t>
  </si>
  <si>
    <t>VIRGIE BRIDGE CONTRACTOR</t>
  </si>
  <si>
    <t xml:space="preserve">  331-4232</t>
  </si>
  <si>
    <t>MARSHALLS BRIDGE LINES</t>
  </si>
  <si>
    <t xml:space="preserve">  331-4233</t>
  </si>
  <si>
    <t>SCOTT FORK LINES</t>
  </si>
  <si>
    <t xml:space="preserve">  331-4234</t>
  </si>
  <si>
    <t>VARIOUS SHORT LINES - PCFC</t>
  </si>
  <si>
    <t xml:space="preserve">  331-4237</t>
  </si>
  <si>
    <t>INDIAN HILLS LINE</t>
  </si>
  <si>
    <t xml:space="preserve">  331-4238</t>
  </si>
  <si>
    <t>INDIAN HILLS PAVING</t>
  </si>
  <si>
    <t xml:space="preserve">  331-4239</t>
  </si>
  <si>
    <t xml:space="preserve">  331-4240</t>
  </si>
  <si>
    <t>COEBURN LINES</t>
  </si>
  <si>
    <t xml:space="preserve">  331-4241</t>
  </si>
  <si>
    <t>2ND MAGESTERICAL</t>
  </si>
  <si>
    <t xml:space="preserve">  331-4242</t>
  </si>
  <si>
    <t>POMPEY JONICAN LINES</t>
  </si>
  <si>
    <t xml:space="preserve">  331-4243</t>
  </si>
  <si>
    <t>LINES POMPEY PROJECT</t>
  </si>
  <si>
    <t xml:space="preserve">  331-4244</t>
  </si>
  <si>
    <t>LINE EXTENSION - DRAFFIN</t>
  </si>
  <si>
    <t xml:space="preserve">  331-4245</t>
  </si>
  <si>
    <t>RACCOON RELOCATION</t>
  </si>
  <si>
    <t xml:space="preserve">  331-4246</t>
  </si>
  <si>
    <t>TOONERVILLE RELOCATION</t>
  </si>
  <si>
    <t xml:space="preserve">  331-4247</t>
  </si>
  <si>
    <t>POND CREEK LINE RELOCATION</t>
  </si>
  <si>
    <t xml:space="preserve">  331-4248</t>
  </si>
  <si>
    <t>COLLINS HWY LINE RELOC - LOCAL</t>
  </si>
  <si>
    <t xml:space="preserve">  331-4249</t>
  </si>
  <si>
    <t>COEBURN BPS</t>
  </si>
  <si>
    <t xml:space="preserve">  331-4250</t>
  </si>
  <si>
    <t>TURKEY CREEK PROJECT</t>
  </si>
  <si>
    <t xml:space="preserve">  331-4251</t>
  </si>
  <si>
    <t xml:space="preserve">  331-4252</t>
  </si>
  <si>
    <t>LINES (MCVEIGH RELOCATION)</t>
  </si>
  <si>
    <t xml:space="preserve">  331-4253</t>
  </si>
  <si>
    <t xml:space="preserve">  331-4254</t>
  </si>
  <si>
    <t>STRADA</t>
  </si>
  <si>
    <t xml:space="preserve">  331-4255</t>
  </si>
  <si>
    <t>HUDDY CIP LINES</t>
  </si>
  <si>
    <t xml:space="preserve">  331-4256</t>
  </si>
  <si>
    <t>ROAD BORES</t>
  </si>
  <si>
    <t xml:space="preserve">  331-4257</t>
  </si>
  <si>
    <t>DOT LINES 24</t>
  </si>
  <si>
    <t xml:space="preserve">  331-4258</t>
  </si>
  <si>
    <t xml:space="preserve">  331-4259</t>
  </si>
  <si>
    <t>MAYNARD FORK LINES</t>
  </si>
  <si>
    <t>Pumping Equipment</t>
  </si>
  <si>
    <t xml:space="preserve">  311-2085</t>
  </si>
  <si>
    <t xml:space="preserve">                       1030-04</t>
  </si>
  <si>
    <t>20000 GAL TANK POMPEY</t>
  </si>
  <si>
    <t xml:space="preserve">  330-4082</t>
  </si>
  <si>
    <t>RACOON WATER STORAGE TANK</t>
  </si>
  <si>
    <t xml:space="preserve">  330-4083</t>
  </si>
  <si>
    <t>FERRELLS CREEK WATER TANK</t>
  </si>
  <si>
    <t xml:space="preserve">  330-4084</t>
  </si>
  <si>
    <t>STORAGE TANK HURRICANE</t>
  </si>
  <si>
    <t xml:space="preserve">  330-4085</t>
  </si>
  <si>
    <t xml:space="preserve">  330-4086</t>
  </si>
  <si>
    <t>2014 CIP TELEMETRY</t>
  </si>
  <si>
    <t xml:space="preserve">  330-4087</t>
  </si>
  <si>
    <t>2014 KIMPER REHAB</t>
  </si>
  <si>
    <t xml:space="preserve">  330-4088</t>
  </si>
  <si>
    <t>2014 BENT MTN TANK REHAB</t>
  </si>
  <si>
    <t xml:space="preserve">  330-4089</t>
  </si>
  <si>
    <t>2014 RIDGELINE RD TANK REHAB</t>
  </si>
  <si>
    <t xml:space="preserve">  330-4090</t>
  </si>
  <si>
    <t>2014 HUNT KNOB TANK REHAB</t>
  </si>
  <si>
    <t xml:space="preserve">  330-4091</t>
  </si>
  <si>
    <t>2014 STONE COAL TANK REHAB</t>
  </si>
  <si>
    <t xml:space="preserve">  330-4092</t>
  </si>
  <si>
    <t>2014 SHANONDALE TANK REHAB</t>
  </si>
  <si>
    <t xml:space="preserve">  330-4093</t>
  </si>
  <si>
    <t>2014 KY 292 TANK REHAB</t>
  </si>
  <si>
    <t xml:space="preserve">  330-4094</t>
  </si>
  <si>
    <t>2014 BLACKBERRY MTN TANK REHAB</t>
  </si>
  <si>
    <t xml:space="preserve">  330-4095</t>
  </si>
  <si>
    <t>2014 GRAVEYARD TANK REHAB</t>
  </si>
  <si>
    <t xml:space="preserve">  330-4096</t>
  </si>
  <si>
    <t>2014 SHELBIANA TANK REHAB</t>
  </si>
  <si>
    <t xml:space="preserve">  330-4097</t>
  </si>
  <si>
    <t>2014 DOUGLAS TANK REHAB</t>
  </si>
  <si>
    <t xml:space="preserve">  330-4098</t>
  </si>
  <si>
    <t>2014 DORTON TANK REHAB</t>
  </si>
  <si>
    <t xml:space="preserve">  330-4099</t>
  </si>
  <si>
    <t>TANK REHAB</t>
  </si>
  <si>
    <t xml:space="preserve">  330-4100</t>
  </si>
  <si>
    <t>MASTER METER POMPEY</t>
  </si>
  <si>
    <t xml:space="preserve">  330-4102</t>
  </si>
  <si>
    <t xml:space="preserve">  330-4103</t>
  </si>
  <si>
    <t>PUMP REPLACEMENT - FERRELLS CREEK</t>
  </si>
  <si>
    <t xml:space="preserve">  330-4104</t>
  </si>
  <si>
    <t>GENERATOR - FERRELS CREEK</t>
  </si>
  <si>
    <t xml:space="preserve">  330-4105</t>
  </si>
  <si>
    <t xml:space="preserve">  330-4106</t>
  </si>
  <si>
    <t xml:space="preserve">  330-4107</t>
  </si>
  <si>
    <t>ELKHORN TANK MASTER</t>
  </si>
  <si>
    <t xml:space="preserve">  330-4108</t>
  </si>
  <si>
    <t xml:space="preserve">  330-4109</t>
  </si>
  <si>
    <t>20,000 GALLON TANK</t>
  </si>
  <si>
    <t xml:space="preserve">  330-4110</t>
  </si>
  <si>
    <t>TANK MAINTENANCE</t>
  </si>
  <si>
    <t xml:space="preserve">  330-4111</t>
  </si>
  <si>
    <t>FREIGHT ON 21 TANKS</t>
  </si>
  <si>
    <t xml:space="preserve">  330-4112</t>
  </si>
  <si>
    <t>23 TANK REHAB</t>
  </si>
  <si>
    <t xml:space="preserve">  330-4006</t>
  </si>
  <si>
    <t xml:space="preserve">                       1130-04</t>
  </si>
  <si>
    <t>TANK SITES FOR SKID TANKS</t>
  </si>
  <si>
    <t xml:space="preserve">  330-4007</t>
  </si>
  <si>
    <t>REPAIR TANK-HIWAY 292</t>
  </si>
  <si>
    <t xml:space="preserve">  330-4008</t>
  </si>
  <si>
    <t>15,000 GALLON WATER TANK</t>
  </si>
  <si>
    <t xml:space="preserve">  330-4009</t>
  </si>
  <si>
    <t>200,000 GALLON WATER TANK</t>
  </si>
  <si>
    <t xml:space="preserve">  330-4010</t>
  </si>
  <si>
    <t>100,000 GALLON TANK HWY 119</t>
  </si>
  <si>
    <t xml:space="preserve">  330-4011</t>
  </si>
  <si>
    <t>100,000 GALLON TANK HWY 199</t>
  </si>
  <si>
    <t xml:space="preserve">  330-4013</t>
  </si>
  <si>
    <t>STORAGE TANK &amp; LINES</t>
  </si>
  <si>
    <t xml:space="preserve">  330-4014</t>
  </si>
  <si>
    <t>MINICODER</t>
  </si>
  <si>
    <t xml:space="preserve">  330-4015</t>
  </si>
  <si>
    <t>MOVE TANK TO TURKEY CREEK</t>
  </si>
  <si>
    <t xml:space="preserve">  330-4017</t>
  </si>
  <si>
    <t>TANK</t>
  </si>
  <si>
    <t xml:space="preserve">  330-4018</t>
  </si>
  <si>
    <t>PORTABLE TANK</t>
  </si>
  <si>
    <t xml:space="preserve">  330-4019</t>
  </si>
  <si>
    <t>DIST RESERVOIRS &amp; STANKPIPES</t>
  </si>
  <si>
    <t xml:space="preserve">  330-4020</t>
  </si>
  <si>
    <t>DIST RESERVOIR &amp; STANDPIPES</t>
  </si>
  <si>
    <t xml:space="preserve">  330-4021</t>
  </si>
  <si>
    <t>DISTRIBUTION RESERVOIRS</t>
  </si>
  <si>
    <t xml:space="preserve">  330-4022</t>
  </si>
  <si>
    <t>DIST RESERVOIR &amp; STANDPIPE</t>
  </si>
  <si>
    <t xml:space="preserve">  330-4023</t>
  </si>
  <si>
    <t>DIST RESERVOIRS &amp; STANDPIPE</t>
  </si>
  <si>
    <t xml:space="preserve">  330-4024</t>
  </si>
  <si>
    <t xml:space="preserve">  330-4025</t>
  </si>
  <si>
    <t>DISTRIBUTION LINES</t>
  </si>
  <si>
    <t xml:space="preserve">  330-4026</t>
  </si>
  <si>
    <t>PCHS ENGINEER/TELEMETRY</t>
  </si>
  <si>
    <t xml:space="preserve">  330-4027</t>
  </si>
  <si>
    <t>DIST RESERVOIRS</t>
  </si>
  <si>
    <t xml:space="preserve">  330-4028</t>
  </si>
  <si>
    <t>RESERVOIR-WATER TANK</t>
  </si>
  <si>
    <t xml:space="preserve">  330-4029</t>
  </si>
  <si>
    <t>DISTRIB RESERVOIRS &amp; STANDPIPES</t>
  </si>
  <si>
    <t xml:space="preserve">  330-4030</t>
  </si>
  <si>
    <t xml:space="preserve">  330-4031</t>
  </si>
  <si>
    <t xml:space="preserve">  330-4032</t>
  </si>
  <si>
    <t>DISTRIBUTION RESERVOIRS/STANDS</t>
  </si>
  <si>
    <t xml:space="preserve">  330-4033</t>
  </si>
  <si>
    <t xml:space="preserve">  330-4065</t>
  </si>
  <si>
    <t xml:space="preserve">  330-4069</t>
  </si>
  <si>
    <t>BRUSHY STORAGE TANK</t>
  </si>
  <si>
    <t xml:space="preserve">  330-4070</t>
  </si>
  <si>
    <t>ROCKHOUSE/MARROWBONE TANK</t>
  </si>
  <si>
    <t xml:space="preserve">  330-4071</t>
  </si>
  <si>
    <t>UPPER PETER TANK</t>
  </si>
  <si>
    <t xml:space="preserve">  330-4072</t>
  </si>
  <si>
    <t>WOLFPIT TANK</t>
  </si>
  <si>
    <t xml:space="preserve">  330-4073</t>
  </si>
  <si>
    <t>FC/MC FEDSCREEK BPS</t>
  </si>
  <si>
    <t xml:space="preserve">  330-4074</t>
  </si>
  <si>
    <t>FC/MC MOTLEY BPS</t>
  </si>
  <si>
    <t xml:space="preserve">  330-4075</t>
  </si>
  <si>
    <t>FC/MC FERRELL'S GAP BPS</t>
  </si>
  <si>
    <t xml:space="preserve">  330-4076</t>
  </si>
  <si>
    <t>FC/MC TANK FEDSCREEK</t>
  </si>
  <si>
    <t xml:space="preserve">  330-4077</t>
  </si>
  <si>
    <t>FC/MC TANKS MOTLEY</t>
  </si>
  <si>
    <t xml:space="preserve">  330-4078</t>
  </si>
  <si>
    <t>FC/MC TANK FERRELL'S GAP</t>
  </si>
  <si>
    <t xml:space="preserve">  330-4079</t>
  </si>
  <si>
    <t>FC/MC TANKS RUSSELL FORK</t>
  </si>
  <si>
    <t xml:space="preserve">  330-4080</t>
  </si>
  <si>
    <t>FC/MC TANK TELEMETRY</t>
  </si>
  <si>
    <t xml:space="preserve">  330-4081</t>
  </si>
  <si>
    <t>PRIDE TANKS</t>
  </si>
  <si>
    <t xml:space="preserve">  330-9702</t>
  </si>
  <si>
    <t>SKID TANK POWELL</t>
  </si>
  <si>
    <t xml:space="preserve">  330-9830</t>
  </si>
  <si>
    <t>TANK - KY GLASS</t>
  </si>
  <si>
    <t xml:space="preserve">  330-9832</t>
  </si>
  <si>
    <t>TANKS - MICRO-COM</t>
  </si>
  <si>
    <t xml:space="preserve">  330-9835</t>
  </si>
  <si>
    <t>TANKS - MUSIC CONST.</t>
  </si>
  <si>
    <t>Transmission and Distribution Mains</t>
  </si>
  <si>
    <t>Meters and Meter Installations</t>
  </si>
  <si>
    <t xml:space="preserve">  334-4259</t>
  </si>
  <si>
    <t xml:space="preserve">                       1033-04</t>
  </si>
  <si>
    <t>NEW HOOKUP SERVICES-JAN.</t>
  </si>
  <si>
    <t xml:space="preserve">  334-4214</t>
  </si>
  <si>
    <t xml:space="preserve">                       1133-04</t>
  </si>
  <si>
    <t>NEW HOOKUPS - SERVICES</t>
  </si>
  <si>
    <t xml:space="preserve">  334-4260</t>
  </si>
  <si>
    <t>NEW HOOKUPS-FEB</t>
  </si>
  <si>
    <t xml:space="preserve">  334-4261</t>
  </si>
  <si>
    <t>NEW HOOKUPS-MARCH</t>
  </si>
  <si>
    <t xml:space="preserve">  334-4262</t>
  </si>
  <si>
    <t>NEW HOOKUPS MAY</t>
  </si>
  <si>
    <t xml:space="preserve">  334-4263</t>
  </si>
  <si>
    <t>NEW HOOKUPS-JUNE</t>
  </si>
  <si>
    <t xml:space="preserve">  334-4269</t>
  </si>
  <si>
    <t>NEW HOOKUPS FOR WATER JULY07</t>
  </si>
  <si>
    <t xml:space="preserve">  334-4270</t>
  </si>
  <si>
    <t>NEW HOOKUPS FOR WATER AUG</t>
  </si>
  <si>
    <t xml:space="preserve">  334-4271</t>
  </si>
  <si>
    <t>NEW HOOKUPS FOR WATER SEPT.</t>
  </si>
  <si>
    <t xml:space="preserve">  334-4272</t>
  </si>
  <si>
    <t>NEW HOOKUPS FOR OCT.</t>
  </si>
  <si>
    <t xml:space="preserve">  334-4273</t>
  </si>
  <si>
    <t>NEW HOOKUPS FOR WATER FOR NOV</t>
  </si>
  <si>
    <t xml:space="preserve">  334-4274</t>
  </si>
  <si>
    <t>NEW HOOKUPS FOR WATER FOR DEC.</t>
  </si>
  <si>
    <t xml:space="preserve">  334-4317</t>
  </si>
  <si>
    <t>DEC 10 WATER TAPS ADDITIONAL</t>
  </si>
  <si>
    <t>NEW HOOKUPS-SERVICE-SEPT.</t>
  </si>
  <si>
    <t xml:space="preserve">  311-2074</t>
  </si>
  <si>
    <t>FERRELS CREEK METERS</t>
  </si>
  <si>
    <t xml:space="preserve">  333-4204</t>
  </si>
  <si>
    <t xml:space="preserve">  334-4248</t>
  </si>
  <si>
    <t>NEW HOOKUPS-METERS &amp; INST. JANUARY</t>
  </si>
  <si>
    <t xml:space="preserve">  334-4249</t>
  </si>
  <si>
    <t>NEW HOOKUP-METERS &amp; INST.-FEB.</t>
  </si>
  <si>
    <t xml:space="preserve">  334-4250</t>
  </si>
  <si>
    <t>NEW HOOKUPS-METERS &amp; INST. MARCH</t>
  </si>
  <si>
    <t xml:space="preserve">  334-4251</t>
  </si>
  <si>
    <t>NEW HOOKKUPS-METERS &amp; INST, APRIL</t>
  </si>
  <si>
    <t xml:space="preserve">  334-4252</t>
  </si>
  <si>
    <t>NEW HOOKUPS-METERS &amp; INST.-MAY</t>
  </si>
  <si>
    <t xml:space="preserve">  334-4253</t>
  </si>
  <si>
    <t>NEW HOOKUP -METERS &amp; INST. JUNE</t>
  </si>
  <si>
    <t xml:space="preserve">  334-4254</t>
  </si>
  <si>
    <t>NEW HOOKUPS-METERS &amp; INST. JULY</t>
  </si>
  <si>
    <t xml:space="preserve">  334-4255</t>
  </si>
  <si>
    <t>NEW HOOKUPS -METERS &amp; INST. SEPT.</t>
  </si>
  <si>
    <t xml:space="preserve">  334-4256</t>
  </si>
  <si>
    <t>NEW HOOKUPS-METERS &amp; INST. OCT.</t>
  </si>
  <si>
    <t xml:space="preserve">  334-4257</t>
  </si>
  <si>
    <t>NEW HOOKUPS METERS &amp; INST. NOV</t>
  </si>
  <si>
    <t xml:space="preserve">  334-4258</t>
  </si>
  <si>
    <t>NEW HOOKUPS-METERS &amp; INST. DECEMBER</t>
  </si>
  <si>
    <t xml:space="preserve">  334-4264</t>
  </si>
  <si>
    <t>NEW HOOKUPS METERS AND INSTALL-JAN</t>
  </si>
  <si>
    <t xml:space="preserve">  334-4265</t>
  </si>
  <si>
    <t>NEW HOOKUPS-METERS &amp; INSTALL-FEB</t>
  </si>
  <si>
    <t xml:space="preserve">  334-4266</t>
  </si>
  <si>
    <t>NEW HOOKUPS -METERS &amp; INSTALLS APRIL</t>
  </si>
  <si>
    <t xml:space="preserve">  334-4267</t>
  </si>
  <si>
    <t>NEW HOOKUPS-METERS &amp; INSTALLS-MAY</t>
  </si>
  <si>
    <t xml:space="preserve">  334-4268</t>
  </si>
  <si>
    <t>NEW HOOKUPS-METERS &amp; INSTALLS JUNE</t>
  </si>
  <si>
    <t xml:space="preserve">  334-4275</t>
  </si>
  <si>
    <t>NEW HOOKUPS -SERVICE JULY</t>
  </si>
  <si>
    <t xml:space="preserve">  334-4276</t>
  </si>
  <si>
    <t>NEW HOOKUPS -SERVICE-AUG.</t>
  </si>
  <si>
    <t xml:space="preserve">  334-4278</t>
  </si>
  <si>
    <t>NEW HOOKUPS -SERVICE-OCT.</t>
  </si>
  <si>
    <t xml:space="preserve">  334-4279</t>
  </si>
  <si>
    <t>NEW HOOKUPS -SERVICE-NOV.</t>
  </si>
  <si>
    <t xml:space="preserve">  334-4280</t>
  </si>
  <si>
    <t>NEW HOOKUPS SERVICE-DEC.</t>
  </si>
  <si>
    <t xml:space="preserve">  334-4281</t>
  </si>
  <si>
    <t>JAN WATER HOOKUPS METERS</t>
  </si>
  <si>
    <t xml:space="preserve">  334-4282</t>
  </si>
  <si>
    <t>FEB WATER HOOKUPS METERS</t>
  </si>
  <si>
    <t xml:space="preserve">  334-4283</t>
  </si>
  <si>
    <t>MAR HOOKUPS METERS</t>
  </si>
  <si>
    <t xml:space="preserve">  334-4284</t>
  </si>
  <si>
    <t>APR WATER HOOKUPS METERS</t>
  </si>
  <si>
    <t xml:space="preserve">  334-4285</t>
  </si>
  <si>
    <t>MAY WATER HOOKUPS METERS</t>
  </si>
  <si>
    <t xml:space="preserve">  334-4286</t>
  </si>
  <si>
    <t>JUNE WATER HOOKUPS METERS</t>
  </si>
  <si>
    <t xml:space="preserve">  334-4287</t>
  </si>
  <si>
    <t>JULY WATER HOOKUPS METERS</t>
  </si>
  <si>
    <t xml:space="preserve">  334-4288</t>
  </si>
  <si>
    <t>AUG WATER HOOKUPS METERS</t>
  </si>
  <si>
    <t xml:space="preserve">  334-4289</t>
  </si>
  <si>
    <t>SEP WATER HOOKUPS METERS</t>
  </si>
  <si>
    <t xml:space="preserve">  334-4290</t>
  </si>
  <si>
    <t>OCT WATER HOOKUPS METERS</t>
  </si>
  <si>
    <t xml:space="preserve">  334-4291</t>
  </si>
  <si>
    <t>NOV WATER HOOKUPS METERS</t>
  </si>
  <si>
    <t xml:space="preserve">  334-4292</t>
  </si>
  <si>
    <t>DEC WATER HOOKUPS METERS</t>
  </si>
  <si>
    <t xml:space="preserve">  334-4293</t>
  </si>
  <si>
    <t>JAN 09 WATER HOOKUPS METERS</t>
  </si>
  <si>
    <t xml:space="preserve">  334-4294</t>
  </si>
  <si>
    <t>FEB 09 WATER HOOKUPS METERS</t>
  </si>
  <si>
    <t xml:space="preserve">  334-4295</t>
  </si>
  <si>
    <t>MAR 09 WATER HOOKUPS METERS</t>
  </si>
  <si>
    <t xml:space="preserve">  334-4296</t>
  </si>
  <si>
    <t>APR 09 WATER HOOKUPS METERS</t>
  </si>
  <si>
    <t xml:space="preserve">  334-4297</t>
  </si>
  <si>
    <t>MAY 09 WATER HOOKUPS METERS</t>
  </si>
  <si>
    <t xml:space="preserve">  334-4298</t>
  </si>
  <si>
    <t>JUN 09 WATER HOOKUPS METERS</t>
  </si>
  <si>
    <t xml:space="preserve">  334-4299</t>
  </si>
  <si>
    <t>JUL 09 WATER HOOKUPS METERS</t>
  </si>
  <si>
    <t xml:space="preserve">  334-4300</t>
  </si>
  <si>
    <t>AUG 09 WATER HOOKUPS METERS</t>
  </si>
  <si>
    <t xml:space="preserve">  334-4301</t>
  </si>
  <si>
    <t>SEP 09 WATER HOOKUPS METERS</t>
  </si>
  <si>
    <t xml:space="preserve">  334-4302</t>
  </si>
  <si>
    <t>OCT 09 WATER HOOKUPS METERS</t>
  </si>
  <si>
    <t xml:space="preserve">  334-4303</t>
  </si>
  <si>
    <t>NOV 09 WATER HOOKUPS METERS</t>
  </si>
  <si>
    <t xml:space="preserve">  334-4304</t>
  </si>
  <si>
    <t>DEC 09 WATER HOOKUPS METERS</t>
  </si>
  <si>
    <t xml:space="preserve">  334-4305</t>
  </si>
  <si>
    <t>JAN 10 WATER HOOKUPS METERS</t>
  </si>
  <si>
    <t xml:space="preserve">  334-4306</t>
  </si>
  <si>
    <t>FEB 10 WATER HOOKUPS METERS</t>
  </si>
  <si>
    <t xml:space="preserve">  334-4307</t>
  </si>
  <si>
    <t>MAR 10 WATER HOOKUPS METERS</t>
  </si>
  <si>
    <t xml:space="preserve">  334-4308</t>
  </si>
  <si>
    <t>APR 10 WATER HOOKUPS METERS</t>
  </si>
  <si>
    <t xml:space="preserve">  334-4309</t>
  </si>
  <si>
    <t xml:space="preserve">  334-4310</t>
  </si>
  <si>
    <t>JUN 10 WATER HOOKUPS METERS</t>
  </si>
  <si>
    <t xml:space="preserve">  334-4311</t>
  </si>
  <si>
    <t>JULY 10 WATER HOOKUPS METERS</t>
  </si>
  <si>
    <t xml:space="preserve">  334-4312</t>
  </si>
  <si>
    <t>AUG 10 WATER HOOKUPS METERS</t>
  </si>
  <si>
    <t xml:space="preserve">  334-4313</t>
  </si>
  <si>
    <t>SEP 10 WATER HOOKUPS METERS</t>
  </si>
  <si>
    <t xml:space="preserve">  334-4314</t>
  </si>
  <si>
    <t>OCT 10 WATER HOOKUPS METERS</t>
  </si>
  <si>
    <t xml:space="preserve">  334-4315</t>
  </si>
  <si>
    <t>NOV 10 WATER HOOKUPS METERS</t>
  </si>
  <si>
    <t xml:space="preserve">  334-4316</t>
  </si>
  <si>
    <t>DEC 10 WATER HOOKUPS METERS</t>
  </si>
  <si>
    <t xml:space="preserve">  334-4318</t>
  </si>
  <si>
    <t>HOOKUPS JAN 2011</t>
  </si>
  <si>
    <t xml:space="preserve">  334-4319</t>
  </si>
  <si>
    <t>HOOKUPS FEB 2011</t>
  </si>
  <si>
    <t xml:space="preserve">  334-4320</t>
  </si>
  <si>
    <t>HOOKUPS MAR 2011</t>
  </si>
  <si>
    <t xml:space="preserve">  334-4321</t>
  </si>
  <si>
    <t>HOOKUPS APRIL 2011</t>
  </si>
  <si>
    <t xml:space="preserve">  334-4322</t>
  </si>
  <si>
    <t>HOOKUPS MAY 2011</t>
  </si>
  <si>
    <t xml:space="preserve">  334-4324</t>
  </si>
  <si>
    <t>HOOKUPS JULY 2011</t>
  </si>
  <si>
    <t xml:space="preserve">  334-4325</t>
  </si>
  <si>
    <t>HOOKUPS AUG 2011</t>
  </si>
  <si>
    <t xml:space="preserve">  334-4326</t>
  </si>
  <si>
    <t>HOOKUPS SEP 2011</t>
  </si>
  <si>
    <t xml:space="preserve">  334-4327</t>
  </si>
  <si>
    <t>HOOKUPS OCT 2011</t>
  </si>
  <si>
    <t xml:space="preserve">  334-4328</t>
  </si>
  <si>
    <t>HOOKUPS NOV 2011</t>
  </si>
  <si>
    <t xml:space="preserve">  334-4329</t>
  </si>
  <si>
    <t>HOOKUPS DEC 2011</t>
  </si>
  <si>
    <t xml:space="preserve">  334-4331</t>
  </si>
  <si>
    <t>HOOKUPS JAN 12</t>
  </si>
  <si>
    <t xml:space="preserve">  334-4332</t>
  </si>
  <si>
    <t>HOOKUPS FEB 12</t>
  </si>
  <si>
    <t xml:space="preserve">  334-4333</t>
  </si>
  <si>
    <t>HOOKUPS MAR 12</t>
  </si>
  <si>
    <t xml:space="preserve">  334-4334</t>
  </si>
  <si>
    <t>HOOKUPS APR 12</t>
  </si>
  <si>
    <t xml:space="preserve">  334-4335</t>
  </si>
  <si>
    <t>HOOKUPS MAY 12</t>
  </si>
  <si>
    <t xml:space="preserve">  334-4336</t>
  </si>
  <si>
    <t>HOOKUPS JUN 12</t>
  </si>
  <si>
    <t xml:space="preserve">  334-4337</t>
  </si>
  <si>
    <t>HOOKUPS JULY 12</t>
  </si>
  <si>
    <t xml:space="preserve">  334-4338</t>
  </si>
  <si>
    <t>HOOKUPS AUG 12</t>
  </si>
  <si>
    <t xml:space="preserve">  334-4339</t>
  </si>
  <si>
    <t>HOOKUPS SEP 12</t>
  </si>
  <si>
    <t xml:space="preserve">  334-4340</t>
  </si>
  <si>
    <t>HOOKUPS OCT 12</t>
  </si>
  <si>
    <t xml:space="preserve">  334-4341</t>
  </si>
  <si>
    <t>HOOKUPS NOV 12</t>
  </si>
  <si>
    <t xml:space="preserve">  334-4342</t>
  </si>
  <si>
    <t>HOOKUPS DEC 12</t>
  </si>
  <si>
    <t xml:space="preserve">  334-4343</t>
  </si>
  <si>
    <t>JAN HOOKUPS</t>
  </si>
  <si>
    <t xml:space="preserve">  334-4344</t>
  </si>
  <si>
    <t>FEB HOOKUPS</t>
  </si>
  <si>
    <t xml:space="preserve">  334-4345</t>
  </si>
  <si>
    <t>MAR HOOKUPS</t>
  </si>
  <si>
    <t xml:space="preserve">  334-4346</t>
  </si>
  <si>
    <t>APR HOOKUPS</t>
  </si>
  <si>
    <t xml:space="preserve">  334-4347</t>
  </si>
  <si>
    <t>MAY HOOKUPS</t>
  </si>
  <si>
    <t xml:space="preserve">  334-4348</t>
  </si>
  <si>
    <t>JUNE HOOKUPS</t>
  </si>
  <si>
    <t xml:space="preserve">  334-4349</t>
  </si>
  <si>
    <t>JULY HOOKUPS</t>
  </si>
  <si>
    <t xml:space="preserve">  334-4350</t>
  </si>
  <si>
    <t>AUG HOOKUPS</t>
  </si>
  <si>
    <t xml:space="preserve">  334-4351</t>
  </si>
  <si>
    <t>SEP HOOKUPS</t>
  </si>
  <si>
    <t xml:space="preserve">  334-4352</t>
  </si>
  <si>
    <t>OCT HOOKUPS</t>
  </si>
  <si>
    <t xml:space="preserve">  334-4353</t>
  </si>
  <si>
    <t>NOV HOOKUPS</t>
  </si>
  <si>
    <t xml:space="preserve">  334-4354</t>
  </si>
  <si>
    <t>DEC HOOKUPS</t>
  </si>
  <si>
    <t xml:space="preserve">  334-4355</t>
  </si>
  <si>
    <t xml:space="preserve">  334-4356</t>
  </si>
  <si>
    <t xml:space="preserve">  334-4357</t>
  </si>
  <si>
    <t xml:space="preserve">  334-4358</t>
  </si>
  <si>
    <t xml:space="preserve">  334-4359</t>
  </si>
  <si>
    <t xml:space="preserve">  334-4360</t>
  </si>
  <si>
    <t xml:space="preserve">  334-4361</t>
  </si>
  <si>
    <t xml:space="preserve">  334-4362</t>
  </si>
  <si>
    <t xml:space="preserve">  334-4363</t>
  </si>
  <si>
    <t>SEPT HOOKUPS</t>
  </si>
  <si>
    <t xml:space="preserve">  334-4364</t>
  </si>
  <si>
    <t xml:space="preserve">  334-4365</t>
  </si>
  <si>
    <t xml:space="preserve">  334-4366</t>
  </si>
  <si>
    <t xml:space="preserve">  334-4367</t>
  </si>
  <si>
    <t>JAN 15 HOOKUPS</t>
  </si>
  <si>
    <t xml:space="preserve">  334-4368</t>
  </si>
  <si>
    <t>FEB 15 HOOKUPS</t>
  </si>
  <si>
    <t xml:space="preserve">  334-4369</t>
  </si>
  <si>
    <t>MAR 15 HOOKUPS</t>
  </si>
  <si>
    <t xml:space="preserve">  334-4370</t>
  </si>
  <si>
    <t>APR 15 HOOKUPS</t>
  </si>
  <si>
    <t xml:space="preserve">  334-4371</t>
  </si>
  <si>
    <t>MAY 15 HOOKUPS</t>
  </si>
  <si>
    <t xml:space="preserve">  334-4373</t>
  </si>
  <si>
    <t>JUL 15 HOOKUPS</t>
  </si>
  <si>
    <t xml:space="preserve">  334-4374</t>
  </si>
  <si>
    <t>AUG 15 HOOKUPS</t>
  </si>
  <si>
    <t xml:space="preserve">  334-4375</t>
  </si>
  <si>
    <t>SEP 15 HOOKUPS</t>
  </si>
  <si>
    <t xml:space="preserve">  334-4376</t>
  </si>
  <si>
    <t>OCT 15 HOOKUPS</t>
  </si>
  <si>
    <t xml:space="preserve">  334-4377</t>
  </si>
  <si>
    <t>NOV 15 HOOKUPS</t>
  </si>
  <si>
    <t xml:space="preserve">  334-4378</t>
  </si>
  <si>
    <t>DEC 15 HOOKUPS</t>
  </si>
  <si>
    <t xml:space="preserve">  334-4379</t>
  </si>
  <si>
    <t>TAPS</t>
  </si>
  <si>
    <t xml:space="preserve">  334-4380</t>
  </si>
  <si>
    <t>JAN METERS</t>
  </si>
  <si>
    <t xml:space="preserve">  334-4381</t>
  </si>
  <si>
    <t>FEB METERS</t>
  </si>
  <si>
    <t xml:space="preserve">  334-4382</t>
  </si>
  <si>
    <t>MAR METERS</t>
  </si>
  <si>
    <t xml:space="preserve">  334-4383</t>
  </si>
  <si>
    <t>APR METERS</t>
  </si>
  <si>
    <t xml:space="preserve">  334-4384</t>
  </si>
  <si>
    <t>MAY METERS</t>
  </si>
  <si>
    <t xml:space="preserve">  334-4385</t>
  </si>
  <si>
    <t>JUNE METERS</t>
  </si>
  <si>
    <t xml:space="preserve">  334-4386</t>
  </si>
  <si>
    <t>JULY METERS</t>
  </si>
  <si>
    <t xml:space="preserve">  334-4387</t>
  </si>
  <si>
    <t>AUGUST METERS</t>
  </si>
  <si>
    <t xml:space="preserve">  334-4388</t>
  </si>
  <si>
    <t>SEPT METERS</t>
  </si>
  <si>
    <t xml:space="preserve">  334-4389</t>
  </si>
  <si>
    <t>OCT METERS</t>
  </si>
  <si>
    <t xml:space="preserve">  334-4390</t>
  </si>
  <si>
    <t>NOV METERS</t>
  </si>
  <si>
    <t xml:space="preserve">  334-4391</t>
  </si>
  <si>
    <t>DEC METERS</t>
  </si>
  <si>
    <t xml:space="preserve">  334-4392</t>
  </si>
  <si>
    <t>WATER TAPS</t>
  </si>
  <si>
    <t xml:space="preserve">  334-4393</t>
  </si>
  <si>
    <t xml:space="preserve">  334-4394</t>
  </si>
  <si>
    <t xml:space="preserve">  334-4395</t>
  </si>
  <si>
    <t xml:space="preserve">  334-4396</t>
  </si>
  <si>
    <t>APRIL HOOKUPS</t>
  </si>
  <si>
    <t xml:space="preserve">  334-4397</t>
  </si>
  <si>
    <t xml:space="preserve">  334-4398</t>
  </si>
  <si>
    <t xml:space="preserve">  334-4399</t>
  </si>
  <si>
    <t xml:space="preserve">  334-4400</t>
  </si>
  <si>
    <t xml:space="preserve">  334-4401</t>
  </si>
  <si>
    <t xml:space="preserve">  334-4402</t>
  </si>
  <si>
    <t>OCT 17 HOOKUPS</t>
  </si>
  <si>
    <t xml:space="preserve">  334-4403</t>
  </si>
  <si>
    <t>NOV 17 HOOKUPS</t>
  </si>
  <si>
    <t xml:space="preserve">  334-4404</t>
  </si>
  <si>
    <t>DEC 17 HOOKUPS</t>
  </si>
  <si>
    <t xml:space="preserve">  334-4405</t>
  </si>
  <si>
    <t>2017 R/C METERS</t>
  </si>
  <si>
    <t xml:space="preserve">  334-4406</t>
  </si>
  <si>
    <t>JAN METERS &amp; INSTALL</t>
  </si>
  <si>
    <t xml:space="preserve">  334-4407</t>
  </si>
  <si>
    <t>FEB METERS &amp; INSTALL</t>
  </si>
  <si>
    <t xml:space="preserve">  334-4408</t>
  </si>
  <si>
    <t>MARCH METERS &amp; INSTALL</t>
  </si>
  <si>
    <t xml:space="preserve">  334-4409</t>
  </si>
  <si>
    <t>APRIL METERS &amp; INSTALL</t>
  </si>
  <si>
    <t xml:space="preserve">  334-4410</t>
  </si>
  <si>
    <t>MAY METERS &amp; INSTALL</t>
  </si>
  <si>
    <t xml:space="preserve">  334-4411</t>
  </si>
  <si>
    <t>RG3 METER</t>
  </si>
  <si>
    <t xml:space="preserve">  334-4412</t>
  </si>
  <si>
    <t>JUNE METERS &amp; INSTALL</t>
  </si>
  <si>
    <t xml:space="preserve">  334-4413</t>
  </si>
  <si>
    <t xml:space="preserve">  334-4414</t>
  </si>
  <si>
    <t>JULY METERS &amp; INSTALL</t>
  </si>
  <si>
    <t xml:space="preserve">  334-4415</t>
  </si>
  <si>
    <t>AUG METERS &amp; INSTALL</t>
  </si>
  <si>
    <t xml:space="preserve">  334-4416</t>
  </si>
  <si>
    <t>SEPT METERS &amp; INSTALL</t>
  </si>
  <si>
    <t xml:space="preserve">  334-4417</t>
  </si>
  <si>
    <t xml:space="preserve">  334-4418</t>
  </si>
  <si>
    <t xml:space="preserve">  334-4419</t>
  </si>
  <si>
    <t>NOVMETERS &amp;INSTALL</t>
  </si>
  <si>
    <t xml:space="preserve">  334-4420</t>
  </si>
  <si>
    <t xml:space="preserve">  334-4421</t>
  </si>
  <si>
    <t>DEC METERS &amp; INSTALL</t>
  </si>
  <si>
    <t xml:space="preserve">  334-4422</t>
  </si>
  <si>
    <t xml:space="preserve">  334-4423</t>
  </si>
  <si>
    <t xml:space="preserve">  334-4424</t>
  </si>
  <si>
    <t xml:space="preserve">  334-4425</t>
  </si>
  <si>
    <t>RG3 METERS</t>
  </si>
  <si>
    <t xml:space="preserve">  334-4426</t>
  </si>
  <si>
    <t>METERS</t>
  </si>
  <si>
    <t xml:space="preserve">  334-4427</t>
  </si>
  <si>
    <t xml:space="preserve">  334-4428</t>
  </si>
  <si>
    <t xml:space="preserve">  334-4429</t>
  </si>
  <si>
    <t>COWPEN BOAR</t>
  </si>
  <si>
    <t xml:space="preserve">  334-4430</t>
  </si>
  <si>
    <t xml:space="preserve">  334-4431</t>
  </si>
  <si>
    <t>WATER TAPS JAN 19</t>
  </si>
  <si>
    <t xml:space="preserve">  334-4432</t>
  </si>
  <si>
    <t xml:space="preserve">  334-4433</t>
  </si>
  <si>
    <t xml:space="preserve">  334-4434</t>
  </si>
  <si>
    <t>WATER TAP FEB 19</t>
  </si>
  <si>
    <t xml:space="preserve">  334-4435</t>
  </si>
  <si>
    <t xml:space="preserve">  334-4436</t>
  </si>
  <si>
    <t>WATER TAPS MAR 19</t>
  </si>
  <si>
    <t xml:space="preserve">  334-4437</t>
  </si>
  <si>
    <t xml:space="preserve">  334-4438</t>
  </si>
  <si>
    <t>APR 19 HOOKUPS</t>
  </si>
  <si>
    <t xml:space="preserve">  334-4439</t>
  </si>
  <si>
    <t xml:space="preserve">  334-4440</t>
  </si>
  <si>
    <t>MAY WATER TAPS</t>
  </si>
  <si>
    <t xml:space="preserve">  334-4441</t>
  </si>
  <si>
    <t xml:space="preserve">  334-4442</t>
  </si>
  <si>
    <t xml:space="preserve">  334-4443</t>
  </si>
  <si>
    <t xml:space="preserve">  334-4444</t>
  </si>
  <si>
    <t xml:space="preserve">  334-4445</t>
  </si>
  <si>
    <t xml:space="preserve">  334-4446</t>
  </si>
  <si>
    <t xml:space="preserve">  334-4447</t>
  </si>
  <si>
    <t xml:space="preserve">  334-4448</t>
  </si>
  <si>
    <t xml:space="preserve">  334-4449</t>
  </si>
  <si>
    <t xml:space="preserve">  334-4450</t>
  </si>
  <si>
    <t>AUG WATER TAPS</t>
  </si>
  <si>
    <t xml:space="preserve">  334-4451</t>
  </si>
  <si>
    <t>SEPT TAPS</t>
  </si>
  <si>
    <t xml:space="preserve">  334-4452</t>
  </si>
  <si>
    <t xml:space="preserve">  334-4453</t>
  </si>
  <si>
    <t xml:space="preserve">  334-4454</t>
  </si>
  <si>
    <t>OCT TAPS</t>
  </si>
  <si>
    <t xml:space="preserve">  334-4455</t>
  </si>
  <si>
    <t>NOV TAPS</t>
  </si>
  <si>
    <t xml:space="preserve">  334-4456</t>
  </si>
  <si>
    <t>DEC TAPS</t>
  </si>
  <si>
    <t xml:space="preserve">  334-4461</t>
  </si>
  <si>
    <t xml:space="preserve">  334-4462</t>
  </si>
  <si>
    <t xml:space="preserve">  334-4463</t>
  </si>
  <si>
    <t>MARCH METERS</t>
  </si>
  <si>
    <t xml:space="preserve">  334-4464</t>
  </si>
  <si>
    <t>APRIL WATER METERS</t>
  </si>
  <si>
    <t xml:space="preserve">  334-4465</t>
  </si>
  <si>
    <t>APRIL METERS</t>
  </si>
  <si>
    <t xml:space="preserve">  334-4466</t>
  </si>
  <si>
    <t>JUNE WATER METERS</t>
  </si>
  <si>
    <t xml:space="preserve">  334-4467</t>
  </si>
  <si>
    <t>JULY WATER METERS</t>
  </si>
  <si>
    <t xml:space="preserve">  334-4468</t>
  </si>
  <si>
    <t>AUG WTAER METERS</t>
  </si>
  <si>
    <t xml:space="preserve">  334-4469</t>
  </si>
  <si>
    <t>SEPTEMBER WATER METERS</t>
  </si>
  <si>
    <t xml:space="preserve">  334-4470</t>
  </si>
  <si>
    <t>OCT WATER METER</t>
  </si>
  <si>
    <t xml:space="preserve">  334-4471</t>
  </si>
  <si>
    <t>NOV WATER METERS</t>
  </si>
  <si>
    <t xml:space="preserve">  334-4472</t>
  </si>
  <si>
    <t>DEC WATER METERS</t>
  </si>
  <si>
    <t xml:space="preserve">  334-4474</t>
  </si>
  <si>
    <t xml:space="preserve">  334-4475</t>
  </si>
  <si>
    <t>APRIL TAPS</t>
  </si>
  <si>
    <t xml:space="preserve">  334-4476</t>
  </si>
  <si>
    <t>JAN WATER METERS</t>
  </si>
  <si>
    <t xml:space="preserve">  334-4477</t>
  </si>
  <si>
    <t xml:space="preserve">  334-4478</t>
  </si>
  <si>
    <t xml:space="preserve">  334-4480</t>
  </si>
  <si>
    <t xml:space="preserve">  334-4481</t>
  </si>
  <si>
    <t xml:space="preserve">  334-4482</t>
  </si>
  <si>
    <t xml:space="preserve">  334-4483</t>
  </si>
  <si>
    <t xml:space="preserve">  334-4484</t>
  </si>
  <si>
    <t>AUG METERS</t>
  </si>
  <si>
    <t xml:space="preserve">  334-4485</t>
  </si>
  <si>
    <t xml:space="preserve">  334-4486</t>
  </si>
  <si>
    <t xml:space="preserve">  334-4487</t>
  </si>
  <si>
    <t xml:space="preserve">  334-4488</t>
  </si>
  <si>
    <t xml:space="preserve">  334-4489</t>
  </si>
  <si>
    <t xml:space="preserve">  334-4490</t>
  </si>
  <si>
    <t xml:space="preserve">  334-4491</t>
  </si>
  <si>
    <t>TURBO METER WTP</t>
  </si>
  <si>
    <t xml:space="preserve">  334-4492</t>
  </si>
  <si>
    <t>WATER TAPS PHELPS 1</t>
  </si>
  <si>
    <t xml:space="preserve">  334-4493</t>
  </si>
  <si>
    <t>ZONE METER</t>
  </si>
  <si>
    <t xml:space="preserve">  334-4494</t>
  </si>
  <si>
    <t>JAN WATER SERVICES</t>
  </si>
  <si>
    <t xml:space="preserve">  334-4495</t>
  </si>
  <si>
    <t>FEB WATER SERVICES</t>
  </si>
  <si>
    <t xml:space="preserve">  334-4496</t>
  </si>
  <si>
    <t>MARCH WATER SERVICES</t>
  </si>
  <si>
    <t xml:space="preserve">  334-4497</t>
  </si>
  <si>
    <t>APRIL WATER SERVICES</t>
  </si>
  <si>
    <t xml:space="preserve">  334-4498</t>
  </si>
  <si>
    <t>MAY WATER SERVICES</t>
  </si>
  <si>
    <t xml:space="preserve">  334-4499</t>
  </si>
  <si>
    <t>JUNE WATER SERVICES</t>
  </si>
  <si>
    <t xml:space="preserve">  334-4500</t>
  </si>
  <si>
    <t>AUGUST WATER SERVICES</t>
  </si>
  <si>
    <t xml:space="preserve">  334-4501</t>
  </si>
  <si>
    <t>SEPT WATER SERVICES</t>
  </si>
  <si>
    <t xml:space="preserve">  334-4502</t>
  </si>
  <si>
    <t>OCT WATER SERVICES</t>
  </si>
  <si>
    <t xml:space="preserve">  334-4503</t>
  </si>
  <si>
    <t>NOV WATER SERVICES</t>
  </si>
  <si>
    <t xml:space="preserve">  334-4504</t>
  </si>
  <si>
    <t>DEC WATER SERVICES</t>
  </si>
  <si>
    <t xml:space="preserve">  334-4505</t>
  </si>
  <si>
    <t xml:space="preserve">  334-4506</t>
  </si>
  <si>
    <t xml:space="preserve">  334-4507</t>
  </si>
  <si>
    <t>MAR WATER SERVICES</t>
  </si>
  <si>
    <t xml:space="preserve">  334-4508</t>
  </si>
  <si>
    <t>APR WATER SERVICES</t>
  </si>
  <si>
    <t xml:space="preserve">  334-4509</t>
  </si>
  <si>
    <t xml:space="preserve">  334-4510</t>
  </si>
  <si>
    <t>JUN WATER SERVICES</t>
  </si>
  <si>
    <t xml:space="preserve">  334-4511</t>
  </si>
  <si>
    <t>JULY WATER SERVICES</t>
  </si>
  <si>
    <t xml:space="preserve">  334-4512</t>
  </si>
  <si>
    <t>AUG WATER SERVICES</t>
  </si>
  <si>
    <t xml:space="preserve">  334-4513</t>
  </si>
  <si>
    <t>SEP WATER SERVICES</t>
  </si>
  <si>
    <t xml:space="preserve">  334-4514</t>
  </si>
  <si>
    <t xml:space="preserve">  334-4515</t>
  </si>
  <si>
    <t xml:space="preserve">  334-4516</t>
  </si>
  <si>
    <t xml:space="preserve">  334-4517</t>
  </si>
  <si>
    <t>CIP 23 WATER TAPS</t>
  </si>
  <si>
    <t xml:space="preserve">  334-4518</t>
  </si>
  <si>
    <t xml:space="preserve">  334-4519</t>
  </si>
  <si>
    <t xml:space="preserve">  334-4520</t>
  </si>
  <si>
    <t xml:space="preserve">  334-4521</t>
  </si>
  <si>
    <t xml:space="preserve">  334-4522</t>
  </si>
  <si>
    <t xml:space="preserve">  334-4523</t>
  </si>
  <si>
    <t xml:space="preserve">  334-4524</t>
  </si>
  <si>
    <t xml:space="preserve">  334-4525</t>
  </si>
  <si>
    <t xml:space="preserve">  334-4526</t>
  </si>
  <si>
    <t xml:space="preserve">  334-4527</t>
  </si>
  <si>
    <t xml:space="preserve">  334-4528</t>
  </si>
  <si>
    <t xml:space="preserve">  334-4529</t>
  </si>
  <si>
    <t xml:space="preserve">  334-4960</t>
  </si>
  <si>
    <t xml:space="preserve"> 334-43721</t>
  </si>
  <si>
    <t>JUN 15 HOOKUPS</t>
  </si>
  <si>
    <t xml:space="preserve">  333-4213</t>
  </si>
  <si>
    <t xml:space="preserve">                       1134-04</t>
  </si>
  <si>
    <t>NEW HOOKUPS - METERS &amp; INSTALLS</t>
  </si>
  <si>
    <t xml:space="preserve">  334-4001</t>
  </si>
  <si>
    <t>METER &amp; METER SETTINGS</t>
  </si>
  <si>
    <t xml:space="preserve">  334-4002</t>
  </si>
  <si>
    <t xml:space="preserve">  334-4003</t>
  </si>
  <si>
    <t>METER SET-TURKEY CREEK EXTENSION</t>
  </si>
  <si>
    <t xml:space="preserve">  334-4004</t>
  </si>
  <si>
    <t>METER HOOKUPS</t>
  </si>
  <si>
    <t xml:space="preserve">  334-4013</t>
  </si>
  <si>
    <t xml:space="preserve">  334-4020</t>
  </si>
  <si>
    <t>NEW METER HOOKUPS</t>
  </si>
  <si>
    <t xml:space="preserve">  334-4021</t>
  </si>
  <si>
    <t>NEW HOOKUPS</t>
  </si>
  <si>
    <t xml:space="preserve">  334-4022</t>
  </si>
  <si>
    <t xml:space="preserve">  334-4023</t>
  </si>
  <si>
    <t xml:space="preserve">  334-4024</t>
  </si>
  <si>
    <t xml:space="preserve">  334-4025</t>
  </si>
  <si>
    <t xml:space="preserve">  334-4026</t>
  </si>
  <si>
    <t xml:space="preserve">  334-4027</t>
  </si>
  <si>
    <t xml:space="preserve">  334-4028</t>
  </si>
  <si>
    <t xml:space="preserve">  334-4029</t>
  </si>
  <si>
    <t xml:space="preserve">  334-4030</t>
  </si>
  <si>
    <t xml:space="preserve">  334-4031</t>
  </si>
  <si>
    <t xml:space="preserve">  334-4032</t>
  </si>
  <si>
    <t xml:space="preserve">  334-4033</t>
  </si>
  <si>
    <t xml:space="preserve">  334-4034</t>
  </si>
  <si>
    <t xml:space="preserve">  334-4035</t>
  </si>
  <si>
    <t xml:space="preserve">  334-4036</t>
  </si>
  <si>
    <t xml:space="preserve">  334-4037</t>
  </si>
  <si>
    <t xml:space="preserve">  334-4038</t>
  </si>
  <si>
    <t xml:space="preserve">  334-4039</t>
  </si>
  <si>
    <t xml:space="preserve">  334-4040</t>
  </si>
  <si>
    <t xml:space="preserve">  334-4041</t>
  </si>
  <si>
    <t xml:space="preserve">  334-4042</t>
  </si>
  <si>
    <t xml:space="preserve">  334-4043</t>
  </si>
  <si>
    <t xml:space="preserve">  334-4044</t>
  </si>
  <si>
    <t xml:space="preserve">  334-4045</t>
  </si>
  <si>
    <t xml:space="preserve">  334-4046</t>
  </si>
  <si>
    <t xml:space="preserve">  334-4047</t>
  </si>
  <si>
    <t xml:space="preserve">  334-4048</t>
  </si>
  <si>
    <t>LINE EXTENSIONS</t>
  </si>
  <si>
    <t xml:space="preserve">  334-4049</t>
  </si>
  <si>
    <t>METERS-CONTRACT ISTALL</t>
  </si>
  <si>
    <t xml:space="preserve">  334-4050</t>
  </si>
  <si>
    <t>METERS-CONTRACTER INSTALLED</t>
  </si>
  <si>
    <t xml:space="preserve">  334-4051</t>
  </si>
  <si>
    <t>METERS PURCHASED</t>
  </si>
  <si>
    <t xml:space="preserve">  334-4052</t>
  </si>
  <si>
    <t>4" METER PURCHASED</t>
  </si>
  <si>
    <t xml:space="preserve">  334-4053</t>
  </si>
  <si>
    <t xml:space="preserve">  334-4054</t>
  </si>
  <si>
    <t xml:space="preserve">  334-4055</t>
  </si>
  <si>
    <t xml:space="preserve">  334-4056</t>
  </si>
  <si>
    <t xml:space="preserve">  334-4057</t>
  </si>
  <si>
    <t>RUNYONS BRANCH LINE EXTENSION</t>
  </si>
  <si>
    <t xml:space="preserve">  334-4058</t>
  </si>
  <si>
    <t>METERS &amp; INSTALLATIONS</t>
  </si>
  <si>
    <t xml:space="preserve">  334-4059</t>
  </si>
  <si>
    <t xml:space="preserve">  334-4060</t>
  </si>
  <si>
    <t xml:space="preserve">  334-4061</t>
  </si>
  <si>
    <t>HOOKUPS FOR YEAR 1989</t>
  </si>
  <si>
    <t xml:space="preserve">  334-4062</t>
  </si>
  <si>
    <t>HOOKUPS FOR YEAR 1990</t>
  </si>
  <si>
    <t xml:space="preserve">  334-4063</t>
  </si>
  <si>
    <t xml:space="preserve">  334-4064</t>
  </si>
  <si>
    <t>HOOKUPS FOR YEAR 1991</t>
  </si>
  <si>
    <t xml:space="preserve">  334-4065</t>
  </si>
  <si>
    <t>HOOKUPS FOR YEAR 1992</t>
  </si>
  <si>
    <t xml:space="preserve">  334-4066</t>
  </si>
  <si>
    <t xml:space="preserve">  334-4067</t>
  </si>
  <si>
    <t>SERVICE HOOKUPS FOR 1993</t>
  </si>
  <si>
    <t xml:space="preserve">  334-4068</t>
  </si>
  <si>
    <t>SERVICE HOOKUPS</t>
  </si>
  <si>
    <t xml:space="preserve">  334-4069</t>
  </si>
  <si>
    <t>SERVICE HOOKUPS 2/94</t>
  </si>
  <si>
    <t xml:space="preserve">  334-4070</t>
  </si>
  <si>
    <t>SERVICE HOOKUPS 3/94</t>
  </si>
  <si>
    <t xml:space="preserve">  334-4071</t>
  </si>
  <si>
    <t>SERVICE HOOKUPS 4/94</t>
  </si>
  <si>
    <t xml:space="preserve">  334-4072</t>
  </si>
  <si>
    <t xml:space="preserve">  334-4073</t>
  </si>
  <si>
    <t>SERVICE HOOKUPS 5/94</t>
  </si>
  <si>
    <t xml:space="preserve">  334-4074</t>
  </si>
  <si>
    <t>SERVICE HOOKUPS 6/94</t>
  </si>
  <si>
    <t xml:space="preserve">  334-4075</t>
  </si>
  <si>
    <t>SERVICE HOOKUPS 7/94</t>
  </si>
  <si>
    <t xml:space="preserve">  334-4076</t>
  </si>
  <si>
    <t>SERVICE HOOKUPS 8/94</t>
  </si>
  <si>
    <t xml:space="preserve">  334-4077</t>
  </si>
  <si>
    <t>SERVICE HOOKUPS 9/94</t>
  </si>
  <si>
    <t xml:space="preserve">  334-4078</t>
  </si>
  <si>
    <t>SERVICE HOOKUPS 10/94</t>
  </si>
  <si>
    <t xml:space="preserve">  334-4079</t>
  </si>
  <si>
    <t>SERVICE HOOKUPS 11/94</t>
  </si>
  <si>
    <t xml:space="preserve">  334-4080</t>
  </si>
  <si>
    <t>SERVICE HOOKUPS 12/94</t>
  </si>
  <si>
    <t xml:space="preserve">  334-4081</t>
  </si>
  <si>
    <t xml:space="preserve">  334-4082</t>
  </si>
  <si>
    <t xml:space="preserve">  334-4083</t>
  </si>
  <si>
    <t xml:space="preserve">  334-4084</t>
  </si>
  <si>
    <t>METER HOOKUPS 3/95</t>
  </si>
  <si>
    <t xml:space="preserve">  334-4085</t>
  </si>
  <si>
    <t>METER HOOKUPS 4/95</t>
  </si>
  <si>
    <t xml:space="preserve">  334-4086</t>
  </si>
  <si>
    <t>METER HOOKUPS 5/95</t>
  </si>
  <si>
    <t xml:space="preserve">  334-4087</t>
  </si>
  <si>
    <t>METER HOOKUPS 6/95</t>
  </si>
  <si>
    <t xml:space="preserve">  334-4088</t>
  </si>
  <si>
    <t>METERS 7/95</t>
  </si>
  <si>
    <t xml:space="preserve">  334-4089</t>
  </si>
  <si>
    <t>METER HOOKUPS 8/95</t>
  </si>
  <si>
    <t xml:space="preserve">  334-4090</t>
  </si>
  <si>
    <t>METER HOOKUPS 9/95</t>
  </si>
  <si>
    <t xml:space="preserve">  334-4091</t>
  </si>
  <si>
    <t>METER HOOKUPS 10/95</t>
  </si>
  <si>
    <t xml:space="preserve">  334-4092</t>
  </si>
  <si>
    <t>METER HOOKUPS 11/95</t>
  </si>
  <si>
    <t xml:space="preserve">  334-4093</t>
  </si>
  <si>
    <t>METER HOOKUPS 12/95</t>
  </si>
  <si>
    <t xml:space="preserve">  334-4094</t>
  </si>
  <si>
    <t xml:space="preserve">  334-4095</t>
  </si>
  <si>
    <t xml:space="preserve">  334-4096</t>
  </si>
  <si>
    <t>METERS &amp; INSTALLATIONS 1/96</t>
  </si>
  <si>
    <t xml:space="preserve">  334-4097</t>
  </si>
  <si>
    <t>METERS &amp; INSTALLATIONS 2/96</t>
  </si>
  <si>
    <t xml:space="preserve">  334-4098</t>
  </si>
  <si>
    <t>METERS &amp; INSTALLATIONS 3.96</t>
  </si>
  <si>
    <t xml:space="preserve">  334-4099</t>
  </si>
  <si>
    <t>METERS &amp; INSTALLATIONS 4/96</t>
  </si>
  <si>
    <t xml:space="preserve">  334-4100</t>
  </si>
  <si>
    <t>METERS &amp; INSTALLATIONS 5/96</t>
  </si>
  <si>
    <t xml:space="preserve">  334-4101</t>
  </si>
  <si>
    <t>METERS &amp; INSTALLATIONS 6/96</t>
  </si>
  <si>
    <t xml:space="preserve">  334-4102</t>
  </si>
  <si>
    <t>METERS &amp; INSTALLATIONS 7/96</t>
  </si>
  <si>
    <t xml:space="preserve">  334-4103</t>
  </si>
  <si>
    <t>METERS &amp; INSTALLATIONS 8/96</t>
  </si>
  <si>
    <t xml:space="preserve">  334-4104</t>
  </si>
  <si>
    <t>METERS &amp; INSTALLATIONS 9/96</t>
  </si>
  <si>
    <t xml:space="preserve">  334-4105</t>
  </si>
  <si>
    <t>METERS &amp; INSTALLATIONS 10/96</t>
  </si>
  <si>
    <t xml:space="preserve">  334-4106</t>
  </si>
  <si>
    <t>METERS &amp; INSTALLATIONS 11/96</t>
  </si>
  <si>
    <t xml:space="preserve">  334-4107</t>
  </si>
  <si>
    <t>METERS &amp; INSTALLATIONS 12/96</t>
  </si>
  <si>
    <t xml:space="preserve">  334-4108</t>
  </si>
  <si>
    <t xml:space="preserve">  334-4109</t>
  </si>
  <si>
    <t>MATERIALS &amp; INSTALLATIONS</t>
  </si>
  <si>
    <t xml:space="preserve">  334-4110</t>
  </si>
  <si>
    <t xml:space="preserve">  334-4111</t>
  </si>
  <si>
    <t>METERS &amp; INSTALLATION</t>
  </si>
  <si>
    <t xml:space="preserve">  334-4112</t>
  </si>
  <si>
    <t xml:space="preserve">  334-4113</t>
  </si>
  <si>
    <t xml:space="preserve">  334-4114</t>
  </si>
  <si>
    <t xml:space="preserve">  334-4115</t>
  </si>
  <si>
    <t xml:space="preserve">  334-4116</t>
  </si>
  <si>
    <t>METER &amp; INSTALLATIONS</t>
  </si>
  <si>
    <t xml:space="preserve">  334-4117</t>
  </si>
  <si>
    <t xml:space="preserve">  334-4118</t>
  </si>
  <si>
    <t xml:space="preserve">  334-4119</t>
  </si>
  <si>
    <t xml:space="preserve">  334-4120</t>
  </si>
  <si>
    <t xml:space="preserve">  334-4121</t>
  </si>
  <si>
    <t xml:space="preserve">  334-4122</t>
  </si>
  <si>
    <t>METERS &amp; INSTALLATIONS 1/98</t>
  </si>
  <si>
    <t xml:space="preserve">  334-4123</t>
  </si>
  <si>
    <t>NEW TAPS METERS &amp; INSTALL. 2/98</t>
  </si>
  <si>
    <t xml:space="preserve">  334-4124</t>
  </si>
  <si>
    <t>NEW TAPS METERS &amp; INSTALL. 3/98</t>
  </si>
  <si>
    <t xml:space="preserve">  334-4125</t>
  </si>
  <si>
    <t>TAP FOR HOOPWOOD</t>
  </si>
  <si>
    <t xml:space="preserve">  334-4126</t>
  </si>
  <si>
    <t>NEW TAPS METERS &amp; INSTALL 4/98</t>
  </si>
  <si>
    <t xml:space="preserve">  334-4127</t>
  </si>
  <si>
    <t>NEW TAPS METER &amp; INSTALL 5/98</t>
  </si>
  <si>
    <t xml:space="preserve">  334-4128</t>
  </si>
  <si>
    <t>NEW TAPS METERS &amp; SERVICES 6/98</t>
  </si>
  <si>
    <t xml:space="preserve">  334-4129</t>
  </si>
  <si>
    <t>NEW TAPS METERS &amp; INSTALL 7/98</t>
  </si>
  <si>
    <t xml:space="preserve">  334-4130</t>
  </si>
  <si>
    <t>NEW TAPS METER &amp; INSTALL 8/98</t>
  </si>
  <si>
    <t xml:space="preserve">  334-4131</t>
  </si>
  <si>
    <t>NEW TAPS METERS &amp; INSTALL. 9/98</t>
  </si>
  <si>
    <t xml:space="preserve">  334-4132</t>
  </si>
  <si>
    <t>NEW TAPS METERS &amp; INSTALL 10/98</t>
  </si>
  <si>
    <t xml:space="preserve">  334-4133</t>
  </si>
  <si>
    <t>NEW TAPS METERS &amp; INSTALL 11/98</t>
  </si>
  <si>
    <t xml:space="preserve">  334-4135</t>
  </si>
  <si>
    <t>METERS &amp; INSTALLS WATER</t>
  </si>
  <si>
    <t xml:space="preserve">  334-4136</t>
  </si>
  <si>
    <t xml:space="preserve">  334-4137</t>
  </si>
  <si>
    <t xml:space="preserve">  334-4138</t>
  </si>
  <si>
    <t xml:space="preserve">  334-4139</t>
  </si>
  <si>
    <t xml:space="preserve">  334-4140</t>
  </si>
  <si>
    <t xml:space="preserve">  334-4141</t>
  </si>
  <si>
    <t xml:space="preserve">  334-4143</t>
  </si>
  <si>
    <t xml:space="preserve">  334-4145</t>
  </si>
  <si>
    <t xml:space="preserve">  334-4146</t>
  </si>
  <si>
    <t>METERS &amp; INSTALLS WATER- OCTOBER 1999</t>
  </si>
  <si>
    <t xml:space="preserve">  334-4148</t>
  </si>
  <si>
    <t>METERS &amp; INSTALLS-NOVEMBER 1999</t>
  </si>
  <si>
    <t xml:space="preserve">  334-4149</t>
  </si>
  <si>
    <t>METERS &amp; INSTALLS- DECEMBER 1999</t>
  </si>
  <si>
    <t xml:space="preserve">  334-4150</t>
  </si>
  <si>
    <t>METERS &amp; INSTALLS</t>
  </si>
  <si>
    <t xml:space="preserve">  334-4151</t>
  </si>
  <si>
    <t xml:space="preserve">  334-4152</t>
  </si>
  <si>
    <t xml:space="preserve">  334-4153</t>
  </si>
  <si>
    <t xml:space="preserve">  334-4155</t>
  </si>
  <si>
    <t xml:space="preserve">  334-4157</t>
  </si>
  <si>
    <t xml:space="preserve">  334-4158</t>
  </si>
  <si>
    <t xml:space="preserve">  334-4159</t>
  </si>
  <si>
    <t xml:space="preserve">  334-4160</t>
  </si>
  <si>
    <t xml:space="preserve">  334-4162</t>
  </si>
  <si>
    <t xml:space="preserve">  334-4163</t>
  </si>
  <si>
    <t xml:space="preserve">  334-4164</t>
  </si>
  <si>
    <t xml:space="preserve">  334-4165</t>
  </si>
  <si>
    <t>NEW HOOKUPS-METERS &amp; INSTALLS</t>
  </si>
  <si>
    <t xml:space="preserve">  334-4166</t>
  </si>
  <si>
    <t xml:space="preserve">  334-4168</t>
  </si>
  <si>
    <t xml:space="preserve">  334-4170</t>
  </si>
  <si>
    <t xml:space="preserve">  334-4171</t>
  </si>
  <si>
    <t xml:space="preserve">  334-4172</t>
  </si>
  <si>
    <t xml:space="preserve">  334-4174</t>
  </si>
  <si>
    <t xml:space="preserve">  334-4175</t>
  </si>
  <si>
    <t xml:space="preserve">  334-4177</t>
  </si>
  <si>
    <t xml:space="preserve">  334-4179</t>
  </si>
  <si>
    <t xml:space="preserve">  334-4180</t>
  </si>
  <si>
    <t xml:space="preserve">  334-4182</t>
  </si>
  <si>
    <t xml:space="preserve">  334-4183</t>
  </si>
  <si>
    <t xml:space="preserve">  334-4184</t>
  </si>
  <si>
    <t xml:space="preserve">  334-4185</t>
  </si>
  <si>
    <t xml:space="preserve">  334-4186</t>
  </si>
  <si>
    <t xml:space="preserve">  334-4187</t>
  </si>
  <si>
    <t xml:space="preserve">  334-4188</t>
  </si>
  <si>
    <t xml:space="preserve">  334-4189</t>
  </si>
  <si>
    <t xml:space="preserve">  334-4190</t>
  </si>
  <si>
    <t>New Hookups - Services</t>
  </si>
  <si>
    <t xml:space="preserve">  334-4191</t>
  </si>
  <si>
    <t>New Hookups - Meters &amp; Installs</t>
  </si>
  <si>
    <t xml:space="preserve">  334-4192</t>
  </si>
  <si>
    <t xml:space="preserve">  334-4193</t>
  </si>
  <si>
    <t xml:space="preserve">  334-4194</t>
  </si>
  <si>
    <t xml:space="preserve">  334-4196</t>
  </si>
  <si>
    <t xml:space="preserve">  334-4211</t>
  </si>
  <si>
    <t>NEW HOOKUPS - METERS/INSTALLS</t>
  </si>
  <si>
    <t xml:space="preserve">  334-4215</t>
  </si>
  <si>
    <t xml:space="preserve">  334-4216</t>
  </si>
  <si>
    <t xml:space="preserve">  334-4217</t>
  </si>
  <si>
    <t xml:space="preserve">  334-4218</t>
  </si>
  <si>
    <t xml:space="preserve">  334-4219</t>
  </si>
  <si>
    <t xml:space="preserve">  334-4220</t>
  </si>
  <si>
    <t xml:space="preserve">  334-4221</t>
  </si>
  <si>
    <t xml:space="preserve">  334-4222</t>
  </si>
  <si>
    <t xml:space="preserve">  334-4223</t>
  </si>
  <si>
    <t xml:space="preserve">  334-4224</t>
  </si>
  <si>
    <t xml:space="preserve">  334-4225</t>
  </si>
  <si>
    <t xml:space="preserve">  334-4226</t>
  </si>
  <si>
    <t xml:space="preserve">  334-4227</t>
  </si>
  <si>
    <t xml:space="preserve">  334-4228</t>
  </si>
  <si>
    <t xml:space="preserve">  334-4229</t>
  </si>
  <si>
    <t xml:space="preserve">  334-4230</t>
  </si>
  <si>
    <t xml:space="preserve">  334-4231</t>
  </si>
  <si>
    <t xml:space="preserve">  334-4232</t>
  </si>
  <si>
    <t xml:space="preserve">  334-4233</t>
  </si>
  <si>
    <t xml:space="preserve">  334-4234</t>
  </si>
  <si>
    <t xml:space="preserve">  334-4235</t>
  </si>
  <si>
    <t xml:space="preserve">  334-4236</t>
  </si>
  <si>
    <t xml:space="preserve">  334-4237</t>
  </si>
  <si>
    <t xml:space="preserve">  334-4238</t>
  </si>
  <si>
    <t xml:space="preserve">  334-4239</t>
  </si>
  <si>
    <t xml:space="preserve">  334-4240</t>
  </si>
  <si>
    <t xml:space="preserve">  334-4241</t>
  </si>
  <si>
    <t xml:space="preserve">  334-4242</t>
  </si>
  <si>
    <t xml:space="preserve">  334-4243</t>
  </si>
  <si>
    <t xml:space="preserve">  334-4244</t>
  </si>
  <si>
    <t xml:space="preserve">  334-4245</t>
  </si>
  <si>
    <t xml:space="preserve">  334-4246</t>
  </si>
  <si>
    <t xml:space="preserve">  334-4247</t>
  </si>
  <si>
    <t>Hydrants</t>
  </si>
  <si>
    <t xml:space="preserve">  335-4015</t>
  </si>
  <si>
    <t xml:space="preserve">                       1135-04</t>
  </si>
  <si>
    <t>HYDRANTS 7/86</t>
  </si>
  <si>
    <t xml:space="preserve">  335-4016</t>
  </si>
  <si>
    <t>HYDRANT 4/87</t>
  </si>
  <si>
    <t xml:space="preserve">  335-4017</t>
  </si>
  <si>
    <t>HYDRANTS 5/87</t>
  </si>
  <si>
    <t xml:space="preserve">  335-4018</t>
  </si>
  <si>
    <t>HYDRANT 3/87</t>
  </si>
  <si>
    <t xml:space="preserve">  335-4019</t>
  </si>
  <si>
    <t>HYDRANT INSTALLATION 3/87</t>
  </si>
  <si>
    <t xml:space="preserve">  335-4020</t>
  </si>
  <si>
    <t>HYDRANT INSTALLATION 5/87</t>
  </si>
  <si>
    <t xml:space="preserve">  335-4021</t>
  </si>
  <si>
    <t>HYDRANTS 8/87</t>
  </si>
  <si>
    <t xml:space="preserve">  335-4022</t>
  </si>
  <si>
    <t>HYDRANT INSTALLATION 8/87</t>
  </si>
  <si>
    <t xml:space="preserve">  335-4023</t>
  </si>
  <si>
    <t>HYDRANT INSTALLATION 10/87</t>
  </si>
  <si>
    <t xml:space="preserve">  335-4024</t>
  </si>
  <si>
    <t>HYDRANTS ORIGINAL CONTRACT 10/87</t>
  </si>
  <si>
    <t xml:space="preserve">  335-4025</t>
  </si>
  <si>
    <t>HYDRANTS ORIGINAL CONTRACT 12/87</t>
  </si>
  <si>
    <t xml:space="preserve">  335-4026</t>
  </si>
  <si>
    <t>HYDRANT INSTALLMENT</t>
  </si>
  <si>
    <t xml:space="preserve">  335-4027</t>
  </si>
  <si>
    <t>HYDRANT 10/88</t>
  </si>
  <si>
    <t xml:space="preserve">  335-4028</t>
  </si>
  <si>
    <t>HYDRANT</t>
  </si>
  <si>
    <t xml:space="preserve">  335-4029</t>
  </si>
  <si>
    <t>HYDRANTS</t>
  </si>
  <si>
    <t xml:space="preserve">  335-4030</t>
  </si>
  <si>
    <t xml:space="preserve">  335-4031</t>
  </si>
  <si>
    <t>HYDRANT INSTALLATIONS</t>
  </si>
  <si>
    <t xml:space="preserve">  335-4032</t>
  </si>
  <si>
    <t xml:space="preserve">  335-4033</t>
  </si>
  <si>
    <t>HYDRANTS FOR 1991</t>
  </si>
  <si>
    <t xml:space="preserve">  335-4034</t>
  </si>
  <si>
    <t>HYDRANTS FOR 1992</t>
  </si>
  <si>
    <t xml:space="preserve">  335-4035</t>
  </si>
  <si>
    <t xml:space="preserve">  335-4036</t>
  </si>
  <si>
    <t xml:space="preserve">  335-4037</t>
  </si>
  <si>
    <t xml:space="preserve">  335-4038</t>
  </si>
  <si>
    <t xml:space="preserve">  335-4039</t>
  </si>
  <si>
    <t xml:space="preserve">  335-4040</t>
  </si>
  <si>
    <t xml:space="preserve">  335-4041</t>
  </si>
  <si>
    <t xml:space="preserve">  335-4042</t>
  </si>
  <si>
    <t>CAPITALIZE FIRE HYDRANT @ GRAPEVINE</t>
  </si>
  <si>
    <t xml:space="preserve">  335-4043</t>
  </si>
  <si>
    <t>CAPTILIZE FIRE HYDRANT FOR MWD LOT</t>
  </si>
  <si>
    <t xml:space="preserve">  335-4044</t>
  </si>
  <si>
    <t>CAPTILIZE FIRE HYDRANT @ EDGEWOOD</t>
  </si>
  <si>
    <t xml:space="preserve">  335-4045</t>
  </si>
  <si>
    <t>CAPITALIZE FIRE HYDRANT @ INDIAN CK</t>
  </si>
  <si>
    <t xml:space="preserve">  335-4046</t>
  </si>
  <si>
    <t>CAPTILIZE FIRE HYDRANT@GRAPEVINE COMMUNITY MARKET</t>
  </si>
  <si>
    <t xml:space="preserve">  335-4047</t>
  </si>
  <si>
    <t>CAPTILIZE FIRE HYDRANT @ HATFIELD FIRE DEPT</t>
  </si>
  <si>
    <t xml:space="preserve">  335-4048</t>
  </si>
  <si>
    <t>CAPITALIZE FIRE HYDRANTS @ HUNTS BR.</t>
  </si>
  <si>
    <t xml:space="preserve">  335-4049</t>
  </si>
  <si>
    <t>CAPITALIZE FIRE HYDRANTS @ HURRICANE/BOLDMAN</t>
  </si>
  <si>
    <t xml:space="preserve">  335-4050</t>
  </si>
  <si>
    <t>CAPITALIZE FIRE HYDRANT @ WINWRIGHT ROAD</t>
  </si>
  <si>
    <t xml:space="preserve">  335-4051</t>
  </si>
  <si>
    <t>CAPITALIZE FIRE HYDRANTS @ LONG BR./BIG CRK.</t>
  </si>
  <si>
    <t xml:space="preserve">  335-4052</t>
  </si>
  <si>
    <t>CAPITALIZE FIRE HYDRANT @ KIMPER FIRE DEPT.</t>
  </si>
  <si>
    <t xml:space="preserve">  335-4053</t>
  </si>
  <si>
    <t>CAPITALIZE FIRE HYDRANTS @ CHURCH HOUSE HOLLOW</t>
  </si>
  <si>
    <t xml:space="preserve">  335-4054</t>
  </si>
  <si>
    <t>CAPITILIZE FIRE HYDRANTS @ COLLINS HWY</t>
  </si>
  <si>
    <t xml:space="preserve">  335-4055</t>
  </si>
  <si>
    <t>CAPITILIZE FIRE HYDRANTS @ RED CREEK</t>
  </si>
  <si>
    <t xml:space="preserve">  335-4056</t>
  </si>
  <si>
    <t>CAPITILIZE FIRE HYDRANTS @ FROZEN CREEK</t>
  </si>
  <si>
    <t xml:space="preserve">  335-4057</t>
  </si>
  <si>
    <t>FIRE HYDRANT - FROZEN/RACCOON</t>
  </si>
  <si>
    <t xml:space="preserve">  335-4059</t>
  </si>
  <si>
    <t>FIRE HYDRANT - SLATERS BRANCH</t>
  </si>
  <si>
    <t xml:space="preserve">  335-4060</t>
  </si>
  <si>
    <t>FIRE HYDRANT - POUNDING MILL INTERSECTION</t>
  </si>
  <si>
    <t xml:space="preserve">  335-4061</t>
  </si>
  <si>
    <t>FIRE HYDRANT - POUDING MILL INTERSECTION</t>
  </si>
  <si>
    <t xml:space="preserve">  335-4062</t>
  </si>
  <si>
    <t>FIRE HYDRANT - FARLEY GROCERY</t>
  </si>
  <si>
    <t xml:space="preserve">  335-4063</t>
  </si>
  <si>
    <t>FIRST HYDRANT - WILLIAMSON GROCERY</t>
  </si>
  <si>
    <t xml:space="preserve">  335-4064</t>
  </si>
  <si>
    <t>FIRE HYDRANT - LONGFORK (VIRGIE)</t>
  </si>
  <si>
    <t xml:space="preserve">  335-4065</t>
  </si>
  <si>
    <t>FIRE HYDRANT - RACCOON RAILROAD</t>
  </si>
  <si>
    <t xml:space="preserve">  335-4066</t>
  </si>
  <si>
    <t>FIRE HYDRANT - RIDGELINE RD</t>
  </si>
  <si>
    <t xml:space="preserve">  335-4067</t>
  </si>
  <si>
    <t>FIRE HYDRANT - LONGFORK (KIMPER) #1</t>
  </si>
  <si>
    <t xml:space="preserve">  335-4068</t>
  </si>
  <si>
    <t>FIRE HYDRANT - LONGFORK (KIMPER) #2</t>
  </si>
  <si>
    <t xml:space="preserve">  335-4069</t>
  </si>
  <si>
    <t>FIRE HYDRANTS - CANADA, KIMPER</t>
  </si>
  <si>
    <t xml:space="preserve">  335-4070</t>
  </si>
  <si>
    <t>FIRE HYDRANT - SMITH RD (PHELPS)</t>
  </si>
  <si>
    <t xml:space="preserve">  335-4071</t>
  </si>
  <si>
    <t>FIRE HYDRANT - HUDDY</t>
  </si>
  <si>
    <t xml:space="preserve">  335-4072</t>
  </si>
  <si>
    <t>FIRE HYDRANT - WINWRIGHT RD (MILLARD)</t>
  </si>
  <si>
    <t xml:space="preserve">  335-4073</t>
  </si>
  <si>
    <t>FIRE HYDRANT - 1041 DOG FORK (HURRICANE)</t>
  </si>
  <si>
    <t xml:space="preserve">  335-4074</t>
  </si>
  <si>
    <t>FIRE HYDRANT - FOREST HILLS</t>
  </si>
  <si>
    <t xml:space="preserve">  335-4075</t>
  </si>
  <si>
    <t xml:space="preserve">  335-4076</t>
  </si>
  <si>
    <t>FIRE HYDRANTS @ LEFT FORK</t>
  </si>
  <si>
    <t xml:space="preserve">  335-4077</t>
  </si>
  <si>
    <t>FIRE HYDRANT - GABRIEL BR (KIMPER)</t>
  </si>
  <si>
    <t xml:space="preserve">  335-4078</t>
  </si>
  <si>
    <t>FIRE HYDRANT - ELISHA FK OF HURRICANE</t>
  </si>
  <si>
    <t xml:space="preserve">  335-4079</t>
  </si>
  <si>
    <t>FIRE HYDRANTS - FERRELLS CREEK FIRE DEPT.</t>
  </si>
  <si>
    <t xml:space="preserve">  335-4080</t>
  </si>
  <si>
    <t>FIRE HYDRANTS @ LONG FORK OF BIG CREEK</t>
  </si>
  <si>
    <t xml:space="preserve">  335-4081</t>
  </si>
  <si>
    <t>FIRE HYDRANTS @ POMPEY</t>
  </si>
  <si>
    <t xml:space="preserve">  335-4082</t>
  </si>
  <si>
    <t>FIRE HYDRANT - FERRELLS CREEK</t>
  </si>
  <si>
    <t xml:space="preserve">  335-4083</t>
  </si>
  <si>
    <t>FIRE HYDRANT - LAWSON BOTTOM</t>
  </si>
  <si>
    <t xml:space="preserve">  335-4084</t>
  </si>
  <si>
    <t>FIRE HYDRANT - LONG FORK OF BIG CREEK</t>
  </si>
  <si>
    <t xml:space="preserve">  335-4085</t>
  </si>
  <si>
    <t>Fire Hydrant @ Burning Fork</t>
  </si>
  <si>
    <t xml:space="preserve">  335-4086</t>
  </si>
  <si>
    <t>Fire Hydrant - 528 Collins Hwy</t>
  </si>
  <si>
    <t xml:space="preserve">  335-4087</t>
  </si>
  <si>
    <t>Fire Hydrant - Wolfpit (EOL)</t>
  </si>
  <si>
    <t xml:space="preserve">  335-4088</t>
  </si>
  <si>
    <t>Fire Hydrant - Millard Lane</t>
  </si>
  <si>
    <t xml:space="preserve">  335-4089</t>
  </si>
  <si>
    <t>Fire Hydrant - Little Creek</t>
  </si>
  <si>
    <t xml:space="preserve">  335-4090</t>
  </si>
  <si>
    <t>Fire Hydrant - Ford Bottom</t>
  </si>
  <si>
    <t xml:space="preserve">  335-4091</t>
  </si>
  <si>
    <t>Fire Hydrant - May Hollow</t>
  </si>
  <si>
    <t xml:space="preserve">  335-4092</t>
  </si>
  <si>
    <t>Fire Hydrant - Left Fork Hurricane</t>
  </si>
  <si>
    <t xml:space="preserve">  335-4093</t>
  </si>
  <si>
    <t>Fire Hydrant - Knox Creek @ Forks</t>
  </si>
  <si>
    <t xml:space="preserve">  335-4094</t>
  </si>
  <si>
    <t xml:space="preserve">  335-4095</t>
  </si>
  <si>
    <t>FIRE HYDRANT - WOLFPIT</t>
  </si>
  <si>
    <t xml:space="preserve">  335-4096</t>
  </si>
  <si>
    <t>FIRE HYDRANT -MCVEIGH BPS</t>
  </si>
  <si>
    <t xml:space="preserve">  335-4097</t>
  </si>
  <si>
    <t>FIRE HYDRANT - JUSTICEVILLE</t>
  </si>
  <si>
    <t xml:space="preserve">  335-4098</t>
  </si>
  <si>
    <t>FIRE HYDRANT - KIMPER TANK ROAD</t>
  </si>
  <si>
    <t xml:space="preserve">  335-4099</t>
  </si>
  <si>
    <t>FIRE HYDRANT - LONG FORK OF KIMPER</t>
  </si>
  <si>
    <t xml:space="preserve">  335-4100</t>
  </si>
  <si>
    <t>FIRE HYDRANT - SMILEY FORK</t>
  </si>
  <si>
    <t xml:space="preserve">  335-4101</t>
  </si>
  <si>
    <t>FIRE HYDRANT - LITTLE CREEK</t>
  </si>
  <si>
    <t xml:space="preserve">  335-4102</t>
  </si>
  <si>
    <t>FIRE HYDRANT - BEVINS BRANCH</t>
  </si>
  <si>
    <t xml:space="preserve">  335-4103</t>
  </si>
  <si>
    <t>FIRE HYDRANT - HONEY FORK</t>
  </si>
  <si>
    <t xml:space="preserve">  335-4104</t>
  </si>
  <si>
    <t>FIRE HYDRANT - RIDGELINE ROAD</t>
  </si>
  <si>
    <t xml:space="preserve">  335-4150</t>
  </si>
  <si>
    <t xml:space="preserve">  335-4105</t>
  </si>
  <si>
    <t xml:space="preserve">                       1035-04</t>
  </si>
  <si>
    <t>FIRE HYDRANTS CIP 2006</t>
  </si>
  <si>
    <t xml:space="preserve">  335-4106</t>
  </si>
  <si>
    <t>MAR FIRE HYDRANTS</t>
  </si>
  <si>
    <t xml:space="preserve">  335-4107</t>
  </si>
  <si>
    <t>FIRE HYDRANTS 7112 HWY 194 W</t>
  </si>
  <si>
    <t xml:space="preserve">  335-4108</t>
  </si>
  <si>
    <t>FIRE HYDRANTS 271 LOWES BR</t>
  </si>
  <si>
    <t xml:space="preserve">  335-4109</t>
  </si>
  <si>
    <t>FIRE HYDRANTS BEAR FORK JENKINS</t>
  </si>
  <si>
    <t xml:space="preserve">  335-4110</t>
  </si>
  <si>
    <t>JUNE FIRE HYDRANTS</t>
  </si>
  <si>
    <t xml:space="preserve">  335-4111</t>
  </si>
  <si>
    <t>FIRE HYDRANTS LAWSON RD</t>
  </si>
  <si>
    <t xml:space="preserve">  335-4112</t>
  </si>
  <si>
    <t>FIRE HYDRANTS BELCHER</t>
  </si>
  <si>
    <t xml:space="preserve">  335-4113</t>
  </si>
  <si>
    <t>FIRE HYDRANTS RUNYON ELEMENTARY</t>
  </si>
  <si>
    <t xml:space="preserve">  335-4114</t>
  </si>
  <si>
    <t>FIRE HYDRANTS HATFIELD BR</t>
  </si>
  <si>
    <t xml:space="preserve">  335-4115</t>
  </si>
  <si>
    <t>FIRE HYDRANTS MORRISS BOTTOM BRIDGE</t>
  </si>
  <si>
    <t xml:space="preserve">  335-4116</t>
  </si>
  <si>
    <t>FIRE HYDRANTS FRANCIS SUBDIVISION</t>
  </si>
  <si>
    <t xml:space="preserve">  335-4117</t>
  </si>
  <si>
    <t>FIRE HYDRANTS SENG BRANCH</t>
  </si>
  <si>
    <t xml:space="preserve">  335-4118</t>
  </si>
  <si>
    <t>FIRE HYDRANTS UPPER BLACKBERRY</t>
  </si>
  <si>
    <t xml:space="preserve">  335-4119</t>
  </si>
  <si>
    <t>FIRE HYDRANTS FERRELLS CREEK FD</t>
  </si>
  <si>
    <t xml:space="preserve">  335-4120</t>
  </si>
  <si>
    <t>FIRE HYDRANTS OLD FERRELLS CREEK</t>
  </si>
  <si>
    <t xml:space="preserve">  335-4121</t>
  </si>
  <si>
    <t>FIRE HYDRANTS 706 ABNER FORK</t>
  </si>
  <si>
    <t xml:space="preserve">  335-4122</t>
  </si>
  <si>
    <t>FIRE HYDRANT 1340 LICK FORK</t>
  </si>
  <si>
    <t xml:space="preserve">  335-4123</t>
  </si>
  <si>
    <t>FIRE HYDRANTS 307 GAP BRANCH</t>
  </si>
  <si>
    <t xml:space="preserve">  335-4124</t>
  </si>
  <si>
    <t>FIRE HYDRANTS LICK BRANCH</t>
  </si>
  <si>
    <t xml:space="preserve">  335-4125</t>
  </si>
  <si>
    <t>FERRELLS CREEK HYDRANTS</t>
  </si>
  <si>
    <t xml:space="preserve">  335-4126</t>
  </si>
  <si>
    <t>IN HOUSE FIRE HYDRANTS</t>
  </si>
  <si>
    <t xml:space="preserve">  335-4127</t>
  </si>
  <si>
    <t>FIRE HYDRANTS - DRY BRANCH</t>
  </si>
  <si>
    <t xml:space="preserve">  335-4128</t>
  </si>
  <si>
    <t>FIRE HYDRANTS - ROBINSON CRK</t>
  </si>
  <si>
    <t xml:space="preserve">  335-4129</t>
  </si>
  <si>
    <t>FIRE HYDRANTS NOV 09</t>
  </si>
  <si>
    <t xml:space="preserve">  335-4130</t>
  </si>
  <si>
    <t>FIRE HYDRANTS - 192 STRAIGHT FORK</t>
  </si>
  <si>
    <t xml:space="preserve">  335-4131</t>
  </si>
  <si>
    <t>FIRE HYDRANTS - 1438 ROAD FORK OF SYDNEY</t>
  </si>
  <si>
    <t xml:space="preserve">  335-4132</t>
  </si>
  <si>
    <t>FIRE HYDRANTS -159 KEENE VILLAGE</t>
  </si>
  <si>
    <t xml:space="preserve">  335-4133</t>
  </si>
  <si>
    <t>FIRE HYDRANT - 1940 FOREST HILLS</t>
  </si>
  <si>
    <t xml:space="preserve">  335-4134</t>
  </si>
  <si>
    <t>FIRE HYDRANTS - APRIL 10</t>
  </si>
  <si>
    <t xml:space="preserve">  335-4135</t>
  </si>
  <si>
    <t>FIRE HYDRANTS - 739 LICK FORK BEEFHIDE</t>
  </si>
  <si>
    <t xml:space="preserve">  335-4136</t>
  </si>
  <si>
    <t>FIRE HYDRANTS - 998 MULLENS FORK STONE</t>
  </si>
  <si>
    <t xml:space="preserve">  335-4137</t>
  </si>
  <si>
    <t>FIRE HYDRANT - HARDY PARK</t>
  </si>
  <si>
    <t xml:space="preserve">  335-4138</t>
  </si>
  <si>
    <t>FIRE HYDRANTS - 368 BUCKFIELD RD</t>
  </si>
  <si>
    <t xml:space="preserve">  335-4139</t>
  </si>
  <si>
    <t>FIRE HYDRANTS - 478 BLACKGEM</t>
  </si>
  <si>
    <t xml:space="preserve">  335-4140</t>
  </si>
  <si>
    <t>FIRE3 HYDRANTS - 1362 RT FORK COWPEN</t>
  </si>
  <si>
    <t xml:space="preserve">  335-4141</t>
  </si>
  <si>
    <t>FIRE HYDRANTS - 31 ZION LANE KIMPER</t>
  </si>
  <si>
    <t xml:space="preserve">  335-4142</t>
  </si>
  <si>
    <t>FIRE HYDRANTS - 202 FIFTY EIGHT BR RACCOON</t>
  </si>
  <si>
    <t xml:space="preserve">  335-4143</t>
  </si>
  <si>
    <t>HYDRANTS - HARDY PARK</t>
  </si>
  <si>
    <t xml:space="preserve">  335-4144</t>
  </si>
  <si>
    <t>HYDRANTS - ROCKHOUSE</t>
  </si>
  <si>
    <t xml:space="preserve">  335-4145</t>
  </si>
  <si>
    <t>2011 CIP HYDRANTS</t>
  </si>
  <si>
    <t xml:space="preserve">  335-4146</t>
  </si>
  <si>
    <t>FIRE HYDRANTS 594 LICK FORK</t>
  </si>
  <si>
    <t xml:space="preserve">  335-4147</t>
  </si>
  <si>
    <t>FIRE HYDRANTS 16678 GRAPEVINE RD</t>
  </si>
  <si>
    <t xml:space="preserve">  335-4148</t>
  </si>
  <si>
    <t>FIRE HYDRANTS 5973 GREASY CREEK</t>
  </si>
  <si>
    <t xml:space="preserve">  335-4149</t>
  </si>
  <si>
    <t>2012 CIP HYDRANTS</t>
  </si>
  <si>
    <t xml:space="preserve">  335-4151</t>
  </si>
  <si>
    <t>8904 META HWY HYDRANT</t>
  </si>
  <si>
    <t xml:space="preserve">  335-4152</t>
  </si>
  <si>
    <t>ROCKHOUSE FORK OF VIRGIE HYDRANTS</t>
  </si>
  <si>
    <t xml:space="preserve">  335-4153</t>
  </si>
  <si>
    <t>E. BIG CREEK RD HYDRANT</t>
  </si>
  <si>
    <t xml:space="preserve">  335-4154</t>
  </si>
  <si>
    <t>ROCKHOUSE FORK OF LONG FORK HYDRANT</t>
  </si>
  <si>
    <t xml:space="preserve">  335-4155</t>
  </si>
  <si>
    <t>JOHN'S CREEK FIRE DEPT HYDRANT</t>
  </si>
  <si>
    <t xml:space="preserve">  335-4156</t>
  </si>
  <si>
    <t>173 RAMEY BRANCH HYDRANT</t>
  </si>
  <si>
    <t xml:space="preserve">  335-4157</t>
  </si>
  <si>
    <t>PCFC HYDRANTS</t>
  </si>
  <si>
    <t xml:space="preserve">  335-4158</t>
  </si>
  <si>
    <t>FIRE HYDRANTS - 1210 BOWLING FORK</t>
  </si>
  <si>
    <t xml:space="preserve">  335-4159</t>
  </si>
  <si>
    <t>FIRE HYDRANTS - 27 KENDRICK FORK</t>
  </si>
  <si>
    <t xml:space="preserve">  335-4160</t>
  </si>
  <si>
    <t>FIRE HYDRANT - 3414 GREASY CREEK</t>
  </si>
  <si>
    <t xml:space="preserve">  335-4161</t>
  </si>
  <si>
    <t>FIRE HYDRANT - WALTERS FORK</t>
  </si>
  <si>
    <t xml:space="preserve">  335-4162</t>
  </si>
  <si>
    <t xml:space="preserve">  335-4163</t>
  </si>
  <si>
    <t>HYDRANTS - GILLMAN BRANCH</t>
  </si>
  <si>
    <t xml:space="preserve">  335-4164</t>
  </si>
  <si>
    <t>AUG FIRE HYDRANTS</t>
  </si>
  <si>
    <t xml:space="preserve">  335-4165</t>
  </si>
  <si>
    <t>HYDRANT - 867 RIVER HURRICANE</t>
  </si>
  <si>
    <t xml:space="preserve">  335-4166</t>
  </si>
  <si>
    <t>FIRE HYDRANT - 255 LITTLE CREEK</t>
  </si>
  <si>
    <t xml:space="preserve">  335-4167</t>
  </si>
  <si>
    <t>FIRE HYDRANT - JACKSON BR</t>
  </si>
  <si>
    <t xml:space="preserve">  335-4168</t>
  </si>
  <si>
    <t>MAY FIRE HYDRANTS</t>
  </si>
  <si>
    <t xml:space="preserve">  335-4169</t>
  </si>
  <si>
    <t>FOREST HILLS BAPTIST</t>
  </si>
  <si>
    <t xml:space="preserve">  335-4170</t>
  </si>
  <si>
    <t xml:space="preserve">  335-4171</t>
  </si>
  <si>
    <t>APRIL HYDRANT</t>
  </si>
  <si>
    <t>Office Furniture and Equipment</t>
  </si>
  <si>
    <t xml:space="preserve">  340-5190</t>
  </si>
  <si>
    <t xml:space="preserve">                       1040-05</t>
  </si>
  <si>
    <t>HEATING COOLING UNIT - CONFERENCE</t>
  </si>
  <si>
    <t xml:space="preserve">  340-5194</t>
  </si>
  <si>
    <t>HEATING &amp; COOLING UNIT - PLANT</t>
  </si>
  <si>
    <t xml:space="preserve">  340-5195</t>
  </si>
  <si>
    <t>COUNTERS AND STOOLS</t>
  </si>
  <si>
    <t xml:space="preserve">  340-5198</t>
  </si>
  <si>
    <t>FURNITURE</t>
  </si>
  <si>
    <t xml:space="preserve">  340-5199</t>
  </si>
  <si>
    <t>FURNITURE (WALMART)</t>
  </si>
  <si>
    <t xml:space="preserve">  340-5200</t>
  </si>
  <si>
    <t>HEAT PUMP - OFFICE</t>
  </si>
  <si>
    <t xml:space="preserve">  340-5201</t>
  </si>
  <si>
    <t>GENERATOR OFFICE</t>
  </si>
  <si>
    <t xml:space="preserve">  340-5202</t>
  </si>
  <si>
    <t>LAPTOP METER DEP</t>
  </si>
  <si>
    <t xml:space="preserve">  340-5203</t>
  </si>
  <si>
    <t>MODEMS</t>
  </si>
  <si>
    <t xml:space="preserve">  340-5204</t>
  </si>
  <si>
    <t>NEW BILLING PROGRAM</t>
  </si>
  <si>
    <t xml:space="preserve">  340-5205</t>
  </si>
  <si>
    <t>OFFICE FURNITURE</t>
  </si>
  <si>
    <t xml:space="preserve">  340-5103</t>
  </si>
  <si>
    <t xml:space="preserve">                       1140-05</t>
  </si>
  <si>
    <t>FILING CABINETS</t>
  </si>
  <si>
    <t xml:space="preserve">  340-5153</t>
  </si>
  <si>
    <t>(5) 30""x60"" DESKS - OFFICE ADDITION</t>
  </si>
  <si>
    <t xml:space="preserve">  540-5193</t>
  </si>
  <si>
    <t>FLOORING FOR PLANT</t>
  </si>
  <si>
    <t>Transportation Equipment</t>
  </si>
  <si>
    <t xml:space="preserve">  341-5158</t>
  </si>
  <si>
    <t xml:space="preserve">                       1041-05</t>
  </si>
  <si>
    <t>PJ TRAILER</t>
  </si>
  <si>
    <t xml:space="preserve">  341-5159</t>
  </si>
  <si>
    <t>2021 F150</t>
  </si>
  <si>
    <t xml:space="preserve">  341-5160</t>
  </si>
  <si>
    <t>VEH # 163</t>
  </si>
  <si>
    <t xml:space="preserve">  341-5161</t>
  </si>
  <si>
    <t>VEH. # 164</t>
  </si>
  <si>
    <t xml:space="preserve">  341-5162</t>
  </si>
  <si>
    <t>VEH# 165</t>
  </si>
  <si>
    <t xml:space="preserve">  341-5163</t>
  </si>
  <si>
    <t>VEH. # 166</t>
  </si>
  <si>
    <t xml:space="preserve">  341-5164</t>
  </si>
  <si>
    <t>TRANSMISSION BECKET TRUCK</t>
  </si>
  <si>
    <t xml:space="preserve">  341-5165</t>
  </si>
  <si>
    <t>CHEVY S/ILVERADO 2500</t>
  </si>
  <si>
    <t xml:space="preserve">  341-5166</t>
  </si>
  <si>
    <t>TRAILER (P &amp; J TRAILER0</t>
  </si>
  <si>
    <t xml:space="preserve">  341-5167</t>
  </si>
  <si>
    <t>2019 TACOMA</t>
  </si>
  <si>
    <t xml:space="preserve">  341-5168</t>
  </si>
  <si>
    <t>2016 F150</t>
  </si>
  <si>
    <t xml:space="preserve">  341-5169</t>
  </si>
  <si>
    <t>2017 TOYOTA</t>
  </si>
  <si>
    <t xml:space="preserve">  341-5170</t>
  </si>
  <si>
    <t>2021 F350</t>
  </si>
  <si>
    <t xml:space="preserve">  341-5171</t>
  </si>
  <si>
    <t>R/C NEW RADIOS</t>
  </si>
  <si>
    <t xml:space="preserve">  341-5172</t>
  </si>
  <si>
    <t>1999 23 TON BOOM TRUCK</t>
  </si>
  <si>
    <t xml:space="preserve">  341-5173</t>
  </si>
  <si>
    <t>2021 FORD F150 #172</t>
  </si>
  <si>
    <t xml:space="preserve">  341-5174</t>
  </si>
  <si>
    <t>2021 FORD F150 #173</t>
  </si>
  <si>
    <t xml:space="preserve">  341-5175</t>
  </si>
  <si>
    <t>2021 FORD F150 #174</t>
  </si>
  <si>
    <t xml:space="preserve">  341-5176</t>
  </si>
  <si>
    <t>2021 FORD F150 #175</t>
  </si>
  <si>
    <t xml:space="preserve">  341-5177</t>
  </si>
  <si>
    <t>2021 FORD F150 #176</t>
  </si>
  <si>
    <t xml:space="preserve">  341-5178</t>
  </si>
  <si>
    <t>2022 FORD F350 #177</t>
  </si>
  <si>
    <t xml:space="preserve">  341-5179</t>
  </si>
  <si>
    <t>MULE SIDE BY SIDE</t>
  </si>
  <si>
    <t xml:space="preserve">  341-5180</t>
  </si>
  <si>
    <t>VEH. - 178</t>
  </si>
  <si>
    <t xml:space="preserve">  341-5181</t>
  </si>
  <si>
    <t>DUMP TRUCK</t>
  </si>
  <si>
    <t xml:space="preserve">  341-5183</t>
  </si>
  <si>
    <t>2024 CHEVY 3500 (VEH # 180)</t>
  </si>
  <si>
    <t xml:space="preserve">  341-5184</t>
  </si>
  <si>
    <t>24 DODGE RAM (VEH. # 181)</t>
  </si>
  <si>
    <t xml:space="preserve">  341-5185</t>
  </si>
  <si>
    <t>23 DODGE RAM (VEH # 182)</t>
  </si>
  <si>
    <t xml:space="preserve">  341-5186</t>
  </si>
  <si>
    <t>TRAILER</t>
  </si>
  <si>
    <t xml:space="preserve">  341-5187</t>
  </si>
  <si>
    <t>24 TACOMA (VEH # 183)</t>
  </si>
  <si>
    <t xml:space="preserve"> 341-58182</t>
  </si>
  <si>
    <t>VEH. # 179</t>
  </si>
  <si>
    <t>Power Operated Equipment</t>
  </si>
  <si>
    <t xml:space="preserve">  345-5056</t>
  </si>
  <si>
    <t xml:space="preserve">                       1045-05</t>
  </si>
  <si>
    <t>KOBELCO MINI EXCAVATOR</t>
  </si>
  <si>
    <t xml:space="preserve">  345-5057</t>
  </si>
  <si>
    <t>FORKLIFT - USED</t>
  </si>
  <si>
    <t xml:space="preserve">  345-5058</t>
  </si>
  <si>
    <t>2021 JD MINI-EXCAVATOR</t>
  </si>
  <si>
    <t xml:space="preserve">  345-5059</t>
  </si>
  <si>
    <t>2020 TAKEUCHI EXCAVATOR</t>
  </si>
  <si>
    <t>Structures and Improvements</t>
  </si>
  <si>
    <t>Storage Facilities</t>
  </si>
  <si>
    <t>30, 40, 62.5</t>
  </si>
  <si>
    <t>Services</t>
  </si>
  <si>
    <t>Meters and Meter Services</t>
  </si>
  <si>
    <t>15, 45</t>
  </si>
  <si>
    <t>Office Funiture and Equipment</t>
  </si>
  <si>
    <t>5, 10 22.5</t>
  </si>
  <si>
    <t>5, 10 40</t>
  </si>
  <si>
    <t>Transportaion Equipment</t>
  </si>
  <si>
    <t xml:space="preserve">7, 12.5 </t>
  </si>
  <si>
    <t>5, 7, 10</t>
  </si>
  <si>
    <t>Water Treatment*</t>
  </si>
  <si>
    <t>Tools, Shop and Garage Equipment*</t>
  </si>
  <si>
    <t xml:space="preserve">Communication Equipment </t>
  </si>
  <si>
    <t>7, 40</t>
  </si>
  <si>
    <t>10, 40</t>
  </si>
  <si>
    <t xml:space="preserve">20, 30, 40, 50 </t>
  </si>
  <si>
    <t>20, 45</t>
  </si>
  <si>
    <t>10, 30, 40, 50</t>
  </si>
  <si>
    <t>Depreciable Lives</t>
  </si>
  <si>
    <t>Accounting</t>
  </si>
  <si>
    <t>Rate-Making</t>
  </si>
  <si>
    <t>* Adjustment is to remove test-year depreciation that resulted in full accrual. No adjustment was made to depreciable lives.</t>
  </si>
  <si>
    <t>Less: Depreciation Mains at 62.5 Years</t>
  </si>
  <si>
    <t>Depreciable Basis in Mains at End of Test Year</t>
  </si>
  <si>
    <t>Divide by: 50 Years</t>
  </si>
  <si>
    <t>Pro  forma Depreciation at 50 Years</t>
  </si>
  <si>
    <t>Operating Revenue:</t>
  </si>
  <si>
    <t>Water Sales:</t>
  </si>
  <si>
    <t>Other Revenue:</t>
  </si>
  <si>
    <t>Operating Expenses:</t>
  </si>
  <si>
    <t>Operation and Maintenance:</t>
  </si>
  <si>
    <t>Operating Revenues:</t>
  </si>
  <si>
    <t>Revenue from Providing Sewer Service:</t>
  </si>
  <si>
    <t>Treatment Pumping</t>
  </si>
  <si>
    <t>Source of Supply</t>
  </si>
  <si>
    <t>Inside Plant</t>
  </si>
  <si>
    <t>Lowe 7/3/25 email</t>
  </si>
  <si>
    <t>Blair Adkins</t>
  </si>
  <si>
    <t>Harless Creek (Small Bill)</t>
  </si>
  <si>
    <t>Purchased Power:</t>
  </si>
  <si>
    <t>Water Distribution System</t>
  </si>
  <si>
    <t>Sewer Operations</t>
  </si>
  <si>
    <t>Total Purchased Power</t>
  </si>
  <si>
    <t>Purchased Power for Treatment</t>
  </si>
  <si>
    <t>Purchase Power for Trans./Dist.</t>
  </si>
  <si>
    <t>Expense</t>
  </si>
  <si>
    <t>WASTEWATER TREATMENT PLANT and COLLECTION</t>
  </si>
  <si>
    <t>SEWER OPERATIONS:</t>
  </si>
  <si>
    <t>WATER OPERATIONS:</t>
  </si>
  <si>
    <t>Water Operations Manager</t>
  </si>
  <si>
    <t>Control Total</t>
  </si>
  <si>
    <t>Captilize Water Labor at</t>
  </si>
  <si>
    <t>Sewer at</t>
  </si>
  <si>
    <t>Capitalized</t>
  </si>
  <si>
    <t>GIS</t>
  </si>
  <si>
    <t xml:space="preserve">Water Quality/Environ. Comp. </t>
  </si>
  <si>
    <t>Repair  and Preventive Maint.</t>
  </si>
  <si>
    <t>Allocate Water Operations Manager based on Applicable Wages</t>
  </si>
  <si>
    <t>Sewer Operations Manager</t>
  </si>
  <si>
    <t>Allocate</t>
  </si>
  <si>
    <t>Manager</t>
  </si>
  <si>
    <t>Quality</t>
  </si>
  <si>
    <t>Allocate Water Quality</t>
  </si>
  <si>
    <t>Split Share Services Based on</t>
  </si>
  <si>
    <t>Number of Customer</t>
  </si>
  <si>
    <t xml:space="preserve">Water </t>
  </si>
  <si>
    <t>Repair/Prevent</t>
  </si>
  <si>
    <t>Preventive Maintence to Water</t>
  </si>
  <si>
    <t xml:space="preserve">Allocate Waters Share of Repair and Preventive to Treatment and Distribution </t>
  </si>
  <si>
    <t>Meter Reading Allocated to Sewer</t>
  </si>
  <si>
    <t>Shared Service Allocated to Sewer</t>
  </si>
  <si>
    <t>Sewer Customers</t>
  </si>
  <si>
    <t xml:space="preserve">with no water </t>
  </si>
  <si>
    <t>Number of</t>
  </si>
  <si>
    <t>With Meter</t>
  </si>
  <si>
    <t>Split Meter Department between Water and Sewer</t>
  </si>
  <si>
    <t>Meter Department</t>
  </si>
  <si>
    <t>Meter Service Department</t>
  </si>
  <si>
    <t>Customer Accounts</t>
  </si>
  <si>
    <t>System</t>
  </si>
  <si>
    <t>Wide</t>
  </si>
  <si>
    <t>Less:</t>
  </si>
  <si>
    <t>Pro Forma Capitalized</t>
  </si>
  <si>
    <t>Pro Forma Salaries and Wages - Employees expense</t>
  </si>
  <si>
    <t>Less: Test Year after Reclassifying Capitalized Wages</t>
  </si>
  <si>
    <t>Pro Forma Salaries and Wages - Employees</t>
  </si>
  <si>
    <t xml:space="preserve">Regulated </t>
  </si>
  <si>
    <t>*</t>
  </si>
  <si>
    <t>*Generally, KPSC allocates a portion of meter costs to a waster district's sewer system when sewer billings are based on meter readings, but no allocation was made in this case. In the eastern kentucky region, water utilities generally provide sewer systems with water meter readings for little or no charge. For example, Williamson provides water to some of Mountain's sewer customer and provides readings to Mountain with no charge. In addition, Mountain charges only $.50 per read to other sewer entities. It is not reasonable for Mountain's water operation to charge its sewer operation more for readings than charged by itself and other water providers in the region.</t>
  </si>
  <si>
    <t>Regulated Sewer</t>
  </si>
  <si>
    <t>Sewer Only</t>
  </si>
  <si>
    <t>Less:Sewer Only</t>
  </si>
  <si>
    <t>Water and Sewer</t>
  </si>
  <si>
    <t>Water Only</t>
  </si>
  <si>
    <t>Average Cost</t>
  </si>
  <si>
    <t>Half of Water and Sewer</t>
  </si>
  <si>
    <t>Alternative Allocation of Customer Service based on Number of Accounts Served</t>
  </si>
  <si>
    <t>Allocated at 7.69</t>
  </si>
  <si>
    <t>Allocated at 11.93</t>
  </si>
  <si>
    <t>Trans.</t>
  </si>
  <si>
    <t>and Dist</t>
  </si>
  <si>
    <t>Adm.</t>
  </si>
  <si>
    <t>Distribution to Functional Unit</t>
  </si>
  <si>
    <t>Shared Service Allocated to Water</t>
  </si>
  <si>
    <t>SHARED SERVICES</t>
  </si>
  <si>
    <t>Total Sewer</t>
  </si>
  <si>
    <t>Total Test Year Wages</t>
  </si>
  <si>
    <t>Less: Amount Capitalized</t>
  </si>
  <si>
    <t>Test-Year Wages Expense</t>
  </si>
  <si>
    <t>Repair and Preventive Maintenance</t>
  </si>
  <si>
    <t>Adminstrative Services</t>
  </si>
  <si>
    <t>Divide by: Total Accounts</t>
  </si>
  <si>
    <t>Calculate Average Cost of Customer Account</t>
  </si>
  <si>
    <t>Allocation of Pro Forma Customer Service Wages</t>
  </si>
  <si>
    <t>* Multiply Number of Accounts by Average Cost. Water and Sewer</t>
  </si>
  <si>
    <t xml:space="preserve">  Split evenly.</t>
  </si>
  <si>
    <t>Compli.</t>
  </si>
  <si>
    <t>Operatoins Manager</t>
  </si>
  <si>
    <t>SHARED SERVICES:</t>
  </si>
  <si>
    <t>Water Treat. and Dist. Support:</t>
  </si>
  <si>
    <t xml:space="preserve">  Operations Manager</t>
  </si>
  <si>
    <t xml:space="preserve">  Repair, Maint., Construction</t>
  </si>
  <si>
    <t>Health and</t>
  </si>
  <si>
    <t>Dental Insurance</t>
  </si>
  <si>
    <t>Total Water Operations</t>
  </si>
  <si>
    <t>Total Sewer Operations</t>
  </si>
  <si>
    <t>Shared Services to Water:</t>
  </si>
  <si>
    <t xml:space="preserve">  Customer Service Dept.</t>
  </si>
  <si>
    <t xml:space="preserve">  Adminstrative</t>
  </si>
  <si>
    <t>Total Pro forma</t>
  </si>
  <si>
    <t>(N)</t>
  </si>
  <si>
    <t>(O)</t>
  </si>
  <si>
    <t>(P)</t>
  </si>
  <si>
    <t>Pro forma Water</t>
  </si>
  <si>
    <t>Water Wages Expense</t>
  </si>
  <si>
    <t>Insurance by Function</t>
  </si>
  <si>
    <t>Gross Wages</t>
  </si>
  <si>
    <t>Times: CERS Rate</t>
  </si>
  <si>
    <t>Pro Forma Retirement</t>
  </si>
  <si>
    <t>Water by Function</t>
  </si>
  <si>
    <t>Net Adjustment</t>
  </si>
  <si>
    <t>Total Pro Forma</t>
  </si>
  <si>
    <t>(Q)</t>
  </si>
  <si>
    <t>Difference in A/R and G/L amounts</t>
  </si>
  <si>
    <t>Power to Buildings</t>
  </si>
  <si>
    <t>(R)</t>
  </si>
  <si>
    <t xml:space="preserve">Rate Case/Study Amortization </t>
  </si>
  <si>
    <t>Rate Case Expense</t>
  </si>
  <si>
    <t>Follows General Materials</t>
  </si>
  <si>
    <t>Wolford, Richard</t>
  </si>
  <si>
    <t>CS</t>
  </si>
  <si>
    <t>GAS</t>
  </si>
  <si>
    <t>Toyota Tacoma 4WD</t>
  </si>
  <si>
    <t>3TYSX5EN0PT020895</t>
  </si>
  <si>
    <t>Newsome, Dawson</t>
  </si>
  <si>
    <t>FC</t>
  </si>
  <si>
    <t>Chevy Silverado 3500 4WD</t>
  </si>
  <si>
    <t>1GB3YSE73RF341334</t>
  </si>
  <si>
    <t>Lucas, Timmy</t>
  </si>
  <si>
    <t>RAM 2500 4WD</t>
  </si>
  <si>
    <t>3C6UR5HJXRG136301</t>
  </si>
  <si>
    <t>Justice, Crit</t>
  </si>
  <si>
    <t>RAM 1500 4WD</t>
  </si>
  <si>
    <t>1C6RRFCG0PN512547</t>
  </si>
  <si>
    <t>Grubb, David</t>
  </si>
  <si>
    <t>3TJDAKNXRT005289</t>
  </si>
  <si>
    <t>Caudill, Daniel</t>
  </si>
  <si>
    <t>LD/NC</t>
  </si>
  <si>
    <t>Chevy Silerado 2500 4WD HD</t>
  </si>
  <si>
    <t>1GB3KLE70SF198422</t>
  </si>
  <si>
    <t>Coleman, Dillon</t>
  </si>
  <si>
    <t>Nissan Frontier  Ext Cab  4WD</t>
  </si>
  <si>
    <t>1N6ED1CM6SN626556</t>
  </si>
  <si>
    <t>Ratliff, Darrell</t>
  </si>
  <si>
    <t>NIssan Frontier  Ext Cab  4WD</t>
  </si>
  <si>
    <t>1N6ED1CM1SN629767</t>
  </si>
  <si>
    <t>UTV 1</t>
  </si>
  <si>
    <t>Kawasaki Mule UTV 4X4</t>
  </si>
  <si>
    <t>MWD Lot - Blue Bldg</t>
  </si>
  <si>
    <t>KAF820KPFNN</t>
  </si>
  <si>
    <t>JKBAFSK1XPB512311</t>
  </si>
  <si>
    <t>Source: Hattfield 6.10.25 email</t>
  </si>
  <si>
    <t>Meter Service</t>
  </si>
  <si>
    <t>Water Loss Comp</t>
  </si>
  <si>
    <t>*KRWFC Series 2022A:</t>
  </si>
  <si>
    <t>*Total KRWFC Series 2022A split between Water Division and Sewer Division</t>
  </si>
  <si>
    <t>*KRWFC Series 2022A</t>
  </si>
  <si>
    <t>*(13.73% of total shown below)</t>
  </si>
  <si>
    <t>*(86.27% of total shown below)</t>
  </si>
  <si>
    <t>Sewer Operations - Long-Term Debts</t>
  </si>
  <si>
    <t>Anticipated</t>
  </si>
  <si>
    <t>Payoff</t>
  </si>
  <si>
    <t>Date</t>
  </si>
  <si>
    <t>Monthly</t>
  </si>
  <si>
    <t>Sewer 13.73%</t>
  </si>
  <si>
    <t>Annual Totals</t>
  </si>
  <si>
    <t>3-Year Total</t>
  </si>
  <si>
    <t>Annual Principal and Interest Payments</t>
  </si>
  <si>
    <t>Each Loan 2-Year Term, Up to 3 Rollovers not to exceed 6-Year Total Term</t>
  </si>
  <si>
    <t>(S)</t>
  </si>
  <si>
    <t>Add Capital Wages Back</t>
  </si>
  <si>
    <t>Rate Study</t>
  </si>
  <si>
    <t>Rate Case Expense in Progress</t>
  </si>
  <si>
    <t xml:space="preserve">Total </t>
  </si>
  <si>
    <t>Amount</t>
  </si>
  <si>
    <t>1057.00</t>
  </si>
  <si>
    <t>6701.00</t>
  </si>
  <si>
    <t>6225.08</t>
  </si>
  <si>
    <t>Current Rate Studies and Water Rate Case Filing</t>
  </si>
  <si>
    <t>Cost of Study</t>
  </si>
  <si>
    <t>Split Between Water and Sewer Based on Number of Customers</t>
  </si>
  <si>
    <t>Divide by: 3 years</t>
  </si>
  <si>
    <t>Miscellaneous</t>
  </si>
  <si>
    <t>6855.00</t>
  </si>
  <si>
    <t>Add Amount Expensed in Test Year:</t>
  </si>
  <si>
    <t>Portion</t>
  </si>
  <si>
    <t>(T)</t>
  </si>
  <si>
    <t>Legal</t>
  </si>
  <si>
    <t>Financial</t>
  </si>
  <si>
    <t>Rate Case Expenses, Case Nos. 2022-00366 and 2022-00367</t>
  </si>
  <si>
    <t>Description</t>
  </si>
  <si>
    <t>Water Study</t>
  </si>
  <si>
    <t>Estimated Cost of Rate Application</t>
  </si>
  <si>
    <t>Total Cost of Water Rate Increase</t>
  </si>
  <si>
    <t>Sewer Study</t>
  </si>
  <si>
    <t>Water Operations</t>
  </si>
  <si>
    <t>Total Cost</t>
  </si>
  <si>
    <t>Allocated to:</t>
  </si>
  <si>
    <t>Annual Amortization</t>
  </si>
  <si>
    <t>Number of Customers</t>
  </si>
  <si>
    <t>Cost of Studies</t>
  </si>
  <si>
    <t>Water:</t>
  </si>
  <si>
    <t>Quality/Comp.</t>
  </si>
  <si>
    <t>Telemetry</t>
  </si>
  <si>
    <t>Shared Services:</t>
  </si>
  <si>
    <t>Repair/Prev. Maint.</t>
  </si>
  <si>
    <t>&amp; Distribution</t>
  </si>
  <si>
    <t>Admin.</t>
  </si>
  <si>
    <t>Shared Service Wages Split Water and Sewer</t>
  </si>
  <si>
    <t>Preventive Maint. &amp;</t>
  </si>
  <si>
    <t>Preventive Maint</t>
  </si>
  <si>
    <t>Water Repair/Prev. Maint.</t>
  </si>
  <si>
    <t>Miles to Water</t>
  </si>
  <si>
    <t>Total Miles</t>
  </si>
  <si>
    <t>Miles to Sewer</t>
  </si>
  <si>
    <t>Water Repair/Prev. Maint. to Water Treatment &amp; Distribution</t>
  </si>
  <si>
    <t>Water Quality and Compliance Wages to Water Treatment &amp; Distribution</t>
  </si>
  <si>
    <t>Allocation of Fuel</t>
  </si>
  <si>
    <t>(U)</t>
  </si>
  <si>
    <t>(V)</t>
  </si>
  <si>
    <t>Allocation of KPSC Fee</t>
  </si>
  <si>
    <t>Miscellaneous Customer Accounts Expense</t>
  </si>
  <si>
    <t>PSC Fee</t>
  </si>
  <si>
    <t>Accounting Fees</t>
  </si>
  <si>
    <t>Interest Income</t>
  </si>
  <si>
    <t>Allocation Interest Income</t>
  </si>
  <si>
    <t>7008.06 Telemetry</t>
  </si>
  <si>
    <t>Landline Phones</t>
  </si>
  <si>
    <t>Cellular Phones</t>
  </si>
  <si>
    <t>Bank Service Fees</t>
  </si>
  <si>
    <t>Employee Education, Dues</t>
  </si>
  <si>
    <t>Functionalize Depreciation</t>
  </si>
  <si>
    <t>Functionalize Plant Value</t>
  </si>
  <si>
    <t>Tools Shop and Garage Equipment</t>
  </si>
  <si>
    <t>Funtionalize Transportation Cost, and Transportation Depreciation</t>
  </si>
  <si>
    <t>From Full Depreciation Schedule</t>
  </si>
  <si>
    <t>Source of</t>
  </si>
  <si>
    <t>Supply</t>
  </si>
  <si>
    <t>Facilities</t>
  </si>
  <si>
    <t xml:space="preserve">Customer </t>
  </si>
  <si>
    <t>and Meter</t>
  </si>
  <si>
    <t>Installations</t>
  </si>
  <si>
    <t>Adm</t>
  </si>
  <si>
    <t>Land</t>
  </si>
  <si>
    <t>Mains</t>
  </si>
  <si>
    <t>Pumping</t>
  </si>
  <si>
    <t>Transportation</t>
  </si>
  <si>
    <t>Tools, Shop,</t>
  </si>
  <si>
    <t>and Garage</t>
  </si>
  <si>
    <t>Lab Equipment</t>
  </si>
  <si>
    <t>Operated</t>
  </si>
  <si>
    <t>Communication</t>
  </si>
  <si>
    <t>Land total</t>
  </si>
  <si>
    <t>To Be Allocated</t>
  </si>
  <si>
    <t>Structure &amp;</t>
  </si>
  <si>
    <t>Improvement</t>
  </si>
  <si>
    <t>Laboratory</t>
  </si>
  <si>
    <t>Depreciation Schedule</t>
  </si>
  <si>
    <t>Difference</t>
  </si>
  <si>
    <t>Other Tangible Plant</t>
  </si>
  <si>
    <t xml:space="preserve">Directly Assigned as Labeled </t>
  </si>
  <si>
    <t xml:space="preserve">   Depreciation Schedule</t>
  </si>
  <si>
    <t xml:space="preserve">  on Depreciation Schedule</t>
  </si>
  <si>
    <t>Items to Allocate</t>
  </si>
  <si>
    <t>Tools Shop and Garage</t>
  </si>
  <si>
    <t>Power Operated</t>
  </si>
  <si>
    <t>Items to Allocate to All</t>
  </si>
  <si>
    <t>Items to Allocate to Field Operations</t>
  </si>
  <si>
    <t>Allocate to Field</t>
  </si>
  <si>
    <t>Allocate to All</t>
  </si>
  <si>
    <t>From Depreciation Schedule</t>
  </si>
  <si>
    <t>Total Depreciation Schedule</t>
  </si>
  <si>
    <t>by Function</t>
  </si>
  <si>
    <t>Office Furniture</t>
  </si>
  <si>
    <t>Billing Software</t>
  </si>
  <si>
    <t>Other Tangible Plant shown in Annual Report, not on Depreciation Schedule</t>
  </si>
  <si>
    <t xml:space="preserve">  Long-Term Debt</t>
  </si>
  <si>
    <t xml:space="preserve">  Debt Coverage</t>
  </si>
  <si>
    <t xml:space="preserve">  Short-Term Debt</t>
  </si>
  <si>
    <t>Debt Service:</t>
  </si>
  <si>
    <t xml:space="preserve"> &amp; Distribution</t>
  </si>
  <si>
    <t>Current Depreciation</t>
  </si>
  <si>
    <t>Accumulated Depreciation</t>
  </si>
  <si>
    <t>Total Current Depreciation</t>
  </si>
  <si>
    <t xml:space="preserve">                       1003-17</t>
  </si>
  <si>
    <t>BELFRY SEWER LAND</t>
  </si>
  <si>
    <t xml:space="preserve">LAND                </t>
  </si>
  <si>
    <t>FENCE - BELFRY SEWER</t>
  </si>
  <si>
    <t xml:space="preserve">                       1004-17</t>
  </si>
  <si>
    <t>CARPORT</t>
  </si>
  <si>
    <t>HEAT PUMP - DOUGLAS WW</t>
  </si>
  <si>
    <t>METAL ROOF - FREEBURN</t>
  </si>
  <si>
    <t>GARAGE DOORS</t>
  </si>
  <si>
    <t xml:space="preserve">                       1005-17</t>
  </si>
  <si>
    <t>BRANHAM HEIGHTS</t>
  </si>
  <si>
    <t>COLLEY HILLS</t>
  </si>
  <si>
    <t>KEENE VILLAGE</t>
  </si>
  <si>
    <t>WILLOW PLACE</t>
  </si>
  <si>
    <t>MAPLE VALLEY</t>
  </si>
  <si>
    <t>CENTENNIAL</t>
  </si>
  <si>
    <t>SUNSHINE LANE CONNECTOR</t>
  </si>
  <si>
    <t>MT. VIEW CONNECTOR</t>
  </si>
  <si>
    <t>MCCARR SENIOR HOUSING</t>
  </si>
  <si>
    <t>RED ROBBIN</t>
  </si>
  <si>
    <t>SHELBY GRINDER PUMPS</t>
  </si>
  <si>
    <t>SHELBY LINES</t>
  </si>
  <si>
    <t>PHELPS GRINDER PUMPS</t>
  </si>
  <si>
    <t>ON SITE SEWAGE TANKS</t>
  </si>
  <si>
    <t>2011 CIP LINES CALLOWAY</t>
  </si>
  <si>
    <t>2011 CIP PRIDE ON THE RIVER</t>
  </si>
  <si>
    <t>GRINDER PUMPS - SV PHASE III</t>
  </si>
  <si>
    <t>LINES - SV PHASE III</t>
  </si>
  <si>
    <t>LINES - SV PHASE II</t>
  </si>
  <si>
    <t>SV LONG FORK GRINDER PUMP</t>
  </si>
  <si>
    <t>LINES - SV LONG FORK</t>
  </si>
  <si>
    <t>LINES - SV</t>
  </si>
  <si>
    <t>62 GRINDER PUMPS - SV SEWER</t>
  </si>
  <si>
    <t>SV SEWER PROJECT LINES</t>
  </si>
  <si>
    <t>SMITH FORK GRINDER UNITS</t>
  </si>
  <si>
    <t>GRINDER</t>
  </si>
  <si>
    <t>SMITH FORK LINES</t>
  </si>
  <si>
    <t>2014 FORREST HILLS MAINS SEWER</t>
  </si>
  <si>
    <t>2014 FOREST HILLS SEWER GRINDER UNITS</t>
  </si>
  <si>
    <t>2014 FOREST HILLS GRINDER UNITS</t>
  </si>
  <si>
    <t>2014 FOREST HILLS ODOR CONTROL</t>
  </si>
  <si>
    <t>20 GRINDER UNITS</t>
  </si>
  <si>
    <t>GRINDER PROJECT</t>
  </si>
  <si>
    <t>GRINDER UNITS</t>
  </si>
  <si>
    <t>E1 PUMPS</t>
  </si>
  <si>
    <t>PHELPS COLLECTIONS LINES</t>
  </si>
  <si>
    <t>WASCON PUMPS</t>
  </si>
  <si>
    <t>WASCON TAPS</t>
  </si>
  <si>
    <t>WASCON</t>
  </si>
  <si>
    <t>SEWER LINES</t>
  </si>
  <si>
    <t xml:space="preserve">                       1011-17</t>
  </si>
  <si>
    <t>PUMPER TRUCK</t>
  </si>
  <si>
    <t>FREEBURN BUTTERFLY VALVE</t>
  </si>
  <si>
    <t>PUMP WW</t>
  </si>
  <si>
    <t>SEWER PUMPS</t>
  </si>
  <si>
    <t>PHELPS NURSING HOME PUMP</t>
  </si>
  <si>
    <t xml:space="preserve">                       1020-17</t>
  </si>
  <si>
    <t>TRASH PUMP</t>
  </si>
  <si>
    <t>WATER JET DRAIN CLEANER</t>
  </si>
  <si>
    <t>MCCARR/PRIDE SEWER</t>
  </si>
  <si>
    <t>GENERATOR</t>
  </si>
  <si>
    <t>CHLORONATOR SYSTEM</t>
  </si>
  <si>
    <t>PLANT/ELECTRICAL</t>
  </si>
  <si>
    <t>FENCING / YARD IMPROVEMENTS</t>
  </si>
  <si>
    <t>FENCING / YARD IMPROVEMENT</t>
  </si>
  <si>
    <t>MOSSY BOT III TREATMENT PLANT</t>
  </si>
  <si>
    <t>YARD IMPROVEMENT</t>
  </si>
  <si>
    <t>SHELBY PLANT @ DOUGLAS</t>
  </si>
  <si>
    <t>PHELPS WASTE WATER TREATMENT PLANT</t>
  </si>
  <si>
    <t>LIQUID COLLECTION FACILITY - EC</t>
  </si>
  <si>
    <t>LIFT STATION - SV LONG FORK</t>
  </si>
  <si>
    <t>MID STATE EQUIPMENT</t>
  </si>
  <si>
    <t>SHELBY VALLEY SEWER LIFT STATION COLLINS</t>
  </si>
  <si>
    <t>PUMP FOR LIFT STATION</t>
  </si>
  <si>
    <t>CONTROL PANEL FOR LIFT STATION</t>
  </si>
  <si>
    <t>CONTROLS FOR LIFT STATION</t>
  </si>
  <si>
    <t>2014 CIP SEWER REHAB LIFT STATION REPAIRS</t>
  </si>
  <si>
    <t>2014 CIP SHELBY VALLEY 201 PLANS</t>
  </si>
  <si>
    <t>2014 FOREST HILLS SEWER TELEMTRY</t>
  </si>
  <si>
    <t>LIFT STATION REHAB</t>
  </si>
  <si>
    <t>DECANTER</t>
  </si>
  <si>
    <t>PHELPS WWTP BUILDING</t>
  </si>
  <si>
    <t>PHELPS PLANT UPGRADE</t>
  </si>
  <si>
    <t>LIFT STATION REPAIRS SEWER</t>
  </si>
  <si>
    <t>DOUGLAS WW TP</t>
  </si>
  <si>
    <t>TABLET DISPENSER - WW</t>
  </si>
  <si>
    <t>MIXER DOUGLAS WW</t>
  </si>
  <si>
    <t>FLOW METER DOUGLAS WW</t>
  </si>
  <si>
    <t>SHED</t>
  </si>
  <si>
    <t>SLUDGE BOX</t>
  </si>
  <si>
    <t>BELFRY - PUMP</t>
  </si>
  <si>
    <t>LAND - BELFRY PLANT</t>
  </si>
  <si>
    <t>BELFRY PLANT</t>
  </si>
  <si>
    <t>DOUGLAS EQUIPMENT</t>
  </si>
  <si>
    <t>DOUGLAS SCREEN</t>
  </si>
  <si>
    <t>PHELPS PUMP STATION (TREATMENT)</t>
  </si>
  <si>
    <t>PHELPS LAND</t>
  </si>
  <si>
    <t>APPAL LIFT STATION CIP</t>
  </si>
  <si>
    <t>ODOR CONTROL UNIT</t>
  </si>
  <si>
    <t xml:space="preserve">                       1033-17</t>
  </si>
  <si>
    <t>SERVICES SEWER</t>
  </si>
  <si>
    <t>NEW HOOKUPS-SERVICES</t>
  </si>
  <si>
    <t>NEW HOOK UPS-SEWER-JAN</t>
  </si>
  <si>
    <t>NEW SEWER HOOKUPS-FEB.</t>
  </si>
  <si>
    <t>NEW SEWER HOOKUPS-MAY</t>
  </si>
  <si>
    <t>NEW SEWER HOOKUPS-SEPT.</t>
  </si>
  <si>
    <t>NEW SEWER HOOKUPS-OCT.</t>
  </si>
  <si>
    <t>NEW SEWER HOOKUPS-NOV</t>
  </si>
  <si>
    <t>NEW HOOKUPS-SERVICE-MARCH</t>
  </si>
  <si>
    <t>NEW HOOKUPS-APRIL</t>
  </si>
  <si>
    <t>NEW HOOKUPS-MAY</t>
  </si>
  <si>
    <t>NEW HOOKUPS DEC. 07</t>
  </si>
  <si>
    <t>SEWER TAPS JAN</t>
  </si>
  <si>
    <t>SEWER TAPS FEB</t>
  </si>
  <si>
    <t>MAR SEWER TAPS SERVICES</t>
  </si>
  <si>
    <t>MAY SEWER TAPS SERVICES</t>
  </si>
  <si>
    <t>JUNE SEWER TAPS SERVICES</t>
  </si>
  <si>
    <t>JULY SEWER TAPS SERVICES</t>
  </si>
  <si>
    <t>SEP SEWER TAP SERVICES</t>
  </si>
  <si>
    <t>SEWER TAPS OCT SERVICES</t>
  </si>
  <si>
    <t>SEWR TAPS SERVICES NOVEMBER</t>
  </si>
  <si>
    <t>SEWER TAPS FEB 09</t>
  </si>
  <si>
    <t>SEWER TAPS APR 09</t>
  </si>
  <si>
    <t>SEWER TAPS MAY 09</t>
  </si>
  <si>
    <t>SEWER TAPS JUN 09</t>
  </si>
  <si>
    <t>SEWER TAPS JULY 09</t>
  </si>
  <si>
    <t>SEWER TAPS AUG 09</t>
  </si>
  <si>
    <t>SEWER TAPS SEP 09</t>
  </si>
  <si>
    <t>SEWER TAPS NOV 09</t>
  </si>
  <si>
    <t>SEWER TAPS DEC 09</t>
  </si>
  <si>
    <t>JAN 10 SEWER SERVICES</t>
  </si>
  <si>
    <t>MAR 10 SEWER SERVICES</t>
  </si>
  <si>
    <t>APR SEWER SERVICES</t>
  </si>
  <si>
    <t>AUG 10 SEWER SERVICES</t>
  </si>
  <si>
    <t>SEP 10 SEWER SERVICES</t>
  </si>
  <si>
    <t>OCT 10 SEWER SERVICES</t>
  </si>
  <si>
    <t>SEWER HOOKUPS JAN 2011</t>
  </si>
  <si>
    <t>SEWER SERVICES FEB 2011</t>
  </si>
  <si>
    <t>SEWER SERVICES MAR 2011</t>
  </si>
  <si>
    <t>SEWER SERVICES MAY 2011</t>
  </si>
  <si>
    <t>SEWER SERVICES JULY 2011</t>
  </si>
  <si>
    <t>SEWER SERVICES AUG 2011</t>
  </si>
  <si>
    <t>SEWER SERVICES SEPT 2011</t>
  </si>
  <si>
    <t>SEWER SERVICES OCT 2011</t>
  </si>
  <si>
    <t>SEWER SERVICES</t>
  </si>
  <si>
    <t>2011 CIP TAPS</t>
  </si>
  <si>
    <t>SEWER TAPS JAN 12</t>
  </si>
  <si>
    <t>SEWER TAPS FEB 12</t>
  </si>
  <si>
    <t>SEWER TAPS MAR 12</t>
  </si>
  <si>
    <t>SEWER TAPS APR 12</t>
  </si>
  <si>
    <t>SEWER TAPS MAY 12</t>
  </si>
  <si>
    <t>SEWER TAPS JULY 12</t>
  </si>
  <si>
    <t>SEWER TAPS AUG 12</t>
  </si>
  <si>
    <t>SEWER TAPS SEPT 12</t>
  </si>
  <si>
    <t>SEWER TAPS OCT 12</t>
  </si>
  <si>
    <t>SEWER TAPS DEC 12</t>
  </si>
  <si>
    <t>2012 SEWER TAPS</t>
  </si>
  <si>
    <t>JAN SEWER TAPS</t>
  </si>
  <si>
    <t>SEWER TAPS FEB 2013</t>
  </si>
  <si>
    <t>SEWR TAPS MAY 2013</t>
  </si>
  <si>
    <t>SEWER TAPS JUNE 2013</t>
  </si>
  <si>
    <t>SEWER TAPS JULY 2013</t>
  </si>
  <si>
    <t>SEWER TAPS AUG 2013</t>
  </si>
  <si>
    <t>SEWER TAPS OCT 2013</t>
  </si>
  <si>
    <t>SEWER TAPS NOV 2013</t>
  </si>
  <si>
    <t>2013 SEWER TAP FEES</t>
  </si>
  <si>
    <t>MAR SEWER TAPS</t>
  </si>
  <si>
    <t>MAY SEWER TAPS</t>
  </si>
  <si>
    <t>AUG SEWER TAPS</t>
  </si>
  <si>
    <t>NOV SEWER TAPS</t>
  </si>
  <si>
    <t>2014 CIP SEWER TAPS</t>
  </si>
  <si>
    <t>JAN 15 SEWER TAPS</t>
  </si>
  <si>
    <t>APRIL 2015 SEWER TAPS</t>
  </si>
  <si>
    <t>JUNE 2015 SEWER TAPS</t>
  </si>
  <si>
    <t>DEC 2015 SEWET TAPS</t>
  </si>
  <si>
    <t>FEB SEWER TAPS</t>
  </si>
  <si>
    <t>APRIL SEWER TAPS</t>
  </si>
  <si>
    <t>OCT SEWER TAPS</t>
  </si>
  <si>
    <t>MARCH SEWER TAPS</t>
  </si>
  <si>
    <t>DEC SEWER TAPS</t>
  </si>
  <si>
    <t>FEB 19 SEWER HOOKUPS</t>
  </si>
  <si>
    <t>MAR SEWER HOOKUPS</t>
  </si>
  <si>
    <t>APR SEWER HOOKUPS\</t>
  </si>
  <si>
    <t>MAY SEWER HOOKUPS</t>
  </si>
  <si>
    <t>JULY SEWER HOOKUPS</t>
  </si>
  <si>
    <t>WW TAPS</t>
  </si>
  <si>
    <t>SEWER TAPS</t>
  </si>
  <si>
    <t>JUNE  SEWER TAPS</t>
  </si>
  <si>
    <t>JAN TAPS</t>
  </si>
  <si>
    <t>JUNE SEWER TAPS</t>
  </si>
  <si>
    <t>JULY SEWER TAPS</t>
  </si>
  <si>
    <t>WASCON SEWER TAPS</t>
  </si>
  <si>
    <t>FEB SEWER SERVICES</t>
  </si>
  <si>
    <t>MAY SEWER SERVICES</t>
  </si>
  <si>
    <t>JUNE SEWER SERVICES</t>
  </si>
  <si>
    <t>TAPS - SEWER</t>
  </si>
  <si>
    <t>APR SEWER TAPS</t>
  </si>
  <si>
    <t>MAY SEWER TAP</t>
  </si>
  <si>
    <t>CIP SEWER TAP</t>
  </si>
  <si>
    <t>JAN SEWER HOOKUPS</t>
  </si>
  <si>
    <t>JUNE SEWER HOOKUPS</t>
  </si>
  <si>
    <t>DEC SEWER HOOKUPS</t>
  </si>
  <si>
    <t xml:space="preserve">                       1034-17</t>
  </si>
  <si>
    <t>METERS &amp; INSTALLS SEWER</t>
  </si>
  <si>
    <t>METERS &amp; INSTALL SEWER</t>
  </si>
  <si>
    <t>NEW HOOKUPS-METERS&amp;INSTALLS</t>
  </si>
  <si>
    <t>NEW SEWER HOOKUPS-JAN</t>
  </si>
  <si>
    <t>NEW SEWER HOOKUPS-MARCH</t>
  </si>
  <si>
    <t>NEW SEWER HOOKUPS-NOV.</t>
  </si>
  <si>
    <t>NEW HOOKUPS &amp; SERVICE-MARCH</t>
  </si>
  <si>
    <t>NEW HOOKUPS METERS &amp; INSTALLS APRIL</t>
  </si>
  <si>
    <t>NEW HOOKUPS-METERS &amp; SERVICE MAY</t>
  </si>
  <si>
    <t>NEW HOOKUPS DEC.</t>
  </si>
  <si>
    <t>JAN SEWER TAPS METERS</t>
  </si>
  <si>
    <t>FEB SEWER TAPS METERS</t>
  </si>
  <si>
    <t>MAR SEWER TAPS METERS</t>
  </si>
  <si>
    <t>MAY SEWER TAPS METERS</t>
  </si>
  <si>
    <t>JUNE SEWER TAPS METERS</t>
  </si>
  <si>
    <t>JULY SEWER TAPS METERS</t>
  </si>
  <si>
    <t>SEP SEWER TAPS METERS</t>
  </si>
  <si>
    <t>OCT SEWER TAPS METERS</t>
  </si>
  <si>
    <t>NOV SEWER TAPS METERS</t>
  </si>
  <si>
    <t>APR 09 SEWER TAPS METERS</t>
  </si>
  <si>
    <t>MAY 09 SEWER TAPS METERS</t>
  </si>
  <si>
    <t>JUN 09 SEWER TAPS METERS</t>
  </si>
  <si>
    <t>JUL 09 SEWER TAPS METERS</t>
  </si>
  <si>
    <t>AUG 09 SEWER TAPS METERS</t>
  </si>
  <si>
    <t>SEP 09 SEWER TAPS METERS</t>
  </si>
  <si>
    <t>NOV 09 SEWER TAPS METERS</t>
  </si>
  <si>
    <t>DEC 09 SEWER TAPS METERS</t>
  </si>
  <si>
    <t>JAN 10 SEWER TAPS METERS</t>
  </si>
  <si>
    <t>MAR 10 SEWER TAPS METERS</t>
  </si>
  <si>
    <t>APR 10 SEWER TAPS METERS</t>
  </si>
  <si>
    <t>AUG 10 SEWER TAPS METERS</t>
  </si>
  <si>
    <t>SEP 10 SEWER TAPS METERS</t>
  </si>
  <si>
    <t>OCT 10 SEWER TAPS METERS</t>
  </si>
  <si>
    <t>SEWER TAPS METERS CIP</t>
  </si>
  <si>
    <t>SEWER HOOKUPS FEB 2011</t>
  </si>
  <si>
    <t>SEWER HOOKUPS MAR 2011</t>
  </si>
  <si>
    <t>SEWER TAPS MAY 2011</t>
  </si>
  <si>
    <t>SEWER HOOKUPS JULY 20011</t>
  </si>
  <si>
    <t>SEWER HOOKUPS AUG 2011</t>
  </si>
  <si>
    <t>SEWER HOOKUPS SEP 2011</t>
  </si>
  <si>
    <t>SEWER HOOKUPS OCT 2011</t>
  </si>
  <si>
    <t>SEWER HOOKUPS NOV 2011</t>
  </si>
  <si>
    <t>SEWER METERS JAN 12</t>
  </si>
  <si>
    <t>SEWER METERS FEB 12</t>
  </si>
  <si>
    <t>SEWER METERS MAR 12</t>
  </si>
  <si>
    <t>SEWER METER APR 12</t>
  </si>
  <si>
    <t>SEWER METER MAY 12</t>
  </si>
  <si>
    <t>SEWER METER JULY 12</t>
  </si>
  <si>
    <t>SEWER METERS AUG 12</t>
  </si>
  <si>
    <t>SEWER METER SEP 12</t>
  </si>
  <si>
    <t>SEWER METERS OCT 12</t>
  </si>
  <si>
    <t>SEWER METERS DEC 12</t>
  </si>
  <si>
    <t>SEWER METERS JAN 2013</t>
  </si>
  <si>
    <t>SEWER METERS FEB 2013</t>
  </si>
  <si>
    <t>SEWER METERS MAY 2013</t>
  </si>
  <si>
    <t>SEWER METERS JUNE 2013</t>
  </si>
  <si>
    <t>SEWER METERS JULY 2013</t>
  </si>
  <si>
    <t>SEWER METERS AUG 2013</t>
  </si>
  <si>
    <t>SEWER METERS OCT 2013</t>
  </si>
  <si>
    <t>SEWER METER NOV 2013</t>
  </si>
  <si>
    <t>SEWET TAPS MAR</t>
  </si>
  <si>
    <t>JAN 2015 SEWER METERS</t>
  </si>
  <si>
    <t>APRIL 2015 SEWER METERS</t>
  </si>
  <si>
    <t>JUNE 2015 SEWER METERS</t>
  </si>
  <si>
    <t>DEC 2015 SEWER METERS</t>
  </si>
  <si>
    <t>2015 CIP SEWER TAPS</t>
  </si>
  <si>
    <t>FEB SEWER METERS</t>
  </si>
  <si>
    <t>MAR SEWER METERS</t>
  </si>
  <si>
    <t>APR SEWER METERS</t>
  </si>
  <si>
    <t>AUG SEWER METERS</t>
  </si>
  <si>
    <t>NOV SEWER METERS</t>
  </si>
  <si>
    <t>SEWER TAPS 2016</t>
  </si>
  <si>
    <t>JAN SEWER METERS</t>
  </si>
  <si>
    <t>OCT SEWER METERS</t>
  </si>
  <si>
    <t>MARCH SEWER METERS &amp; INSTALL</t>
  </si>
  <si>
    <t>WW METER</t>
  </si>
  <si>
    <t>SEWER METERS</t>
  </si>
  <si>
    <t>WASCON METER</t>
  </si>
  <si>
    <t>WASCON SEWERR METERS</t>
  </si>
  <si>
    <t>MAY SEWER</t>
  </si>
  <si>
    <t>WASCON SEWER METER</t>
  </si>
  <si>
    <t>JULY SEWER METERS</t>
  </si>
  <si>
    <t>METERS WASCON</t>
  </si>
  <si>
    <t>WASCON METERS</t>
  </si>
  <si>
    <t>NOV SEWER HOOKUPS</t>
  </si>
  <si>
    <t>JUNE SEWER METERS</t>
  </si>
  <si>
    <t>DEC SEWER METER</t>
  </si>
  <si>
    <t>MARCH SEWER SERVICES</t>
  </si>
  <si>
    <t>SEPT SEWER TAPS</t>
  </si>
  <si>
    <t>OCT SEWER SERVICES</t>
  </si>
  <si>
    <t>APRIL SEWER METERS</t>
  </si>
  <si>
    <t>MAY SEWER METERS</t>
  </si>
  <si>
    <t>OCT SEWER HOOKUPS</t>
  </si>
  <si>
    <t>WASCON GRINDER PUMP</t>
  </si>
  <si>
    <t>WASCON GRINDER PUMPS</t>
  </si>
  <si>
    <t>JUNE SEWER METER</t>
  </si>
  <si>
    <t xml:space="preserve">                       1040-17</t>
  </si>
  <si>
    <t>COMPUTER</t>
  </si>
  <si>
    <t>TRAILER MOSSY BOTTOM</t>
  </si>
  <si>
    <t>FILING CABINET</t>
  </si>
  <si>
    <t>GINDER PUMP FOR MB</t>
  </si>
  <si>
    <t>OFFICE</t>
  </si>
  <si>
    <t>FENCE</t>
  </si>
  <si>
    <t>Air Conditioner Mossy Bottom</t>
  </si>
  <si>
    <t>FENCE MBWWT</t>
  </si>
  <si>
    <t>SCBA</t>
  </si>
  <si>
    <t>MOWER</t>
  </si>
  <si>
    <t>KITS SEWER</t>
  </si>
  <si>
    <t>AC BELFRY</t>
  </si>
  <si>
    <t xml:space="preserve">                       1041-17</t>
  </si>
  <si>
    <t>90 CHEVY PICKUP</t>
  </si>
  <si>
    <t>90 S-10 PICKUP</t>
  </si>
  <si>
    <t>90 DODGE DAKOTA</t>
  </si>
  <si>
    <t>Misc. Equip Mossy Bottom</t>
  </si>
  <si>
    <t>TRAILER (P &amp; J TRAILER)</t>
  </si>
  <si>
    <t>FORK LIFT</t>
  </si>
  <si>
    <t xml:space="preserve">                       1043-17</t>
  </si>
  <si>
    <t>LEAK DETECTOR</t>
  </si>
  <si>
    <t>LAWN MOWER</t>
  </si>
  <si>
    <t>1 TON CRANE</t>
  </si>
  <si>
    <t>TOOLS</t>
  </si>
  <si>
    <t>OBRIEN MODEL 7040 JETTER</t>
  </si>
  <si>
    <t>2008 JCB 190T SKID STEER LOADER</t>
  </si>
  <si>
    <t>HACH FIELD LAB</t>
  </si>
  <si>
    <t>SKID STEER</t>
  </si>
  <si>
    <t>CAMERAS DOUGLAS</t>
  </si>
  <si>
    <t>BELFRY - GENERATOR</t>
  </si>
  <si>
    <t>BELFRY - MODEM</t>
  </si>
  <si>
    <t>FLOW METER - BELFRY</t>
  </si>
  <si>
    <t xml:space="preserve">                       1105-17</t>
  </si>
  <si>
    <t>FORREST HILLS CONNECTOR</t>
  </si>
  <si>
    <t xml:space="preserve">                       1133-17</t>
  </si>
  <si>
    <t>NEW HOOKUPS  - SERVICES</t>
  </si>
  <si>
    <t>South Williamson Sewer</t>
  </si>
  <si>
    <t xml:space="preserve">                       1134-17</t>
  </si>
  <si>
    <t>NEW HOOKUPS - METERS &amp; INSTALLED</t>
  </si>
  <si>
    <t>NEW HOOKUPS - METERS/iNSTALLS</t>
  </si>
  <si>
    <t xml:space="preserve">                       1143-17</t>
  </si>
  <si>
    <t>RIDING LAWNMOWER - 14HP</t>
  </si>
  <si>
    <t>TROY BILT 3550 WATT GENERATOR</t>
  </si>
  <si>
    <t>FLOWMETER - SOUTH WILLIAMSON</t>
  </si>
  <si>
    <t>Collection Lines</t>
  </si>
  <si>
    <t>Wastewater Treatment Plant</t>
  </si>
  <si>
    <t>Lift Stations</t>
  </si>
  <si>
    <t>Grinder Pump Services</t>
  </si>
  <si>
    <t xml:space="preserve">Power Operated Equipment, Other </t>
  </si>
  <si>
    <t>Depreciation</t>
  </si>
  <si>
    <t>Lift Station, Pumping Equipment</t>
  </si>
  <si>
    <t>10, 20</t>
  </si>
  <si>
    <t>10, 15, 20</t>
  </si>
  <si>
    <t>30, 40</t>
  </si>
  <si>
    <t>(W)</t>
  </si>
  <si>
    <t>(X)</t>
  </si>
  <si>
    <t>(Y)</t>
  </si>
  <si>
    <t>(Z)</t>
  </si>
  <si>
    <t>Nonutility Income/Water Loss Surcharge Collections</t>
  </si>
  <si>
    <t>Liability</t>
  </si>
  <si>
    <t>Supply and</t>
  </si>
  <si>
    <t>Total Debt Service</t>
  </si>
  <si>
    <t>General Liability Insurance</t>
  </si>
  <si>
    <t>Workers Compensation Insurance</t>
  </si>
  <si>
    <t>(AA)</t>
  </si>
  <si>
    <t>(AB)</t>
  </si>
  <si>
    <t>(AC)</t>
  </si>
  <si>
    <t>Worker's Comp.</t>
  </si>
  <si>
    <t>Bad Debt</t>
  </si>
  <si>
    <t>Allocation of Bad Debt</t>
  </si>
  <si>
    <t>(AD)</t>
  </si>
  <si>
    <t>(AE)</t>
  </si>
  <si>
    <t>(AF)</t>
  </si>
  <si>
    <t>Customer Billing Services</t>
  </si>
  <si>
    <t>(AG)</t>
  </si>
  <si>
    <t>(AH)</t>
  </si>
  <si>
    <t>Water Function</t>
  </si>
  <si>
    <t>Office Furn.</t>
  </si>
  <si>
    <t>and Equip.</t>
  </si>
  <si>
    <t>Times: FICA Rate</t>
  </si>
  <si>
    <t>Pro Forma FICA Taxes</t>
  </si>
  <si>
    <t>Water Purchased</t>
  </si>
  <si>
    <t xml:space="preserve">  Wholesale</t>
  </si>
  <si>
    <t>Fire Department</t>
  </si>
  <si>
    <t>Other</t>
  </si>
  <si>
    <t>Billing Analysis</t>
  </si>
  <si>
    <t>Miles of Main Source: Olson 7/23/25 email</t>
  </si>
  <si>
    <t>Annual Report 3" Main way off Olson email</t>
  </si>
  <si>
    <t>Water Sold to Whoesale Customers</t>
  </si>
  <si>
    <t>Total Water Sold</t>
  </si>
  <si>
    <t>1-</t>
  </si>
  <si>
    <t>1 -</t>
  </si>
  <si>
    <t>Water Loss Percentage, KPSC Maximum Allowed</t>
  </si>
  <si>
    <t>Test-Year Billing Analysis</t>
  </si>
  <si>
    <t>See Lowe 6/25/25 email for 213. See Lowe 7/8/25 email when the number is 233.</t>
  </si>
  <si>
    <t>Pro forma Customer Service Wages</t>
  </si>
  <si>
    <t>Percent of Total = Allocation Factor</t>
  </si>
  <si>
    <t>Allocation Factor</t>
  </si>
  <si>
    <t>Functionalized by:</t>
  </si>
  <si>
    <t>Follows General Materials and Supplies Exp</t>
  </si>
  <si>
    <t>KPSC Order</t>
  </si>
  <si>
    <t>General Materials and Supplies distributed 10/80/10 to T&amp;D, Treatment and Meters  based on Hattfield estimate of 10/90. She says the majority of this account is gravel and paving for main repairs and other distribution repairs. Lawless carved out 10% for meters based on practical judgement.</t>
  </si>
  <si>
    <t>Worker's Compenstation Insurance</t>
  </si>
  <si>
    <t>Advertising - Administrative</t>
  </si>
  <si>
    <t>Bad Debt Expense - Customer Accounts</t>
  </si>
  <si>
    <t>Rate Case Expenses - Administrative</t>
  </si>
  <si>
    <t>Source of Supply and Treatment</t>
  </si>
  <si>
    <t>Total Revenue Required from Wholesale</t>
  </si>
  <si>
    <t>Less: Interest Income</t>
  </si>
  <si>
    <t>Interest Income Allocated to Wholesale</t>
  </si>
  <si>
    <t>Pro forma Operating Revenue</t>
  </si>
  <si>
    <t>Test-Year Billed Retail Revenue</t>
  </si>
  <si>
    <t>ALLOCATIONS TO RETAIL RATES</t>
  </si>
  <si>
    <t>Demand</t>
  </si>
  <si>
    <t>Trans. &amp;</t>
  </si>
  <si>
    <t>Adm. Cust.</t>
  </si>
  <si>
    <t>Meters &amp;</t>
  </si>
  <si>
    <t>Values</t>
  </si>
  <si>
    <t>Commodity</t>
  </si>
  <si>
    <t>Plant</t>
  </si>
  <si>
    <t>Dist.</t>
  </si>
  <si>
    <t>Taxes Other Than Income Taxes</t>
  </si>
  <si>
    <t>Less: Admin.</t>
  </si>
  <si>
    <t>Total Without Admin.</t>
  </si>
  <si>
    <t>Percentages Without Admin.</t>
  </si>
  <si>
    <t>Allocation of Admin.</t>
  </si>
  <si>
    <t>Revenue Required from Retail Rates</t>
  </si>
  <si>
    <t>CALCULATION OF SERVICE EQUIVALENTS AND METER CHARGES</t>
  </si>
  <si>
    <t>Number of Services and Equivalents</t>
  </si>
  <si>
    <t>Ratio</t>
  </si>
  <si>
    <t>Service Ratio</t>
  </si>
  <si>
    <t>Service Bills</t>
  </si>
  <si>
    <t>Equivalents</t>
  </si>
  <si>
    <t>5/8"</t>
  </si>
  <si>
    <t>3"</t>
  </si>
  <si>
    <t>4"</t>
  </si>
  <si>
    <t>*Includes Wholesale Bills</t>
  </si>
  <si>
    <t>CALCULATION OF METER CHARGES BY METER SIZE</t>
  </si>
  <si>
    <t>Required</t>
  </si>
  <si>
    <t>Revenue Required</t>
  </si>
  <si>
    <t>Divide by: No. of</t>
  </si>
  <si>
    <t xml:space="preserve">  Bills or Equivalents</t>
  </si>
  <si>
    <t>Unit Cost of Service</t>
  </si>
  <si>
    <t>Meter Charge x</t>
  </si>
  <si>
    <t>Cost Based</t>
  </si>
  <si>
    <t>Meter Size</t>
  </si>
  <si>
    <t>Meter Charge</t>
  </si>
  <si>
    <t>Worker's Compensation Insurance</t>
  </si>
  <si>
    <t>Rate Case Expenses</t>
  </si>
  <si>
    <t>Plus: Debt Service</t>
  </si>
  <si>
    <t>Allocate Other Revenues following Admin.</t>
  </si>
  <si>
    <t>5/8"x3/4"</t>
  </si>
  <si>
    <t>Multi Family Dwellings - Customer Charge = 5/8"x3/4" Customer Charge x No. of Units</t>
  </si>
  <si>
    <t>Multi-Family Bills</t>
  </si>
  <si>
    <t>3/4" x</t>
  </si>
  <si>
    <t>1" x</t>
  </si>
  <si>
    <t>2" x</t>
  </si>
  <si>
    <t>6" x</t>
  </si>
  <si>
    <t>Mingo 3" Meter</t>
  </si>
  <si>
    <t>Martin Co is 4" Meter</t>
  </si>
  <si>
    <t>4"*</t>
  </si>
  <si>
    <t>6"*</t>
  </si>
  <si>
    <t>3"*</t>
  </si>
  <si>
    <t xml:space="preserve">  from Schedule</t>
  </si>
  <si>
    <t>Calculation of Meter Charges</t>
  </si>
  <si>
    <t>Plus: Cost of Customer Service and Meters to Wholesale</t>
  </si>
  <si>
    <t>Cost to Wholesale</t>
  </si>
  <si>
    <t xml:space="preserve">CALCULATION OF VOLUMETRIC RATE </t>
  </si>
  <si>
    <t>Commoity</t>
  </si>
  <si>
    <t>Transmission and Distribution</t>
  </si>
  <si>
    <t>Rate Per Gallon</t>
  </si>
  <si>
    <t>Retail Portion of:</t>
  </si>
  <si>
    <t>To wholesale</t>
  </si>
  <si>
    <t>Verification of Proposed Rates Using Average Number of Days in Year Billing Determinants</t>
  </si>
  <si>
    <t>Recalculated Retail Revenue at Proposed Rates</t>
  </si>
  <si>
    <t>Sold Average</t>
  </si>
  <si>
    <t>Divide by: Retail Gallons Sold during 365.25 Day Average Year</t>
  </si>
  <si>
    <t>Plus: Wholesale Revenue at Proposed Rates</t>
  </si>
  <si>
    <t>Revenue Required from Water Service Rates</t>
  </si>
  <si>
    <t>Differrence</t>
  </si>
  <si>
    <t>Pro forma Proposed Rate Wholesale Revenue</t>
  </si>
  <si>
    <t>Meters and Customer Service to Wholesale</t>
  </si>
  <si>
    <t>Meters and</t>
  </si>
  <si>
    <t>Meters and Services</t>
  </si>
  <si>
    <t>Billing Analysis - Pro Forma Proposed Rate Revenue for Average Number of Days in a Year</t>
  </si>
  <si>
    <t>Proposed Rate Per Gallon</t>
  </si>
  <si>
    <t>Capacity</t>
  </si>
  <si>
    <t>Installation Cost</t>
  </si>
  <si>
    <t>Annual Cost to Wholesale</t>
  </si>
  <si>
    <t>Differrence $</t>
  </si>
  <si>
    <t xml:space="preserve">Wholesale Sales </t>
  </si>
  <si>
    <t>Current</t>
  </si>
  <si>
    <t>**Multi Family Dwellings, Customer Charge = 5/8"x3/4" Customer Charge x No. of Units</t>
  </si>
  <si>
    <t>Multiple Family Dwellings **</t>
  </si>
  <si>
    <t>Over 2,000 Gallons</t>
  </si>
  <si>
    <t>Metered Customers</t>
  </si>
  <si>
    <t>Flat Rate</t>
  </si>
  <si>
    <t>used in public notice in case no. 2022-00366 for average 5/8 residential monthly average usage.</t>
  </si>
  <si>
    <t>Southern Water and Sewer 2024-00251</t>
  </si>
  <si>
    <t>Gallons Sold</t>
  </si>
  <si>
    <t>Average</t>
  </si>
  <si>
    <t>Difference $</t>
  </si>
  <si>
    <t>Billing Analysis Adjustment</t>
  </si>
  <si>
    <t>(AI)</t>
  </si>
  <si>
    <t>Customer Billing Adjustments, General Ledger</t>
  </si>
  <si>
    <t>Schedule A  (Cont'd)</t>
  </si>
  <si>
    <t>Schedule A-1</t>
  </si>
  <si>
    <t>PRO FORMA OPERATING EXPENSES BY FUNCTION</t>
  </si>
  <si>
    <t xml:space="preserve">Contractual Services - Other </t>
  </si>
  <si>
    <t>(AJ)</t>
  </si>
  <si>
    <t>REVENUE REQUIREMENT</t>
  </si>
  <si>
    <t xml:space="preserve">Schedule B </t>
  </si>
  <si>
    <t>Plus: Three-Year Average Long-Term Debt Pyaments (See Schedule C)</t>
  </si>
  <si>
    <t>Three-Year Average Short-Term Debt Payments (See Schedule C)</t>
  </si>
  <si>
    <t>Less: Test -Year Customer Billing Adjustments</t>
  </si>
  <si>
    <t>Billing Analysis Revenue after Customer Billing Ajustments</t>
  </si>
  <si>
    <t>Less: Test Year General Ledger Billed Revenue After Customer Billing Adjustments</t>
  </si>
  <si>
    <t>Percent Increase</t>
  </si>
  <si>
    <t>Times: Test-Year Billing Adjustments</t>
  </si>
  <si>
    <t>Billing Analysis Revenue at New Rates</t>
  </si>
  <si>
    <t>Less: Test-Year Billing Analysis Revenue</t>
  </si>
  <si>
    <t>Annualized Billing Adjustments at Pro Forma Present Rates</t>
  </si>
  <si>
    <t>Less: Test Year Customer Billing Adjustments,</t>
  </si>
  <si>
    <t xml:space="preserve">            Grossed up for the Test-Year Rate Increase (See Below)</t>
  </si>
  <si>
    <t>Pro forma Present Rate Customer Billing Adjustments</t>
  </si>
  <si>
    <t>Decrease to Pro forma Present Rate Customer Billing Adjustments</t>
  </si>
  <si>
    <t>Plus: Pro forma Present Rate Customer Billing Adjustments</t>
  </si>
  <si>
    <t>Normalized Customer Billing Adjustments for 365.25 Day Year</t>
  </si>
  <si>
    <t>Net Retail Water Sales</t>
  </si>
  <si>
    <t>Less: Test-Year Billing Analysis Revenue after Customer Adjustments</t>
  </si>
  <si>
    <t>Total Test Year</t>
  </si>
  <si>
    <t>Less: Customer Billing Adjustments at New Rates</t>
  </si>
  <si>
    <t xml:space="preserve">Billing Adjustments </t>
  </si>
  <si>
    <t>Times: 1 + Required Increase</t>
  </si>
  <si>
    <t>Meter Charges</t>
  </si>
  <si>
    <t xml:space="preserve">            Reduced to a 365.25 Day Year (See Below)</t>
  </si>
  <si>
    <t>Gross Up Revenue Requirement for General Ledger Customer</t>
  </si>
  <si>
    <t xml:space="preserve">  Billing Adjustments at New Volumetric Rates</t>
  </si>
  <si>
    <t>Employee Heath and Dental Insurance Benefits</t>
  </si>
  <si>
    <t>Total Revenue Deficiency Rolled Forward from Last Rate Case Filing</t>
  </si>
  <si>
    <t>Depreciation of Transmission and Distribution Mains Using 50-Year Life</t>
  </si>
  <si>
    <t>Divide by: Required Revenue Increase, this Study</t>
  </si>
  <si>
    <t>Percent of Required Revenue Increase Carried Forward from Case No. 2022-00366</t>
  </si>
  <si>
    <t>Revenue Increase from New Rates Increase</t>
  </si>
  <si>
    <t>Increase to Billing Adjustments Resulting from New Rates</t>
  </si>
  <si>
    <t>Less: Pro forma Present Rate Revenue Customer Billing Adjustments</t>
  </si>
  <si>
    <t>Percent Decrease for 365.25 Days</t>
  </si>
  <si>
    <t>Combined Water and Sewer</t>
  </si>
  <si>
    <t>Total Customer Service Wages</t>
  </si>
  <si>
    <t>Accounts:</t>
  </si>
  <si>
    <t>Detail of Allocation and Functionalization of Pro Forma Wages</t>
  </si>
  <si>
    <t>Allocate to Sewer</t>
  </si>
  <si>
    <t xml:space="preserve">Maint. Tech./Repair and Prev. Maint. </t>
  </si>
  <si>
    <t>Cashier/Customer Service</t>
  </si>
  <si>
    <t>Garage Mechanic/Admin.</t>
  </si>
  <si>
    <t>Temporary Employees/Department:</t>
  </si>
  <si>
    <t>Cleaning Services/Admin.</t>
  </si>
  <si>
    <t>Meter Technician/Water Meter Serv.</t>
  </si>
  <si>
    <t>Water Utility Technician/Water Dist.</t>
  </si>
  <si>
    <t>Source: Hatfield 7/28/25 email</t>
  </si>
  <si>
    <t>Temporary Employee/Department:</t>
  </si>
  <si>
    <t>Plus: Amount Allocated to Sewer</t>
  </si>
  <si>
    <t>Test Year Amount</t>
  </si>
  <si>
    <t>Plus: Income from Nonutility Operations</t>
  </si>
  <si>
    <t>but included in this Study:</t>
  </si>
  <si>
    <t>1.</t>
  </si>
  <si>
    <t>2.</t>
  </si>
  <si>
    <t>Water Operation - Short-Term Debt</t>
  </si>
  <si>
    <t>Less: Test-Year Revenue Generated by Rates Authorized in Case No. 2022-00366</t>
  </si>
  <si>
    <t>in Case No. 2022-00366 (See KPSC Order Dated October 31, 2023, Page 26)</t>
  </si>
  <si>
    <t>Test-Year Revenue Shortfall from Rates Authorized in Case No. 2022-00366</t>
  </si>
  <si>
    <t>Schedule C</t>
  </si>
  <si>
    <t>DEBT SERVICE SCHEDULE</t>
  </si>
  <si>
    <t>Mountain Water District - Water Operations, Test Year Ended December 31, 2024</t>
  </si>
  <si>
    <t>Water Operations - Long-Term Debt</t>
  </si>
  <si>
    <t>Schedule D</t>
  </si>
  <si>
    <t>Mountain Water District, Water Operations, Test Year Ended December 31, 2024</t>
  </si>
  <si>
    <t>Schedule E</t>
  </si>
  <si>
    <t>Schedule F</t>
  </si>
  <si>
    <t>Mountain Water District, Water Operations, Test Year December 31, 2024</t>
  </si>
  <si>
    <t>Schedule G</t>
  </si>
  <si>
    <t>Schedule G (Cont'd)</t>
  </si>
  <si>
    <t>Schedule H</t>
  </si>
  <si>
    <t>Total by Function</t>
  </si>
  <si>
    <t>Other Operating Revenue</t>
  </si>
  <si>
    <t xml:space="preserve"> Interest Income</t>
  </si>
  <si>
    <t>Schedule I</t>
  </si>
  <si>
    <t xml:space="preserve">  from Schedule H</t>
  </si>
  <si>
    <t>Schedule J</t>
  </si>
  <si>
    <t>Cost of</t>
  </si>
  <si>
    <t>Requirement</t>
  </si>
  <si>
    <t>Volumetric Rate Per Gallon</t>
  </si>
  <si>
    <t>Wholesale Rate Per Gallon</t>
  </si>
  <si>
    <t>Change</t>
  </si>
  <si>
    <t>Customer Charge by Meter Size:</t>
  </si>
  <si>
    <t>Units</t>
  </si>
  <si>
    <t>Average Usage per Unit of Multi Unit Accounts</t>
  </si>
  <si>
    <t>Annual Gallons</t>
  </si>
  <si>
    <t>VERIFICATION OF COST OF STUDY RATES</t>
  </si>
  <si>
    <t>Total Gallons</t>
  </si>
  <si>
    <t>Total Number of Units Billed</t>
  </si>
  <si>
    <t>Average Unit Usage</t>
  </si>
  <si>
    <t>Number of Units</t>
  </si>
  <si>
    <t>Billed in Test Year</t>
  </si>
  <si>
    <t>Average Year</t>
  </si>
  <si>
    <t>Multiple Family Dwellings, Per Unit</t>
  </si>
  <si>
    <t>Average Bill Per Month</t>
  </si>
  <si>
    <t>New</t>
  </si>
  <si>
    <t>Impact on Average Customer</t>
  </si>
  <si>
    <t>Retail Rates</t>
  </si>
  <si>
    <t>Jenkins Utilities</t>
  </si>
  <si>
    <t>Schedule K</t>
  </si>
  <si>
    <t>COMPARISON OF CURRENT RATES TO RATES FORMULATED IN THIS STUDY AND IMPACT ON AVERAGE CUSTOMER</t>
  </si>
  <si>
    <t>Meet Revenue</t>
  </si>
  <si>
    <t>Charge to</t>
  </si>
  <si>
    <t>Change to Current</t>
  </si>
  <si>
    <t>Schedule L</t>
  </si>
  <si>
    <t xml:space="preserve"> by KPSC in Case No. 2022-00366 (See below*)</t>
  </si>
  <si>
    <t>Portion of pro forma expenses denied rate recovery by KPSC in Case No. 2022-00366</t>
  </si>
  <si>
    <t>Cost of KPSC Water Application</t>
  </si>
  <si>
    <t xml:space="preserve">*Annual Water Sales Revenue Projected by KPSC to be Generated by Rates Authorized </t>
  </si>
  <si>
    <t>*Includes Wholesale Meters</t>
  </si>
  <si>
    <t>Shared Services to Sewer:</t>
  </si>
  <si>
    <t>Pumping Equipment , Belfry Lift Station</t>
  </si>
  <si>
    <t>Divide by: Depreciable Life, 20 Years</t>
  </si>
  <si>
    <t>Plant Account:</t>
  </si>
  <si>
    <t>Pro forma Depreciation</t>
  </si>
  <si>
    <t>Mountain Water District - Sewer Operations, Test Year Ended December 31, 2024</t>
  </si>
  <si>
    <t>Cost of 3</t>
  </si>
  <si>
    <t xml:space="preserve">Sewer </t>
  </si>
  <si>
    <t>Metered</t>
  </si>
  <si>
    <t>5/8" Average Usage</t>
  </si>
  <si>
    <t xml:space="preserve">Plus: </t>
  </si>
  <si>
    <t>Three-Year Average Long-Term Debt Pyaments (See Schedule C)</t>
  </si>
  <si>
    <t>Over 2,000 Gallons, Rate Per Gallon</t>
  </si>
  <si>
    <t>First 2,000 Gallons, Minimum Bill</t>
  </si>
  <si>
    <t>Flat Rate Per Month</t>
  </si>
  <si>
    <t>Increased</t>
  </si>
  <si>
    <t>Income from Nonutility Operations</t>
  </si>
  <si>
    <t xml:space="preserve">Less: </t>
  </si>
  <si>
    <t>Contract Sales to Mingo County</t>
  </si>
  <si>
    <t>Less: Pro Forma Phase 3 Rate Retail Revenue</t>
  </si>
  <si>
    <t>Required Revenue Increase $</t>
  </si>
  <si>
    <t>Required Revenue Increase %</t>
  </si>
  <si>
    <t>Connection/Turn-on Charge (After Hours)</t>
  </si>
  <si>
    <t>Disconnection Charge</t>
  </si>
  <si>
    <t>Water Distribution:</t>
  </si>
  <si>
    <t>Operations Manager</t>
  </si>
  <si>
    <t>General Ledger Accounts</t>
  </si>
  <si>
    <t>Other Legal PSC Expense</t>
  </si>
  <si>
    <t xml:space="preserve">Test-year revenue shortfall resulting from rate authorized </t>
  </si>
  <si>
    <t>Wholesale Rate per Gallon</t>
  </si>
  <si>
    <t>Total Revenue from Water Service Rates</t>
  </si>
  <si>
    <t>Source: Hatfield 8/14/25 email</t>
  </si>
  <si>
    <t>Line of Credit, FEMA Project</t>
  </si>
  <si>
    <t>Equipment Trailer</t>
  </si>
  <si>
    <t>Chevy Silverado 2025</t>
  </si>
  <si>
    <t>Balance</t>
  </si>
  <si>
    <t>Remaining Months after 1/1/26</t>
  </si>
  <si>
    <t>Final Maturity Date</t>
  </si>
  <si>
    <t>Interest Rate</t>
  </si>
  <si>
    <t>Monthly Payment</t>
  </si>
  <si>
    <t>Line of Credit, 2022 Rate Case, 12% to Sewer</t>
  </si>
  <si>
    <t>Line of Credit, 2022 Rate Cases, 88% to Water</t>
  </si>
  <si>
    <t>Tool, Shop, and Garage Struct.</t>
  </si>
  <si>
    <t>Payoff Date</t>
  </si>
  <si>
    <t>Month-Year</t>
  </si>
  <si>
    <t>Sewer Operation - Short-Term Debt</t>
  </si>
  <si>
    <t>Three-Year Average Short-Term Debt</t>
  </si>
  <si>
    <t>2-Year Notes Amortized Up To  6 Years</t>
  </si>
  <si>
    <t>Proposed</t>
  </si>
  <si>
    <t>Present</t>
  </si>
  <si>
    <t>Rates for Retail and Wholesale Water Service</t>
  </si>
  <si>
    <t>Retail Rates:</t>
  </si>
  <si>
    <t>Retail Volumetric Rate Per Gallon, All Meter Sizes</t>
  </si>
  <si>
    <t>Monthly Customer Charge by Meter Size:</t>
  </si>
  <si>
    <t>Wholesale Rates:</t>
  </si>
  <si>
    <t>-</t>
  </si>
  <si>
    <t xml:space="preserve">No Monthly Customer Charge: </t>
  </si>
  <si>
    <t>Wholesale Volumetric Rate Per Gallon:</t>
  </si>
  <si>
    <t>Usage</t>
  </si>
  <si>
    <t>(gals)</t>
  </si>
  <si>
    <t>Retail Customers by Meter Size:</t>
  </si>
  <si>
    <t>Wholesale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</si>
</sst>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0000_);_(* \(#,##0.00000\);_(* &quot;-&quot;??_);_(@_)"/>
    <numFmt numFmtId="165" formatCode="_(* #,##0_);_(* \(#,##0\);_(* &quot;-&quot;??_);_(@_)"/>
    <numFmt numFmtId="166" formatCode="_(&quot;$&quot;* #,##0_);_(&quot;$&quot;* \(#,##0\);_(&quot;$&quot;* &quot;-&quot;??_);_(@_)"/>
    <numFmt numFmtId="167" formatCode="&quot;$&quot;#,##0.00"/>
    <numFmt numFmtId="168" formatCode="_(&quot;$&quot;* #,##0.000000_);_(&quot;$&quot;* \(#,##0.000000\);_(&quot;$&quot;* &quot;-&quot;??_);_(@_)"/>
    <numFmt numFmtId="169" formatCode="_(&quot;$&quot;* #,##0.00000_);_(&quot;$&quot;* \(#,##0.00000\);_(&quot;$&quot;* &quot;-&quot;??_);_(@_)"/>
    <numFmt numFmtId="170" formatCode="_(* #,##0.000000_);_(* \(#,##0.000000\);_(* &quot;-&quot;??_);_(@_)"/>
    <numFmt numFmtId="171" formatCode="0.000%"/>
    <numFmt numFmtId="172" formatCode="0.0"/>
    <numFmt numFmtId="173" formatCode="0.00000"/>
    <numFmt numFmtId="174" formatCode="_(* #,##0.00000000_);_(* \(#,##0.00000000\);_(* &quot;-&quot;??_);_(@_)"/>
    <numFmt numFmtId="175" formatCode="000"/>
    <numFmt numFmtId="176" formatCode="\1\9##"/>
    <numFmt numFmtId="177" formatCode="_(* #,##0.0_);_(* \(#,##0.0\);_(* &quot;-&quot;??_);_(@_)"/>
    <numFmt numFmtId="178" formatCode="_(* #,##0.000000000_);_(* \(#,##0.000000000\);_(* &quot;-&quot;??_);_(@_)"/>
    <numFmt numFmtId="179" formatCode="0.0000%"/>
    <numFmt numFmtId="180" formatCode="_(* #,##0.000_);_(* \(#,##0.000\);_(* &quot;-&quot;??_);_(@_)"/>
  </numFmts>
  <fonts count="14" x14ac:knownFonts="1">
    <font>
      <sz val="12"/>
      <color theme="1"/>
      <name val="Aptos Narrow"/>
      <family val="2"/>
      <scheme val="minor"/>
    </font>
    <font>
      <sz val="12"/>
      <color theme="1"/>
      <name val="Aptos Narrow"/>
      <family val="2"/>
      <scheme val="minor"/>
    </font>
    <font>
      <sz val="12"/>
      <name val="Aptos Narrow"/>
      <family val="2"/>
      <scheme val="minor"/>
    </font>
    <font>
      <b/>
      <sz val="11"/>
      <color theme="1"/>
      <name val="Aptos Narrow"/>
      <family val="2"/>
      <scheme val="minor"/>
    </font>
    <font>
      <sz val="8"/>
      <name val="Aptos Narrow"/>
      <family val="2"/>
      <scheme val="minor"/>
    </font>
    <font>
      <u/>
      <sz val="12"/>
      <color theme="1"/>
      <name val="Aptos Narrow"/>
      <family val="2"/>
      <scheme val="minor"/>
    </font>
    <font>
      <b/>
      <sz val="12"/>
      <color theme="1"/>
      <name val="Aptos Narrow"/>
      <family val="2"/>
      <scheme val="minor"/>
    </font>
    <font>
      <b/>
      <sz val="12"/>
      <name val="Aptos Narrow"/>
      <family val="2"/>
      <scheme val="minor"/>
    </font>
    <font>
      <u/>
      <sz val="11"/>
      <color theme="1"/>
      <name val="Aptos Narrow"/>
      <family val="2"/>
      <scheme val="minor"/>
    </font>
    <font>
      <u val="singleAccounting"/>
      <sz val="11"/>
      <color theme="1"/>
      <name val="Aptos Narrow"/>
      <family val="2"/>
      <scheme val="minor"/>
    </font>
    <font>
      <b/>
      <sz val="16"/>
      <color theme="1"/>
      <name val="Aptos Narrow"/>
      <family val="2"/>
      <scheme val="minor"/>
    </font>
    <font>
      <u val="singleAccounting"/>
      <sz val="12"/>
      <color theme="1"/>
      <name val="Aptos Narrow"/>
      <family val="2"/>
      <scheme val="minor"/>
    </font>
    <font>
      <sz val="10"/>
      <name val="Arial"/>
      <family val="2"/>
    </font>
    <font>
      <sz val="11"/>
      <color theme="1"/>
      <name val="Aptos Narrow"/>
      <family val="2"/>
      <scheme val="minor"/>
    </font>
  </fonts>
  <fills count="14">
    <fill>
      <patternFill patternType="none"/>
    </fill>
    <fill>
      <patternFill patternType="gray125"/>
    </fill>
    <fill>
      <patternFill patternType="solid">
        <fgColor theme="5" tint="0.79998168889431442"/>
        <bgColor indexed="64"/>
      </patternFill>
    </fill>
    <fill>
      <patternFill patternType="solid">
        <fgColor theme="3" tint="0.89999084444715716"/>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5"/>
        <bgColor indexed="64"/>
      </patternFill>
    </fill>
    <fill>
      <patternFill patternType="solid">
        <fgColor rgb="FFFF0000"/>
        <bgColor indexed="64"/>
      </patternFill>
    </fill>
    <fill>
      <patternFill patternType="solid">
        <fgColor theme="2"/>
        <bgColor indexed="64"/>
      </patternFill>
    </fill>
    <fill>
      <patternFill patternType="solid">
        <fgColor theme="8" tint="0.79998168889431442"/>
        <bgColor indexed="64"/>
      </patternFill>
    </fill>
  </fills>
  <borders count="17">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36">
    <xf numFmtId="0" fontId="0" fillId="0" borderId="0" xfId="0"/>
    <xf numFmtId="43" fontId="0" fillId="0" borderId="0" xfId="1" applyFont="1"/>
    <xf numFmtId="0" fontId="0" fillId="0" borderId="0" xfId="0" applyAlignment="1">
      <alignment horizontal="center"/>
    </xf>
    <xf numFmtId="44" fontId="0" fillId="0" borderId="0" xfId="2" applyFont="1"/>
    <xf numFmtId="164" fontId="0" fillId="0" borderId="0" xfId="1" applyNumberFormat="1" applyFont="1"/>
    <xf numFmtId="10" fontId="0" fillId="0" borderId="0" xfId="3" applyNumberFormat="1" applyFont="1"/>
    <xf numFmtId="44" fontId="0" fillId="0" borderId="0" xfId="2" applyFont="1" applyFill="1"/>
    <xf numFmtId="164" fontId="0" fillId="0" borderId="0" xfId="1" applyNumberFormat="1" applyFont="1" applyFill="1"/>
    <xf numFmtId="165" fontId="0" fillId="0" borderId="0" xfId="1" applyNumberFormat="1" applyFont="1"/>
    <xf numFmtId="166" fontId="0" fillId="0" borderId="0" xfId="2" applyNumberFormat="1" applyFont="1"/>
    <xf numFmtId="165" fontId="0" fillId="0" borderId="1" xfId="1" applyNumberFormat="1" applyFont="1" applyBorder="1"/>
    <xf numFmtId="165" fontId="0" fillId="0" borderId="2" xfId="1" applyNumberFormat="1" applyFont="1" applyBorder="1"/>
    <xf numFmtId="9" fontId="0" fillId="0" borderId="0" xfId="3" applyFont="1"/>
    <xf numFmtId="165" fontId="0" fillId="0" borderId="3" xfId="1" applyNumberFormat="1" applyFont="1" applyBorder="1" applyAlignment="1">
      <alignment horizontal="center"/>
    </xf>
    <xf numFmtId="165" fontId="0" fillId="2" borderId="0" xfId="1" applyNumberFormat="1" applyFont="1" applyFill="1"/>
    <xf numFmtId="165" fontId="0" fillId="3" borderId="0" xfId="1" applyNumberFormat="1" applyFont="1" applyFill="1"/>
    <xf numFmtId="165" fontId="2" fillId="4" borderId="0" xfId="1" applyNumberFormat="1" applyFont="1" applyFill="1"/>
    <xf numFmtId="165" fontId="0" fillId="4" borderId="0" xfId="1" applyNumberFormat="1" applyFont="1" applyFill="1"/>
    <xf numFmtId="0" fontId="0" fillId="4" borderId="0" xfId="0" applyFill="1"/>
    <xf numFmtId="0" fontId="0" fillId="3" borderId="0" xfId="0" applyFill="1"/>
    <xf numFmtId="43" fontId="0" fillId="4" borderId="0" xfId="1" applyFont="1" applyFill="1"/>
    <xf numFmtId="0" fontId="0" fillId="0" borderId="1" xfId="0" applyBorder="1" applyAlignment="1">
      <alignment horizontal="center"/>
    </xf>
    <xf numFmtId="165" fontId="0" fillId="0" borderId="1" xfId="1" applyNumberFormat="1" applyFont="1" applyBorder="1" applyAlignment="1">
      <alignment horizontal="center"/>
    </xf>
    <xf numFmtId="165" fontId="0" fillId="0" borderId="0" xfId="1" applyNumberFormat="1" applyFont="1" applyAlignment="1">
      <alignment horizontal="center"/>
    </xf>
    <xf numFmtId="165" fontId="0" fillId="0" borderId="0" xfId="0" applyNumberFormat="1"/>
    <xf numFmtId="166" fontId="0" fillId="0" borderId="0" xfId="2" applyNumberFormat="1" applyFont="1" applyBorder="1"/>
    <xf numFmtId="165" fontId="0" fillId="0" borderId="0" xfId="1" applyNumberFormat="1" applyFont="1" applyBorder="1"/>
    <xf numFmtId="0" fontId="0" fillId="0" borderId="0" xfId="0" applyAlignment="1">
      <alignment horizontal="left"/>
    </xf>
    <xf numFmtId="10" fontId="0" fillId="0" borderId="0" xfId="3" applyNumberFormat="1" applyFont="1" applyBorder="1" applyAlignment="1">
      <alignment horizontal="left"/>
    </xf>
    <xf numFmtId="166" fontId="0" fillId="0" borderId="0" xfId="2" applyNumberFormat="1" applyFont="1" applyBorder="1" applyAlignment="1">
      <alignment horizontal="left"/>
    </xf>
    <xf numFmtId="0" fontId="0" fillId="0" borderId="0" xfId="0" applyAlignment="1">
      <alignment horizontal="right"/>
    </xf>
    <xf numFmtId="166" fontId="0" fillId="0" borderId="2" xfId="2" applyNumberFormat="1" applyFont="1" applyBorder="1"/>
    <xf numFmtId="166" fontId="0" fillId="0" borderId="0" xfId="2" applyNumberFormat="1" applyFont="1" applyBorder="1" applyAlignment="1">
      <alignment horizontal="right"/>
    </xf>
    <xf numFmtId="165" fontId="0" fillId="0" borderId="0" xfId="1" applyNumberFormat="1" applyFont="1" applyAlignment="1">
      <alignment horizontal="left"/>
    </xf>
    <xf numFmtId="0" fontId="2" fillId="0" borderId="0" xfId="0" applyFont="1" applyAlignment="1">
      <alignment horizontal="center" vertical="center"/>
    </xf>
    <xf numFmtId="43" fontId="0" fillId="0" borderId="0" xfId="0" applyNumberFormat="1"/>
    <xf numFmtId="0" fontId="0" fillId="0" borderId="6" xfId="0" applyBorder="1"/>
    <xf numFmtId="0" fontId="0" fillId="0" borderId="7" xfId="0" applyBorder="1"/>
    <xf numFmtId="43" fontId="0" fillId="0" borderId="0" xfId="1" applyFont="1" applyBorder="1"/>
    <xf numFmtId="43" fontId="0" fillId="0" borderId="7" xfId="0" applyNumberFormat="1" applyBorder="1"/>
    <xf numFmtId="0" fontId="0" fillId="0" borderId="8" xfId="0" applyBorder="1"/>
    <xf numFmtId="0" fontId="0" fillId="0" borderId="1" xfId="0" applyBorder="1"/>
    <xf numFmtId="43" fontId="0" fillId="0" borderId="9" xfId="0" applyNumberFormat="1" applyBorder="1"/>
    <xf numFmtId="15" fontId="0" fillId="0" borderId="0" xfId="0" applyNumberFormat="1" applyAlignment="1">
      <alignment horizontal="center"/>
    </xf>
    <xf numFmtId="10" fontId="0" fillId="0" borderId="0" xfId="3" applyNumberFormat="1" applyFont="1" applyFill="1"/>
    <xf numFmtId="14" fontId="0" fillId="0" borderId="1" xfId="0" quotePrefix="1" applyNumberFormat="1" applyBorder="1" applyAlignment="1">
      <alignment horizontal="center"/>
    </xf>
    <xf numFmtId="14" fontId="0" fillId="0" borderId="1" xfId="0" applyNumberFormat="1" applyBorder="1" applyAlignment="1">
      <alignment horizontal="center"/>
    </xf>
    <xf numFmtId="43" fontId="0" fillId="7" borderId="0" xfId="0" applyNumberFormat="1" applyFill="1"/>
    <xf numFmtId="168" fontId="0" fillId="0" borderId="0" xfId="2" applyNumberFormat="1" applyFont="1" applyFill="1"/>
    <xf numFmtId="0" fontId="5" fillId="0" borderId="0" xfId="0" applyFont="1"/>
    <xf numFmtId="166" fontId="0" fillId="0" borderId="0" xfId="0" applyNumberFormat="1"/>
    <xf numFmtId="10" fontId="0" fillId="0" borderId="0" xfId="0" applyNumberFormat="1" applyAlignment="1">
      <alignment horizontal="center"/>
    </xf>
    <xf numFmtId="166" fontId="0" fillId="0" borderId="2" xfId="0" applyNumberFormat="1" applyBorder="1"/>
    <xf numFmtId="10" fontId="0" fillId="0" borderId="10" xfId="3" applyNumberFormat="1" applyFont="1" applyBorder="1"/>
    <xf numFmtId="43" fontId="0" fillId="0" borderId="12" xfId="1" applyFont="1" applyBorder="1"/>
    <xf numFmtId="43" fontId="0" fillId="0" borderId="6" xfId="1" applyFont="1" applyBorder="1"/>
    <xf numFmtId="43" fontId="0" fillId="4" borderId="0" xfId="1" applyFont="1" applyFill="1" applyBorder="1"/>
    <xf numFmtId="43" fontId="0" fillId="2" borderId="0" xfId="1" applyFont="1" applyFill="1" applyBorder="1"/>
    <xf numFmtId="165" fontId="0" fillId="5" borderId="0" xfId="1" applyNumberFormat="1" applyFont="1" applyFill="1" applyBorder="1"/>
    <xf numFmtId="43" fontId="0" fillId="0" borderId="8" xfId="1" applyFont="1" applyBorder="1"/>
    <xf numFmtId="43" fontId="0" fillId="0" borderId="1" xfId="1" applyFont="1" applyBorder="1"/>
    <xf numFmtId="43" fontId="0" fillId="9" borderId="0" xfId="1" applyFont="1" applyFill="1"/>
    <xf numFmtId="16" fontId="0" fillId="0" borderId="0" xfId="1" applyNumberFormat="1" applyFont="1"/>
    <xf numFmtId="43" fontId="0" fillId="0" borderId="0" xfId="1" applyFont="1" applyFill="1"/>
    <xf numFmtId="0" fontId="0" fillId="0" borderId="4" xfId="0" applyBorder="1" applyAlignment="1">
      <alignment horizontal="center"/>
    </xf>
    <xf numFmtId="0" fontId="0" fillId="0" borderId="5" xfId="0" applyBorder="1" applyAlignment="1">
      <alignment horizontal="center"/>
    </xf>
    <xf numFmtId="44" fontId="0" fillId="0" borderId="0" xfId="0" applyNumberFormat="1"/>
    <xf numFmtId="165" fontId="0" fillId="0" borderId="0" xfId="1" quotePrefix="1" applyNumberFormat="1" applyFont="1"/>
    <xf numFmtId="0" fontId="5" fillId="0" borderId="0" xfId="0" applyFont="1" applyAlignment="1">
      <alignment horizontal="center"/>
    </xf>
    <xf numFmtId="43" fontId="2" fillId="0" borderId="0" xfId="1" applyFont="1"/>
    <xf numFmtId="43" fontId="2" fillId="0" borderId="0" xfId="1" quotePrefix="1" applyFont="1"/>
    <xf numFmtId="43" fontId="2" fillId="0" borderId="0" xfId="1" quotePrefix="1" applyFont="1" applyFill="1"/>
    <xf numFmtId="170" fontId="2" fillId="0" borderId="0" xfId="1" applyNumberFormat="1" applyFont="1"/>
    <xf numFmtId="43" fontId="0" fillId="0" borderId="1" xfId="1" applyFont="1" applyBorder="1" applyAlignment="1">
      <alignment horizontal="center"/>
    </xf>
    <xf numFmtId="166" fontId="0" fillId="0" borderId="1" xfId="2" applyNumberFormat="1" applyFont="1" applyBorder="1"/>
    <xf numFmtId="43" fontId="0" fillId="0" borderId="0" xfId="1" applyFont="1" applyBorder="1" applyAlignment="1">
      <alignment horizontal="center"/>
    </xf>
    <xf numFmtId="165" fontId="0" fillId="0" borderId="1" xfId="2" applyNumberFormat="1" applyFont="1" applyBorder="1"/>
    <xf numFmtId="43" fontId="0" fillId="0" borderId="6" xfId="1" applyFont="1" applyBorder="1" applyAlignment="1">
      <alignment horizontal="center"/>
    </xf>
    <xf numFmtId="43" fontId="0" fillId="0" borderId="7" xfId="1" applyFont="1" applyBorder="1" applyAlignment="1">
      <alignment horizontal="center"/>
    </xf>
    <xf numFmtId="169" fontId="0" fillId="0" borderId="0" xfId="2" applyNumberFormat="1" applyFont="1" applyBorder="1" applyAlignment="1">
      <alignment horizontal="center"/>
    </xf>
    <xf numFmtId="169" fontId="5" fillId="0" borderId="0" xfId="2" applyNumberFormat="1" applyFont="1" applyBorder="1" applyAlignment="1">
      <alignment horizontal="center"/>
    </xf>
    <xf numFmtId="0" fontId="5" fillId="0" borderId="7" xfId="0" applyFont="1" applyBorder="1" applyAlignment="1">
      <alignment horizontal="center"/>
    </xf>
    <xf numFmtId="43" fontId="5" fillId="0" borderId="6" xfId="1" applyFont="1" applyBorder="1" applyAlignment="1">
      <alignment horizontal="center"/>
    </xf>
    <xf numFmtId="43" fontId="5" fillId="0" borderId="0" xfId="1" applyFont="1" applyBorder="1" applyAlignment="1">
      <alignment horizontal="center"/>
    </xf>
    <xf numFmtId="165" fontId="0" fillId="0" borderId="6" xfId="1" applyNumberFormat="1" applyFont="1" applyBorder="1"/>
    <xf numFmtId="166" fontId="0" fillId="0" borderId="7" xfId="2" applyNumberFormat="1" applyFont="1" applyBorder="1"/>
    <xf numFmtId="165" fontId="0" fillId="0" borderId="7" xfId="0" applyNumberFormat="1" applyBorder="1"/>
    <xf numFmtId="165" fontId="0" fillId="0" borderId="9" xfId="0" applyNumberFormat="1" applyBorder="1"/>
    <xf numFmtId="166" fontId="0" fillId="0" borderId="9" xfId="2" applyNumberFormat="1" applyFont="1" applyBorder="1"/>
    <xf numFmtId="165" fontId="0" fillId="0" borderId="7" xfId="1" applyNumberFormat="1" applyFont="1" applyBorder="1"/>
    <xf numFmtId="43" fontId="0" fillId="0" borderId="7" xfId="1" applyFont="1" applyBorder="1"/>
    <xf numFmtId="0" fontId="6" fillId="0" borderId="0" xfId="0" applyFont="1" applyAlignment="1">
      <alignment horizontal="left"/>
    </xf>
    <xf numFmtId="43" fontId="7" fillId="0" borderId="0" xfId="1" applyFont="1"/>
    <xf numFmtId="165" fontId="0" fillId="0" borderId="0" xfId="2" applyNumberFormat="1" applyFont="1" applyBorder="1"/>
    <xf numFmtId="169" fontId="0" fillId="0" borderId="3" xfId="2" applyNumberFormat="1" applyFont="1" applyBorder="1" applyAlignment="1">
      <alignment horizontal="center"/>
    </xf>
    <xf numFmtId="44" fontId="2" fillId="0" borderId="0" xfId="2" applyFont="1" applyBorder="1"/>
    <xf numFmtId="165" fontId="0" fillId="0" borderId="11" xfId="1" applyNumberFormat="1" applyFont="1" applyBorder="1"/>
    <xf numFmtId="165" fontId="0" fillId="0" borderId="12" xfId="1" applyNumberFormat="1" applyFont="1" applyBorder="1"/>
    <xf numFmtId="165" fontId="0" fillId="0" borderId="13" xfId="0" applyNumberFormat="1" applyBorder="1"/>
    <xf numFmtId="165" fontId="0" fillId="0" borderId="8" xfId="1" applyNumberFormat="1" applyFont="1" applyBorder="1"/>
    <xf numFmtId="0" fontId="0" fillId="0" borderId="6" xfId="0" applyBorder="1" applyAlignment="1">
      <alignment horizontal="center"/>
    </xf>
    <xf numFmtId="165" fontId="0" fillId="0" borderId="0" xfId="1" applyNumberFormat="1" applyFont="1" applyBorder="1" applyAlignment="1">
      <alignment horizontal="center"/>
    </xf>
    <xf numFmtId="165" fontId="0" fillId="0" borderId="6" xfId="1" applyNumberFormat="1" applyFont="1" applyBorder="1" applyAlignment="1">
      <alignment horizontal="center"/>
    </xf>
    <xf numFmtId="166" fontId="0" fillId="0" borderId="7" xfId="2" applyNumberFormat="1" applyFont="1" applyBorder="1" applyAlignment="1">
      <alignment horizontal="center"/>
    </xf>
    <xf numFmtId="43" fontId="0" fillId="0" borderId="1" xfId="1" applyFont="1" applyBorder="1" applyAlignment="1"/>
    <xf numFmtId="10" fontId="0" fillId="0" borderId="0" xfId="3" applyNumberFormat="1" applyFont="1" applyBorder="1"/>
    <xf numFmtId="10" fontId="0" fillId="0" borderId="2" xfId="3" applyNumberFormat="1" applyFont="1" applyBorder="1"/>
    <xf numFmtId="10" fontId="5" fillId="0" borderId="0" xfId="1" applyNumberFormat="1" applyFont="1" applyAlignment="1">
      <alignment horizontal="center"/>
    </xf>
    <xf numFmtId="166" fontId="0" fillId="6" borderId="0" xfId="2" applyNumberFormat="1" applyFont="1" applyFill="1"/>
    <xf numFmtId="0" fontId="0" fillId="0" borderId="3" xfId="0" applyBorder="1" applyAlignment="1">
      <alignment horizontal="center"/>
    </xf>
    <xf numFmtId="165" fontId="0" fillId="0" borderId="0" xfId="1" applyNumberFormat="1" applyFont="1" applyFill="1" applyBorder="1"/>
    <xf numFmtId="169" fontId="0" fillId="0" borderId="1" xfId="2" applyNumberFormat="1" applyFont="1" applyBorder="1"/>
    <xf numFmtId="10" fontId="0" fillId="0" borderId="1" xfId="3" applyNumberFormat="1" applyFont="1" applyBorder="1"/>
    <xf numFmtId="0" fontId="0" fillId="7" borderId="0" xfId="0" applyFill="1"/>
    <xf numFmtId="0" fontId="0" fillId="7" borderId="0" xfId="0" applyFill="1" applyAlignment="1">
      <alignment horizontal="center"/>
    </xf>
    <xf numFmtId="43" fontId="0" fillId="7" borderId="0" xfId="1" applyFont="1" applyFill="1"/>
    <xf numFmtId="10" fontId="0" fillId="7" borderId="0" xfId="3" applyNumberFormat="1" applyFont="1" applyFill="1"/>
    <xf numFmtId="165" fontId="0" fillId="7" borderId="0" xfId="0" applyNumberFormat="1" applyFill="1"/>
    <xf numFmtId="0" fontId="7" fillId="0" borderId="0" xfId="0" applyFont="1" applyAlignment="1">
      <alignment horizontal="left" vertical="center"/>
    </xf>
    <xf numFmtId="171" fontId="0" fillId="0" borderId="1" xfId="3" applyNumberFormat="1" applyFont="1" applyBorder="1"/>
    <xf numFmtId="167" fontId="0" fillId="0" borderId="0" xfId="1" applyNumberFormat="1" applyFont="1" applyFill="1" applyBorder="1" applyAlignment="1">
      <alignment horizontal="right" vertical="center"/>
    </xf>
    <xf numFmtId="0" fontId="2" fillId="0" borderId="0" xfId="0" applyFont="1" applyAlignment="1">
      <alignment horizontal="left" vertical="center"/>
    </xf>
    <xf numFmtId="165" fontId="0" fillId="0" borderId="0" xfId="1" applyNumberFormat="1" applyFont="1" applyAlignment="1">
      <alignment horizontal="right"/>
    </xf>
    <xf numFmtId="165" fontId="0" fillId="0" borderId="0" xfId="1" applyNumberFormat="1" applyFont="1" applyFill="1" applyAlignment="1">
      <alignment horizontal="right"/>
    </xf>
    <xf numFmtId="165" fontId="0" fillId="6" borderId="0" xfId="1" applyNumberFormat="1" applyFont="1" applyFill="1" applyAlignment="1">
      <alignment horizontal="right"/>
    </xf>
    <xf numFmtId="165" fontId="0" fillId="11" borderId="0" xfId="1" applyNumberFormat="1" applyFont="1" applyFill="1" applyAlignment="1">
      <alignment horizontal="right"/>
    </xf>
    <xf numFmtId="0" fontId="0" fillId="0" borderId="0" xfId="0" applyAlignment="1">
      <alignment horizontal="center" vertical="center"/>
    </xf>
    <xf numFmtId="0" fontId="2" fillId="6" borderId="0" xfId="0" applyFont="1" applyFill="1" applyAlignment="1">
      <alignment horizontal="center" vertical="center"/>
    </xf>
    <xf numFmtId="0" fontId="2" fillId="6" borderId="0" xfId="0" applyFont="1" applyFill="1" applyAlignment="1">
      <alignment horizontal="left"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14" fontId="0" fillId="0" borderId="0" xfId="0" applyNumberFormat="1"/>
    <xf numFmtId="0" fontId="2" fillId="0" borderId="0" xfId="0" applyFont="1" applyAlignment="1">
      <alignment horizontal="right" vertical="center"/>
    </xf>
    <xf numFmtId="0" fontId="7" fillId="0" borderId="0" xfId="0" applyFont="1" applyAlignment="1">
      <alignment horizontal="left"/>
    </xf>
    <xf numFmtId="0" fontId="7" fillId="0" borderId="0" xfId="0" applyFont="1" applyAlignment="1">
      <alignment horizontal="right"/>
    </xf>
    <xf numFmtId="167" fontId="2" fillId="0" borderId="0" xfId="1" applyNumberFormat="1" applyFont="1" applyFill="1" applyBorder="1" applyAlignment="1">
      <alignment horizontal="right" vertical="center"/>
    </xf>
    <xf numFmtId="167" fontId="2" fillId="0" borderId="0" xfId="0" applyNumberFormat="1" applyFont="1" applyAlignment="1">
      <alignment horizontal="right" vertical="center"/>
    </xf>
    <xf numFmtId="14" fontId="0" fillId="6" borderId="0" xfId="0" applyNumberFormat="1" applyFill="1"/>
    <xf numFmtId="0" fontId="2" fillId="6" borderId="0" xfId="0" applyFont="1" applyFill="1" applyAlignment="1">
      <alignment horizontal="right" vertical="center"/>
    </xf>
    <xf numFmtId="167" fontId="2" fillId="6" borderId="0" xfId="1" applyNumberFormat="1" applyFont="1" applyFill="1" applyBorder="1" applyAlignment="1">
      <alignment horizontal="right" vertical="center"/>
    </xf>
    <xf numFmtId="0" fontId="0" fillId="6" borderId="0" xfId="0" applyFill="1"/>
    <xf numFmtId="0" fontId="7" fillId="0" borderId="0" xfId="0" applyFont="1" applyAlignment="1">
      <alignment horizontal="right" vertical="center"/>
    </xf>
    <xf numFmtId="0" fontId="0" fillId="0" borderId="0" xfId="0" applyAlignment="1">
      <alignment horizontal="left" vertical="center"/>
    </xf>
    <xf numFmtId="167" fontId="0" fillId="0" borderId="0" xfId="0" applyNumberFormat="1" applyAlignment="1">
      <alignment horizontal="right"/>
    </xf>
    <xf numFmtId="0" fontId="2" fillId="11" borderId="0" xfId="0" applyFont="1" applyFill="1" applyAlignment="1">
      <alignment horizontal="left" vertical="center"/>
    </xf>
    <xf numFmtId="0" fontId="7" fillId="11" borderId="0" xfId="0" applyFont="1" applyFill="1" applyAlignment="1">
      <alignment horizontal="left" vertical="center"/>
    </xf>
    <xf numFmtId="14" fontId="0" fillId="11" borderId="0" xfId="0" applyNumberFormat="1" applyFill="1"/>
    <xf numFmtId="0" fontId="2" fillId="11" borderId="0" xfId="0" applyFont="1" applyFill="1" applyAlignment="1">
      <alignment horizontal="center" vertical="center"/>
    </xf>
    <xf numFmtId="0" fontId="7" fillId="11" borderId="0" xfId="0" applyFont="1" applyFill="1" applyAlignment="1">
      <alignment horizontal="right" vertical="center"/>
    </xf>
    <xf numFmtId="0" fontId="2" fillId="11" borderId="0" xfId="0" applyFont="1" applyFill="1" applyAlignment="1">
      <alignment horizontal="right" vertical="center"/>
    </xf>
    <xf numFmtId="0" fontId="0" fillId="11" borderId="0" xfId="0" applyFill="1"/>
    <xf numFmtId="0" fontId="2" fillId="12" borderId="0" xfId="0" applyFont="1" applyFill="1" applyAlignment="1">
      <alignment horizontal="left" vertical="center"/>
    </xf>
    <xf numFmtId="14" fontId="0" fillId="12" borderId="0" xfId="0" applyNumberFormat="1" applyFill="1"/>
    <xf numFmtId="0" fontId="2" fillId="12" borderId="0" xfId="0" applyFont="1" applyFill="1" applyAlignment="1">
      <alignment horizontal="center" vertical="center"/>
    </xf>
    <xf numFmtId="0" fontId="2" fillId="12" borderId="0" xfId="0" applyFont="1" applyFill="1" applyAlignment="1">
      <alignment horizontal="right" vertical="center"/>
    </xf>
    <xf numFmtId="7" fontId="2" fillId="12" borderId="0" xfId="1" applyNumberFormat="1" applyFont="1" applyFill="1" applyBorder="1" applyAlignment="1">
      <alignment horizontal="right" vertical="center"/>
    </xf>
    <xf numFmtId="0" fontId="0" fillId="12" borderId="0" xfId="0" applyFill="1"/>
    <xf numFmtId="0" fontId="0" fillId="0" borderId="0" xfId="0" applyAlignment="1">
      <alignment horizontal="right" vertical="center"/>
    </xf>
    <xf numFmtId="167" fontId="0" fillId="0" borderId="0" xfId="0" applyNumberFormat="1" applyAlignment="1">
      <alignment horizontal="right" vertical="center"/>
    </xf>
    <xf numFmtId="165" fontId="2" fillId="0" borderId="0" xfId="1" applyNumberFormat="1" applyFont="1" applyFill="1" applyBorder="1" applyAlignment="1">
      <alignment horizontal="right" vertical="center"/>
    </xf>
    <xf numFmtId="0" fontId="2" fillId="10" borderId="0" xfId="0" applyFont="1" applyFill="1" applyAlignment="1">
      <alignment horizontal="left" vertical="center"/>
    </xf>
    <xf numFmtId="14" fontId="0" fillId="10" borderId="0" xfId="0" applyNumberFormat="1" applyFill="1"/>
    <xf numFmtId="0" fontId="2" fillId="10" borderId="0" xfId="0" applyFont="1" applyFill="1" applyAlignment="1">
      <alignment horizontal="center" vertical="center"/>
    </xf>
    <xf numFmtId="0" fontId="0" fillId="10" borderId="0" xfId="0" applyFill="1"/>
    <xf numFmtId="0" fontId="2" fillId="0" borderId="0" xfId="0" applyFont="1" applyAlignment="1">
      <alignment horizontal="right" vertical="center" wrapText="1"/>
    </xf>
    <xf numFmtId="0" fontId="2" fillId="10" borderId="0" xfId="0" applyFont="1" applyFill="1" applyAlignment="1">
      <alignment horizontal="right" vertical="center"/>
    </xf>
    <xf numFmtId="14" fontId="0" fillId="0" borderId="0" xfId="1" applyNumberFormat="1" applyFont="1" applyAlignment="1">
      <alignment horizontal="right"/>
    </xf>
    <xf numFmtId="167" fontId="0" fillId="6" borderId="0" xfId="0" applyNumberFormat="1" applyFill="1" applyAlignment="1">
      <alignment horizontal="right" vertical="center"/>
    </xf>
    <xf numFmtId="167" fontId="0" fillId="6" borderId="0" xfId="0" applyNumberFormat="1" applyFill="1" applyAlignment="1">
      <alignment horizontal="right"/>
    </xf>
    <xf numFmtId="167" fontId="2" fillId="10" borderId="0" xfId="1" applyNumberFormat="1" applyFont="1" applyFill="1" applyBorder="1" applyAlignment="1">
      <alignment horizontal="right" vertical="center"/>
    </xf>
    <xf numFmtId="167" fontId="0" fillId="10" borderId="0" xfId="0" applyNumberFormat="1" applyFill="1" applyAlignment="1">
      <alignment horizontal="right"/>
    </xf>
    <xf numFmtId="7" fontId="2" fillId="10" borderId="0" xfId="1" applyNumberFormat="1" applyFont="1" applyFill="1" applyBorder="1" applyAlignment="1">
      <alignment horizontal="right" vertical="center"/>
    </xf>
    <xf numFmtId="167" fontId="0" fillId="12" borderId="0" xfId="0" applyNumberFormat="1" applyFill="1" applyAlignment="1">
      <alignment horizontal="right"/>
    </xf>
    <xf numFmtId="167" fontId="2" fillId="12" borderId="0" xfId="1" applyNumberFormat="1" applyFont="1" applyFill="1" applyBorder="1" applyAlignment="1">
      <alignment horizontal="right" vertical="center"/>
    </xf>
    <xf numFmtId="166" fontId="0" fillId="0" borderId="0" xfId="2" applyNumberFormat="1" applyFont="1" applyAlignment="1">
      <alignment horizontal="right"/>
    </xf>
    <xf numFmtId="5" fontId="2" fillId="0" borderId="0" xfId="1" applyNumberFormat="1" applyFont="1" applyFill="1" applyBorder="1" applyAlignment="1">
      <alignment horizontal="right" vertical="center"/>
    </xf>
    <xf numFmtId="172" fontId="2" fillId="0" borderId="0" xfId="0" applyNumberFormat="1" applyFont="1" applyAlignment="1">
      <alignment horizontal="right" vertical="center"/>
    </xf>
    <xf numFmtId="172" fontId="7" fillId="0" borderId="0" xfId="0" applyNumberFormat="1" applyFont="1" applyAlignment="1">
      <alignment horizontal="right"/>
    </xf>
    <xf numFmtId="172" fontId="2" fillId="6" borderId="0" xfId="0" applyNumberFormat="1" applyFont="1" applyFill="1" applyAlignment="1">
      <alignment horizontal="right" vertical="center"/>
    </xf>
    <xf numFmtId="172" fontId="7" fillId="0" borderId="0" xfId="0" applyNumberFormat="1" applyFont="1" applyAlignment="1">
      <alignment horizontal="right" vertical="center"/>
    </xf>
    <xf numFmtId="172" fontId="0" fillId="0" borderId="0" xfId="0" applyNumberFormat="1" applyAlignment="1">
      <alignment horizontal="right"/>
    </xf>
    <xf numFmtId="165" fontId="7" fillId="0" borderId="0" xfId="1" applyNumberFormat="1" applyFont="1" applyAlignment="1">
      <alignment horizontal="right" vertical="center"/>
    </xf>
    <xf numFmtId="43" fontId="0" fillId="6" borderId="0" xfId="1" applyFont="1" applyFill="1"/>
    <xf numFmtId="0" fontId="2" fillId="0" borderId="0" xfId="0" applyFont="1" applyAlignment="1">
      <alignment horizontal="left"/>
    </xf>
    <xf numFmtId="165" fontId="2" fillId="0" borderId="0" xfId="1" applyNumberFormat="1" applyFont="1" applyAlignment="1">
      <alignment horizontal="left" vertical="center"/>
    </xf>
    <xf numFmtId="165" fontId="0" fillId="6" borderId="0" xfId="1" applyNumberFormat="1" applyFont="1" applyFill="1"/>
    <xf numFmtId="165" fontId="2" fillId="0" borderId="0" xfId="1" applyNumberFormat="1" applyFont="1" applyAlignment="1">
      <alignment horizontal="center" vertical="center" wrapText="1"/>
    </xf>
    <xf numFmtId="165" fontId="2" fillId="0" borderId="0" xfId="1" applyNumberFormat="1" applyFont="1" applyAlignment="1">
      <alignment horizontal="center" vertical="center"/>
    </xf>
    <xf numFmtId="165" fontId="2" fillId="10" borderId="0" xfId="1" applyNumberFormat="1" applyFont="1" applyFill="1" applyBorder="1" applyAlignment="1">
      <alignment horizontal="center" vertical="center"/>
    </xf>
    <xf numFmtId="165" fontId="2" fillId="12" borderId="0" xfId="1" applyNumberFormat="1" applyFont="1" applyFill="1" applyBorder="1" applyAlignment="1">
      <alignment horizontal="center" vertical="center"/>
    </xf>
    <xf numFmtId="165" fontId="2" fillId="11" borderId="0" xfId="1" applyNumberFormat="1" applyFont="1" applyFill="1" applyAlignment="1">
      <alignment horizontal="right" vertical="center"/>
    </xf>
    <xf numFmtId="165" fontId="2" fillId="0" borderId="0" xfId="0" applyNumberFormat="1" applyFont="1" applyAlignment="1">
      <alignment horizontal="center" vertical="center" wrapText="1"/>
    </xf>
    <xf numFmtId="165" fontId="7" fillId="0" borderId="0" xfId="1" applyNumberFormat="1" applyFont="1" applyAlignment="1">
      <alignment horizontal="left" vertical="center"/>
    </xf>
    <xf numFmtId="165" fontId="7" fillId="0" borderId="0" xfId="0" applyNumberFormat="1" applyFont="1" applyAlignment="1">
      <alignment horizontal="left" vertical="center"/>
    </xf>
    <xf numFmtId="165" fontId="0" fillId="10" borderId="0" xfId="1" applyNumberFormat="1" applyFont="1" applyFill="1"/>
    <xf numFmtId="165" fontId="0" fillId="10" borderId="0" xfId="0" applyNumberFormat="1" applyFill="1"/>
    <xf numFmtId="165" fontId="0" fillId="12" borderId="0" xfId="1" applyNumberFormat="1" applyFont="1" applyFill="1"/>
    <xf numFmtId="165" fontId="0" fillId="12" borderId="0" xfId="0" applyNumberFormat="1" applyFill="1"/>
    <xf numFmtId="165" fontId="0" fillId="11" borderId="0" xfId="1" applyNumberFormat="1" applyFont="1" applyFill="1"/>
    <xf numFmtId="165" fontId="0" fillId="11" borderId="0" xfId="0" applyNumberFormat="1" applyFill="1"/>
    <xf numFmtId="43" fontId="7" fillId="0" borderId="0" xfId="1" applyFont="1" applyAlignment="1">
      <alignment horizontal="right" vertical="center"/>
    </xf>
    <xf numFmtId="43" fontId="0" fillId="0" borderId="0" xfId="1" applyFont="1" applyAlignment="1">
      <alignment horizontal="right"/>
    </xf>
    <xf numFmtId="43" fontId="2" fillId="0" borderId="0" xfId="1" applyFont="1" applyAlignment="1">
      <alignment horizontal="right" vertical="center" wrapText="1"/>
    </xf>
    <xf numFmtId="43" fontId="2" fillId="0" borderId="0" xfId="1" applyFont="1" applyAlignment="1">
      <alignment horizontal="center" vertical="center" wrapText="1"/>
    </xf>
    <xf numFmtId="43" fontId="2" fillId="0" borderId="0" xfId="1" applyFont="1" applyFill="1" applyBorder="1" applyAlignment="1">
      <alignment horizontal="right" vertical="center"/>
    </xf>
    <xf numFmtId="43" fontId="7" fillId="0" borderId="0" xfId="1" applyFont="1" applyFill="1" applyBorder="1" applyAlignment="1">
      <alignment horizontal="right" vertical="center"/>
    </xf>
    <xf numFmtId="43" fontId="7" fillId="0" borderId="0" xfId="1" applyFont="1" applyAlignment="1">
      <alignment horizontal="right"/>
    </xf>
    <xf numFmtId="43" fontId="2" fillId="0" borderId="0" xfId="1" applyFont="1" applyFill="1" applyAlignment="1">
      <alignment horizontal="right" vertical="center"/>
    </xf>
    <xf numFmtId="43" fontId="2" fillId="6" borderId="0" xfId="1" applyFont="1" applyFill="1" applyBorder="1" applyAlignment="1">
      <alignment horizontal="right" vertical="center"/>
    </xf>
    <xf numFmtId="43" fontId="0" fillId="0" borderId="0" xfId="1" applyFont="1" applyFill="1" applyBorder="1" applyAlignment="1">
      <alignment horizontal="right" vertical="center"/>
    </xf>
    <xf numFmtId="43" fontId="0" fillId="0" borderId="0" xfId="1" applyFont="1" applyFill="1" applyAlignment="1">
      <alignment horizontal="right"/>
    </xf>
    <xf numFmtId="43" fontId="2" fillId="0" borderId="0" xfId="1" applyFont="1" applyFill="1" applyBorder="1" applyAlignment="1">
      <alignment horizontal="right" vertical="center" wrapText="1"/>
    </xf>
    <xf numFmtId="43" fontId="0" fillId="0" borderId="0" xfId="1" applyFont="1" applyAlignment="1">
      <alignment horizontal="right" vertical="center"/>
    </xf>
    <xf numFmtId="43" fontId="2" fillId="10" borderId="0" xfId="1" applyFont="1" applyFill="1" applyBorder="1" applyAlignment="1">
      <alignment horizontal="right" vertical="center"/>
    </xf>
    <xf numFmtId="43" fontId="2" fillId="12" borderId="0" xfId="1" applyFont="1" applyFill="1" applyBorder="1" applyAlignment="1">
      <alignment horizontal="right" vertical="center"/>
    </xf>
    <xf numFmtId="43" fontId="7" fillId="11" borderId="0" xfId="1" applyFont="1" applyFill="1" applyAlignment="1">
      <alignment horizontal="right" vertical="center"/>
    </xf>
    <xf numFmtId="0" fontId="0" fillId="0" borderId="0" xfId="0" quotePrefix="1"/>
    <xf numFmtId="165" fontId="0" fillId="0" borderId="1" xfId="0" applyNumberFormat="1" applyBorder="1"/>
    <xf numFmtId="165" fontId="0" fillId="0" borderId="0" xfId="0" applyNumberFormat="1" applyAlignment="1">
      <alignment horizontal="right"/>
    </xf>
    <xf numFmtId="166" fontId="2" fillId="0" borderId="0" xfId="2" applyNumberFormat="1" applyFont="1" applyFill="1" applyBorder="1" applyAlignment="1">
      <alignment horizontal="right" vertical="center"/>
    </xf>
    <xf numFmtId="166" fontId="0" fillId="0" borderId="0" xfId="0" applyNumberFormat="1" applyAlignment="1">
      <alignment horizontal="right"/>
    </xf>
    <xf numFmtId="165" fontId="0" fillId="0" borderId="1" xfId="0" applyNumberFormat="1" applyBorder="1" applyAlignment="1">
      <alignment horizontal="right"/>
    </xf>
    <xf numFmtId="0" fontId="0" fillId="0" borderId="12" xfId="0" applyBorder="1"/>
    <xf numFmtId="165" fontId="0" fillId="5" borderId="0" xfId="1" applyNumberFormat="1" applyFont="1" applyFill="1"/>
    <xf numFmtId="165" fontId="0" fillId="5" borderId="0" xfId="0" applyNumberFormat="1" applyFill="1"/>
    <xf numFmtId="0" fontId="0" fillId="5" borderId="0" xfId="0" applyFill="1"/>
    <xf numFmtId="43" fontId="0" fillId="0" borderId="0" xfId="1" applyFont="1" applyAlignment="1">
      <alignment horizontal="center"/>
    </xf>
    <xf numFmtId="10" fontId="0" fillId="0" borderId="0" xfId="1" applyNumberFormat="1" applyFont="1"/>
    <xf numFmtId="10" fontId="0" fillId="0" borderId="2" xfId="1" applyNumberFormat="1" applyFont="1" applyBorder="1"/>
    <xf numFmtId="165" fontId="3" fillId="0" borderId="0" xfId="1" applyNumberFormat="1" applyFont="1" applyAlignment="1">
      <alignment horizontal="center"/>
    </xf>
    <xf numFmtId="0" fontId="8" fillId="0" borderId="0" xfId="0" applyFont="1" applyAlignment="1">
      <alignment horizontal="center"/>
    </xf>
    <xf numFmtId="43" fontId="0" fillId="0" borderId="2" xfId="0" applyNumberFormat="1" applyBorder="1"/>
    <xf numFmtId="171" fontId="0" fillId="0" borderId="0" xfId="3" applyNumberFormat="1" applyFont="1"/>
    <xf numFmtId="43" fontId="0" fillId="0" borderId="1" xfId="0" applyNumberFormat="1" applyBorder="1"/>
    <xf numFmtId="173" fontId="0" fillId="0" borderId="0" xfId="0" applyNumberFormat="1"/>
    <xf numFmtId="170" fontId="0" fillId="0" borderId="0" xfId="0" applyNumberFormat="1"/>
    <xf numFmtId="164" fontId="0" fillId="0" borderId="0" xfId="0" applyNumberFormat="1"/>
    <xf numFmtId="0" fontId="3" fillId="0" borderId="0" xfId="0" applyFont="1"/>
    <xf numFmtId="164" fontId="0" fillId="0" borderId="1" xfId="0" applyNumberFormat="1" applyBorder="1"/>
    <xf numFmtId="165" fontId="9" fillId="0" borderId="0" xfId="1" applyNumberFormat="1" applyFont="1" applyBorder="1" applyAlignment="1">
      <alignment horizontal="center"/>
    </xf>
    <xf numFmtId="165" fontId="9" fillId="0" borderId="0" xfId="1" applyNumberFormat="1" applyFont="1" applyAlignment="1">
      <alignment horizontal="center"/>
    </xf>
    <xf numFmtId="165" fontId="3" fillId="0" borderId="0" xfId="1" applyNumberFormat="1" applyFont="1"/>
    <xf numFmtId="0" fontId="10" fillId="0" borderId="0" xfId="0" applyFont="1"/>
    <xf numFmtId="166" fontId="0" fillId="0" borderId="0" xfId="0" applyNumberFormat="1" applyAlignment="1">
      <alignment horizontal="center"/>
    </xf>
    <xf numFmtId="166" fontId="0" fillId="0" borderId="2" xfId="0" applyNumberFormat="1" applyBorder="1" applyAlignment="1">
      <alignment horizontal="center"/>
    </xf>
    <xf numFmtId="0" fontId="0" fillId="0" borderId="11" xfId="0" applyBorder="1"/>
    <xf numFmtId="0" fontId="0" fillId="0" borderId="12" xfId="0" applyBorder="1" applyAlignment="1">
      <alignment horizontal="right"/>
    </xf>
    <xf numFmtId="43" fontId="0" fillId="0" borderId="12" xfId="1" applyFont="1" applyBorder="1" applyAlignment="1">
      <alignment horizontal="right"/>
    </xf>
    <xf numFmtId="165" fontId="0" fillId="0" borderId="13" xfId="1" applyNumberFormat="1" applyFont="1" applyBorder="1"/>
    <xf numFmtId="10" fontId="0" fillId="0" borderId="0" xfId="0" applyNumberFormat="1" applyAlignment="1">
      <alignment horizontal="right"/>
    </xf>
    <xf numFmtId="43" fontId="0" fillId="0" borderId="0" xfId="1" applyFont="1" applyBorder="1" applyAlignment="1">
      <alignment horizontal="right"/>
    </xf>
    <xf numFmtId="165" fontId="0" fillId="0" borderId="0" xfId="1" applyNumberFormat="1" applyFont="1" applyBorder="1" applyAlignment="1">
      <alignment horizontal="right"/>
    </xf>
    <xf numFmtId="43" fontId="0" fillId="0" borderId="0" xfId="0" applyNumberFormat="1" applyAlignment="1">
      <alignment horizontal="right"/>
    </xf>
    <xf numFmtId="10" fontId="0" fillId="0" borderId="0" xfId="3" applyNumberFormat="1" applyFont="1" applyBorder="1" applyAlignment="1">
      <alignment horizontal="right"/>
    </xf>
    <xf numFmtId="0" fontId="0" fillId="0" borderId="1" xfId="0" applyBorder="1" applyAlignment="1">
      <alignment horizontal="right"/>
    </xf>
    <xf numFmtId="43" fontId="0" fillId="0" borderId="1" xfId="1" applyFont="1" applyBorder="1" applyAlignment="1">
      <alignment horizontal="right"/>
    </xf>
    <xf numFmtId="165" fontId="0" fillId="0" borderId="9" xfId="1" applyNumberFormat="1" applyFont="1" applyBorder="1"/>
    <xf numFmtId="165" fontId="0" fillId="0" borderId="12" xfId="1" applyNumberFormat="1" applyFont="1" applyBorder="1" applyAlignment="1">
      <alignment horizontal="right"/>
    </xf>
    <xf numFmtId="0" fontId="0" fillId="0" borderId="1" xfId="0" applyBorder="1" applyAlignment="1">
      <alignment horizontal="left"/>
    </xf>
    <xf numFmtId="165" fontId="0" fillId="0" borderId="1" xfId="1" applyNumberFormat="1" applyFont="1" applyBorder="1" applyAlignment="1">
      <alignment horizontal="right"/>
    </xf>
    <xf numFmtId="0" fontId="0" fillId="0" borderId="3" xfId="0" applyBorder="1" applyAlignment="1">
      <alignment horizontal="left"/>
    </xf>
    <xf numFmtId="43" fontId="0" fillId="0" borderId="3" xfId="1" applyFont="1" applyBorder="1" applyAlignment="1">
      <alignment horizontal="right"/>
    </xf>
    <xf numFmtId="0" fontId="0" fillId="0" borderId="3" xfId="0" applyBorder="1" applyAlignment="1">
      <alignment horizontal="right"/>
    </xf>
    <xf numFmtId="174" fontId="0" fillId="0" borderId="0" xfId="0" applyNumberFormat="1"/>
    <xf numFmtId="0" fontId="0" fillId="0" borderId="6" xfId="1" applyNumberFormat="1" applyFont="1" applyBorder="1" applyAlignment="1">
      <alignment wrapText="1"/>
    </xf>
    <xf numFmtId="0" fontId="0" fillId="0" borderId="0" xfId="1" applyNumberFormat="1" applyFont="1" applyAlignment="1">
      <alignment wrapText="1"/>
    </xf>
    <xf numFmtId="43" fontId="0" fillId="0" borderId="0" xfId="1" applyFont="1" applyAlignment="1">
      <alignment horizontal="left"/>
    </xf>
    <xf numFmtId="43" fontId="0" fillId="0" borderId="0" xfId="1" applyFont="1" applyAlignment="1"/>
    <xf numFmtId="165" fontId="0" fillId="0" borderId="0" xfId="3" applyNumberFormat="1" applyFont="1"/>
    <xf numFmtId="165" fontId="11" fillId="0" borderId="0" xfId="1" applyNumberFormat="1" applyFont="1" applyBorder="1" applyAlignment="1">
      <alignment horizontal="center"/>
    </xf>
    <xf numFmtId="0" fontId="6" fillId="0" borderId="0" xfId="0" applyFont="1"/>
    <xf numFmtId="0" fontId="0" fillId="0" borderId="11" xfId="0" applyBorder="1" applyAlignment="1">
      <alignment horizontal="right"/>
    </xf>
    <xf numFmtId="165" fontId="11" fillId="0" borderId="0" xfId="1" applyNumberFormat="1" applyFont="1" applyBorder="1" applyAlignment="1"/>
    <xf numFmtId="9" fontId="0" fillId="0" borderId="2" xfId="3" applyFont="1" applyBorder="1"/>
    <xf numFmtId="44" fontId="0" fillId="0" borderId="14" xfId="2" applyFont="1" applyBorder="1"/>
    <xf numFmtId="44" fontId="0" fillId="0" borderId="0" xfId="2" applyFont="1" applyBorder="1"/>
    <xf numFmtId="44" fontId="0" fillId="0" borderId="0" xfId="0" quotePrefix="1" applyNumberFormat="1"/>
    <xf numFmtId="43" fontId="0" fillId="0" borderId="0" xfId="1" quotePrefix="1" applyFont="1"/>
    <xf numFmtId="10" fontId="0" fillId="0" borderId="1" xfId="0" applyNumberFormat="1" applyBorder="1" applyAlignment="1">
      <alignment horizontal="center"/>
    </xf>
    <xf numFmtId="0" fontId="5" fillId="0" borderId="1" xfId="0" applyFont="1" applyBorder="1"/>
    <xf numFmtId="43" fontId="0" fillId="13" borderId="0" xfId="0" applyNumberFormat="1" applyFill="1"/>
    <xf numFmtId="10" fontId="0" fillId="0" borderId="0" xfId="0" applyNumberFormat="1"/>
    <xf numFmtId="165" fontId="0" fillId="0" borderId="2" xfId="0" applyNumberFormat="1" applyBorder="1"/>
    <xf numFmtId="165" fontId="0" fillId="7" borderId="0" xfId="1" applyNumberFormat="1" applyFont="1" applyFill="1" applyBorder="1"/>
    <xf numFmtId="165" fontId="0" fillId="7" borderId="0" xfId="1" applyNumberFormat="1" applyFont="1" applyFill="1" applyBorder="1" applyAlignment="1">
      <alignment horizontal="right"/>
    </xf>
    <xf numFmtId="165" fontId="1" fillId="0" borderId="0" xfId="1" applyNumberFormat="1" applyFont="1" applyBorder="1" applyAlignment="1">
      <alignment horizontal="center"/>
    </xf>
    <xf numFmtId="165" fontId="1" fillId="0" borderId="1" xfId="1" applyNumberFormat="1" applyFont="1" applyBorder="1" applyAlignment="1">
      <alignment horizontal="center"/>
    </xf>
    <xf numFmtId="0" fontId="0" fillId="0" borderId="13" xfId="0" applyBorder="1"/>
    <xf numFmtId="0" fontId="0" fillId="0" borderId="9" xfId="0" applyBorder="1"/>
    <xf numFmtId="165" fontId="0" fillId="0" borderId="11" xfId="0" applyNumberFormat="1" applyBorder="1"/>
    <xf numFmtId="165" fontId="0" fillId="0" borderId="6" xfId="0" applyNumberFormat="1" applyBorder="1"/>
    <xf numFmtId="0" fontId="0" fillId="0" borderId="7" xfId="0" applyBorder="1" applyAlignment="1">
      <alignment horizontal="center"/>
    </xf>
    <xf numFmtId="10" fontId="0" fillId="0" borderId="9" xfId="0" applyNumberFormat="1" applyBorder="1" applyAlignment="1">
      <alignment horizontal="center"/>
    </xf>
    <xf numFmtId="165" fontId="0" fillId="0" borderId="8" xfId="0" applyNumberFormat="1" applyBorder="1"/>
    <xf numFmtId="175" fontId="12" fillId="0" borderId="15" xfId="0" applyNumberFormat="1" applyFont="1" applyBorder="1" applyAlignment="1">
      <alignment horizontal="center"/>
    </xf>
    <xf numFmtId="175" fontId="12" fillId="0" borderId="15" xfId="0" applyNumberFormat="1" applyFont="1" applyBorder="1"/>
    <xf numFmtId="0" fontId="12" fillId="0" borderId="15" xfId="0" applyFont="1" applyBorder="1" applyAlignment="1">
      <alignment horizontal="center"/>
    </xf>
    <xf numFmtId="0" fontId="12" fillId="0" borderId="15" xfId="0" applyFont="1" applyBorder="1"/>
    <xf numFmtId="0" fontId="12" fillId="6" borderId="15" xfId="0" applyFont="1" applyFill="1" applyBorder="1" applyAlignment="1">
      <alignment horizontal="center"/>
    </xf>
    <xf numFmtId="17" fontId="12" fillId="0" borderId="15" xfId="0" applyNumberFormat="1" applyFont="1" applyBorder="1" applyAlignment="1">
      <alignment horizontal="center"/>
    </xf>
    <xf numFmtId="175" fontId="12" fillId="0" borderId="16" xfId="0" applyNumberFormat="1" applyFont="1" applyBorder="1" applyAlignment="1">
      <alignment horizontal="center"/>
    </xf>
    <xf numFmtId="175" fontId="12" fillId="0" borderId="16" xfId="0" applyNumberFormat="1" applyFont="1" applyBorder="1"/>
    <xf numFmtId="0" fontId="12" fillId="0" borderId="16" xfId="0" applyFont="1" applyBorder="1" applyAlignment="1">
      <alignment horizontal="center"/>
    </xf>
    <xf numFmtId="0" fontId="12" fillId="0" borderId="16" xfId="0" applyFont="1" applyBorder="1"/>
    <xf numFmtId="0" fontId="12" fillId="6" borderId="16" xfId="0" applyFont="1" applyFill="1" applyBorder="1" applyAlignment="1">
      <alignment horizontal="center"/>
    </xf>
    <xf numFmtId="176" fontId="0" fillId="0" borderId="15" xfId="0" applyNumberFormat="1" applyBorder="1" applyAlignment="1">
      <alignment horizontal="center"/>
    </xf>
    <xf numFmtId="0" fontId="12" fillId="0" borderId="15" xfId="0" applyFont="1" applyBorder="1" applyAlignment="1">
      <alignment horizontal="left"/>
    </xf>
    <xf numFmtId="0" fontId="0" fillId="0" borderId="15" xfId="0" applyBorder="1" applyAlignment="1">
      <alignment horizontal="center"/>
    </xf>
    <xf numFmtId="0" fontId="0" fillId="0" borderId="15" xfId="0" applyBorder="1"/>
    <xf numFmtId="17" fontId="0" fillId="0" borderId="15" xfId="0" applyNumberFormat="1" applyBorder="1"/>
    <xf numFmtId="0" fontId="12" fillId="0" borderId="0" xfId="0" applyFont="1"/>
    <xf numFmtId="0" fontId="12" fillId="0" borderId="0" xfId="0" applyFont="1" applyAlignment="1">
      <alignment horizontal="left"/>
    </xf>
    <xf numFmtId="167" fontId="12" fillId="0" borderId="15" xfId="0" applyNumberFormat="1" applyFont="1" applyBorder="1" applyAlignment="1">
      <alignment horizontal="center"/>
    </xf>
    <xf numFmtId="4" fontId="0" fillId="0" borderId="15" xfId="0" applyNumberFormat="1" applyBorder="1" applyAlignment="1">
      <alignment horizontal="center"/>
    </xf>
    <xf numFmtId="167" fontId="12" fillId="0" borderId="16" xfId="0" applyNumberFormat="1" applyFont="1" applyBorder="1" applyAlignment="1">
      <alignment horizontal="center"/>
    </xf>
    <xf numFmtId="4" fontId="0" fillId="0" borderId="16" xfId="0" applyNumberFormat="1" applyBorder="1" applyAlignment="1">
      <alignment horizontal="center"/>
    </xf>
    <xf numFmtId="4" fontId="0" fillId="0" borderId="15" xfId="0" applyNumberFormat="1" applyBorder="1"/>
    <xf numFmtId="17" fontId="0" fillId="0" borderId="0" xfId="0" applyNumberFormat="1"/>
    <xf numFmtId="0" fontId="0" fillId="0" borderId="0" xfId="1" applyNumberFormat="1" applyFont="1" applyAlignment="1">
      <alignment horizontal="center"/>
    </xf>
    <xf numFmtId="10" fontId="0" fillId="0" borderId="1" xfId="0" applyNumberFormat="1" applyBorder="1"/>
    <xf numFmtId="166" fontId="0" fillId="0" borderId="1" xfId="0" applyNumberFormat="1" applyBorder="1"/>
    <xf numFmtId="0" fontId="0" fillId="0" borderId="1" xfId="3" applyNumberFormat="1" applyFont="1" applyBorder="1"/>
    <xf numFmtId="43" fontId="0" fillId="0" borderId="13" xfId="1" applyFont="1" applyBorder="1"/>
    <xf numFmtId="43" fontId="0" fillId="0" borderId="9" xfId="1" applyFont="1" applyBorder="1"/>
    <xf numFmtId="43" fontId="0" fillId="0" borderId="2" xfId="1" applyFont="1" applyBorder="1"/>
    <xf numFmtId="171" fontId="0" fillId="0" borderId="0" xfId="1" applyNumberFormat="1" applyFont="1"/>
    <xf numFmtId="171" fontId="0" fillId="0" borderId="0" xfId="0" applyNumberFormat="1"/>
    <xf numFmtId="0" fontId="13" fillId="0" borderId="1" xfId="0" applyFont="1" applyBorder="1" applyAlignment="1">
      <alignment horizontal="center"/>
    </xf>
    <xf numFmtId="0" fontId="3" fillId="0" borderId="0" xfId="0" applyFont="1" applyAlignment="1">
      <alignment horizontal="center"/>
    </xf>
    <xf numFmtId="177" fontId="0" fillId="0" borderId="0" xfId="1" applyNumberFormat="1" applyFont="1" applyAlignment="1">
      <alignment horizontal="center"/>
    </xf>
    <xf numFmtId="177" fontId="0" fillId="0" borderId="0" xfId="1" applyNumberFormat="1" applyFont="1"/>
    <xf numFmtId="165" fontId="1" fillId="0" borderId="0" xfId="1" applyNumberFormat="1" applyFont="1" applyBorder="1" applyAlignment="1"/>
    <xf numFmtId="165" fontId="0" fillId="0" borderId="0" xfId="0" applyNumberFormat="1" applyAlignment="1">
      <alignment horizontal="center"/>
    </xf>
    <xf numFmtId="0" fontId="0" fillId="0" borderId="0" xfId="3" applyNumberFormat="1" applyFont="1" applyBorder="1"/>
    <xf numFmtId="178" fontId="0" fillId="0" borderId="0" xfId="1" applyNumberFormat="1" applyFont="1" applyAlignment="1">
      <alignment horizontal="right"/>
    </xf>
    <xf numFmtId="178" fontId="0" fillId="0" borderId="0" xfId="1" applyNumberFormat="1" applyFont="1"/>
    <xf numFmtId="178" fontId="0" fillId="0" borderId="0" xfId="0" applyNumberFormat="1"/>
    <xf numFmtId="0" fontId="3" fillId="0" borderId="1" xfId="0" applyFont="1" applyBorder="1" applyAlignment="1">
      <alignment horizontal="center"/>
    </xf>
    <xf numFmtId="165" fontId="0" fillId="0" borderId="0" xfId="1" applyNumberFormat="1" applyFont="1" applyAlignment="1"/>
    <xf numFmtId="0" fontId="0" fillId="0" borderId="0" xfId="1" applyNumberFormat="1" applyFont="1" applyAlignment="1"/>
    <xf numFmtId="10" fontId="0" fillId="0" borderId="0" xfId="3" applyNumberFormat="1" applyFont="1" applyAlignment="1">
      <alignment horizontal="center"/>
    </xf>
    <xf numFmtId="10" fontId="9" fillId="0" borderId="0" xfId="3" applyNumberFormat="1" applyFont="1" applyBorder="1" applyAlignment="1">
      <alignment horizontal="center"/>
    </xf>
    <xf numFmtId="44" fontId="3" fillId="0" borderId="0" xfId="2" applyFont="1" applyFill="1" applyBorder="1"/>
    <xf numFmtId="169" fontId="0" fillId="0" borderId="0" xfId="2" applyNumberFormat="1" applyFont="1"/>
    <xf numFmtId="165" fontId="0" fillId="0" borderId="2" xfId="3" applyNumberFormat="1" applyFont="1" applyBorder="1"/>
    <xf numFmtId="0" fontId="8" fillId="0" borderId="0" xfId="0" applyFont="1"/>
    <xf numFmtId="166" fontId="0" fillId="0" borderId="0" xfId="2" applyNumberFormat="1" applyFont="1" applyAlignment="1">
      <alignment horizontal="center"/>
    </xf>
    <xf numFmtId="44" fontId="0" fillId="0" borderId="2" xfId="2" applyFont="1" applyBorder="1"/>
    <xf numFmtId="9" fontId="0" fillId="0" borderId="0" xfId="3" applyFont="1" applyBorder="1"/>
    <xf numFmtId="0" fontId="3" fillId="5" borderId="0" xfId="0" applyFont="1" applyFill="1"/>
    <xf numFmtId="0" fontId="13" fillId="0" borderId="0" xfId="0" applyFont="1" applyAlignment="1">
      <alignment horizontal="center"/>
    </xf>
    <xf numFmtId="0" fontId="3" fillId="0" borderId="1" xfId="0" applyFont="1" applyBorder="1"/>
    <xf numFmtId="165" fontId="0" fillId="0" borderId="1" xfId="3" applyNumberFormat="1" applyFont="1" applyBorder="1"/>
    <xf numFmtId="164" fontId="0" fillId="0" borderId="1" xfId="1" applyNumberFormat="1" applyFont="1" applyBorder="1"/>
    <xf numFmtId="169" fontId="0" fillId="0" borderId="2" xfId="3" applyNumberFormat="1" applyFont="1" applyBorder="1"/>
    <xf numFmtId="43" fontId="6" fillId="0" borderId="0" xfId="1" applyFont="1"/>
    <xf numFmtId="0" fontId="0" fillId="0" borderId="0" xfId="0" applyAlignment="1">
      <alignment wrapText="1"/>
    </xf>
    <xf numFmtId="179" fontId="0" fillId="0" borderId="2" xfId="3" applyNumberFormat="1" applyFont="1" applyBorder="1"/>
    <xf numFmtId="180" fontId="0" fillId="0" borderId="0" xfId="1" applyNumberFormat="1" applyFont="1"/>
    <xf numFmtId="165" fontId="3" fillId="0" borderId="0" xfId="1" applyNumberFormat="1" applyFont="1" applyAlignment="1"/>
    <xf numFmtId="44" fontId="0" fillId="0" borderId="0" xfId="2" applyFont="1" applyAlignment="1">
      <alignment horizontal="center"/>
    </xf>
    <xf numFmtId="10" fontId="0" fillId="0" borderId="1" xfId="3" applyNumberFormat="1" applyFont="1" applyBorder="1" applyAlignment="1">
      <alignment horizontal="center"/>
    </xf>
    <xf numFmtId="165" fontId="13" fillId="0" borderId="0" xfId="1" applyNumberFormat="1" applyFont="1" applyBorder="1" applyAlignment="1">
      <alignment horizontal="center"/>
    </xf>
    <xf numFmtId="10" fontId="13" fillId="0" borderId="0" xfId="3" applyNumberFormat="1" applyFont="1" applyBorder="1" applyAlignment="1">
      <alignment horizontal="center"/>
    </xf>
    <xf numFmtId="165" fontId="13" fillId="0" borderId="0" xfId="1" applyNumberFormat="1" applyFont="1" applyAlignment="1">
      <alignment horizontal="center"/>
    </xf>
    <xf numFmtId="165" fontId="0" fillId="0" borderId="0" xfId="3" applyNumberFormat="1" applyFont="1" applyBorder="1"/>
    <xf numFmtId="164" fontId="0" fillId="0" borderId="0" xfId="1" applyNumberFormat="1" applyFont="1" applyBorder="1"/>
    <xf numFmtId="169" fontId="0" fillId="0" borderId="0" xfId="3" applyNumberFormat="1" applyFont="1" applyBorder="1"/>
    <xf numFmtId="165" fontId="13" fillId="0" borderId="1" xfId="1" applyNumberFormat="1" applyFont="1" applyBorder="1" applyAlignment="1">
      <alignment horizontal="center"/>
    </xf>
    <xf numFmtId="10" fontId="13" fillId="0" borderId="1" xfId="3" applyNumberFormat="1" applyFont="1" applyBorder="1" applyAlignment="1">
      <alignment horizontal="center"/>
    </xf>
    <xf numFmtId="165" fontId="1" fillId="0" borderId="0" xfId="1" applyNumberFormat="1" applyFont="1"/>
    <xf numFmtId="165" fontId="6" fillId="0" borderId="0" xfId="1" applyNumberFormat="1" applyFont="1"/>
    <xf numFmtId="169" fontId="0" fillId="0" borderId="2" xfId="2" applyNumberFormat="1" applyFont="1" applyBorder="1"/>
    <xf numFmtId="43" fontId="0" fillId="0" borderId="6" xfId="0" applyNumberFormat="1" applyBorder="1"/>
    <xf numFmtId="0" fontId="0" fillId="6" borderId="1" xfId="0" applyFill="1" applyBorder="1" applyAlignment="1">
      <alignment horizontal="center"/>
    </xf>
    <xf numFmtId="44" fontId="0" fillId="0" borderId="4" xfId="0" applyNumberFormat="1" applyBorder="1"/>
    <xf numFmtId="0" fontId="0" fillId="0" borderId="3" xfId="0" applyBorder="1"/>
    <xf numFmtId="0" fontId="0" fillId="6" borderId="0" xfId="0" applyFill="1" applyAlignment="1">
      <alignment horizontal="center"/>
    </xf>
    <xf numFmtId="43" fontId="0" fillId="6" borderId="0" xfId="1" applyFont="1" applyFill="1" applyBorder="1"/>
    <xf numFmtId="43" fontId="0" fillId="6" borderId="0" xfId="0" applyNumberFormat="1" applyFill="1"/>
    <xf numFmtId="169" fontId="0" fillId="6" borderId="0" xfId="2" applyNumberFormat="1" applyFont="1" applyFill="1" applyBorder="1"/>
    <xf numFmtId="164" fontId="0" fillId="6" borderId="0" xfId="0" applyNumberFormat="1" applyFill="1"/>
    <xf numFmtId="164" fontId="0" fillId="6" borderId="0" xfId="1" applyNumberFormat="1" applyFont="1" applyFill="1" applyBorder="1"/>
    <xf numFmtId="44" fontId="0" fillId="6" borderId="5" xfId="2" applyFont="1" applyFill="1" applyBorder="1"/>
    <xf numFmtId="43" fontId="0" fillId="0" borderId="4" xfId="1" applyFont="1" applyBorder="1"/>
    <xf numFmtId="43" fontId="0" fillId="6" borderId="5" xfId="1" applyFont="1" applyFill="1" applyBorder="1"/>
    <xf numFmtId="0" fontId="3" fillId="6" borderId="0" xfId="0" applyFont="1" applyFill="1"/>
    <xf numFmtId="0" fontId="0" fillId="0" borderId="0" xfId="1" applyNumberFormat="1" applyFont="1"/>
    <xf numFmtId="179" fontId="0" fillId="0" borderId="10" xfId="3" applyNumberFormat="1" applyFont="1" applyBorder="1"/>
    <xf numFmtId="8" fontId="0" fillId="0" borderId="0" xfId="0" applyNumberFormat="1"/>
    <xf numFmtId="6" fontId="0" fillId="0" borderId="0" xfId="0" applyNumberFormat="1"/>
    <xf numFmtId="6" fontId="0" fillId="0" borderId="2" xfId="2" applyNumberFormat="1" applyFont="1" applyBorder="1"/>
    <xf numFmtId="0" fontId="0" fillId="0" borderId="9" xfId="0" applyBorder="1" applyAlignment="1">
      <alignment horizontal="center"/>
    </xf>
    <xf numFmtId="10" fontId="0" fillId="0" borderId="7" xfId="3" applyNumberFormat="1" applyFont="1" applyBorder="1"/>
    <xf numFmtId="0" fontId="6" fillId="0" borderId="6" xfId="0" applyFont="1" applyBorder="1"/>
    <xf numFmtId="0" fontId="0" fillId="0" borderId="5" xfId="0" applyBorder="1"/>
    <xf numFmtId="0" fontId="0" fillId="0" borderId="4" xfId="0" applyBorder="1"/>
    <xf numFmtId="0" fontId="6" fillId="0" borderId="6" xfId="0" applyFont="1" applyBorder="1" applyAlignment="1">
      <alignment horizontal="left"/>
    </xf>
    <xf numFmtId="9" fontId="0" fillId="0" borderId="7" xfId="3" applyFont="1" applyBorder="1" applyAlignment="1">
      <alignment horizontal="right"/>
    </xf>
    <xf numFmtId="10" fontId="0" fillId="0" borderId="9" xfId="3" applyNumberFormat="1" applyFont="1" applyBorder="1"/>
    <xf numFmtId="0" fontId="0" fillId="0" borderId="1" xfId="0" applyBorder="1" applyAlignment="1">
      <alignment horizontal="center"/>
    </xf>
    <xf numFmtId="0" fontId="6" fillId="0" borderId="1" xfId="0" applyFont="1" applyBorder="1" applyAlignment="1">
      <alignment horizontal="center"/>
    </xf>
    <xf numFmtId="165" fontId="0" fillId="0" borderId="1" xfId="1" applyNumberFormat="1" applyFont="1" applyBorder="1" applyAlignment="1">
      <alignment horizontal="center"/>
    </xf>
    <xf numFmtId="0" fontId="0" fillId="0" borderId="0" xfId="0" applyAlignment="1">
      <alignment horizontal="left"/>
    </xf>
    <xf numFmtId="0" fontId="6" fillId="0" borderId="0" xfId="0" applyFont="1" applyAlignment="1">
      <alignment horizontal="center"/>
    </xf>
    <xf numFmtId="165" fontId="0" fillId="0" borderId="3" xfId="1" applyNumberFormat="1" applyFont="1" applyBorder="1" applyAlignment="1">
      <alignment horizontal="center"/>
    </xf>
    <xf numFmtId="0" fontId="0" fillId="0" borderId="15" xfId="0" applyBorder="1" applyAlignment="1">
      <alignment horizontal="center"/>
    </xf>
    <xf numFmtId="0" fontId="3" fillId="0" borderId="0" xfId="0" applyFont="1" applyAlignment="1">
      <alignment horizontal="center"/>
    </xf>
    <xf numFmtId="165" fontId="3" fillId="0" borderId="0" xfId="1" applyNumberFormat="1" applyFont="1" applyFill="1" applyAlignment="1">
      <alignment horizontal="center"/>
    </xf>
    <xf numFmtId="165" fontId="3" fillId="0" borderId="0" xfId="1" applyNumberFormat="1" applyFont="1" applyAlignment="1">
      <alignment horizontal="center"/>
    </xf>
    <xf numFmtId="0" fontId="3" fillId="0" borderId="1" xfId="0"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3" fillId="5" borderId="0" xfId="0" applyFont="1" applyFill="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6" xfId="0" applyBorder="1" applyAlignment="1">
      <alignment horizontal="left"/>
    </xf>
    <xf numFmtId="165" fontId="0" fillId="0" borderId="0" xfId="1" applyNumberFormat="1" applyFont="1" applyAlignment="1">
      <alignment horizontal="center"/>
    </xf>
    <xf numFmtId="43" fontId="0" fillId="0" borderId="1" xfId="1" applyFont="1" applyBorder="1" applyAlignment="1">
      <alignment horizontal="center"/>
    </xf>
    <xf numFmtId="43" fontId="0" fillId="0" borderId="6" xfId="1" applyFont="1" applyBorder="1" applyAlignment="1">
      <alignment horizontal="center"/>
    </xf>
    <xf numFmtId="43" fontId="0" fillId="0" borderId="0" xfId="1" applyFont="1" applyBorder="1" applyAlignment="1">
      <alignment horizontal="center"/>
    </xf>
    <xf numFmtId="43" fontId="0" fillId="0" borderId="7" xfId="1" applyFont="1" applyBorder="1" applyAlignment="1">
      <alignment horizontal="center"/>
    </xf>
    <xf numFmtId="43" fontId="0" fillId="0" borderId="8" xfId="1" applyFont="1" applyBorder="1" applyAlignment="1">
      <alignment horizontal="center"/>
    </xf>
    <xf numFmtId="43" fontId="0" fillId="0" borderId="9" xfId="1" applyFont="1" applyBorder="1" applyAlignment="1">
      <alignment horizontal="center"/>
    </xf>
    <xf numFmtId="0" fontId="3" fillId="6" borderId="0" xfId="0" applyFont="1" applyFill="1" applyAlignment="1">
      <alignment horizontal="center"/>
    </xf>
    <xf numFmtId="43" fontId="0" fillId="8" borderId="12" xfId="1" applyFont="1" applyFill="1" applyBorder="1" applyAlignment="1">
      <alignment horizontal="center"/>
    </xf>
    <xf numFmtId="0" fontId="7"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right" vertical="center"/>
    </xf>
    <xf numFmtId="0" fontId="2" fillId="0" borderId="1" xfId="0" applyFont="1" applyBorder="1" applyAlignment="1">
      <alignment horizontal="center" vertical="center" wrapText="1"/>
    </xf>
    <xf numFmtId="165" fontId="0" fillId="0" borderId="1" xfId="0" applyNumberFormat="1" applyBorder="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43" fontId="0" fillId="0" borderId="0" xfId="1" applyFont="1" applyAlignment="1">
      <alignment horizontal="center"/>
    </xf>
  </cellXfs>
  <cellStyles count="4">
    <cellStyle name="Comma" xfId="1" builtinId="3"/>
    <cellStyle name="Currency" xfId="2" builtinId="4"/>
    <cellStyle name="Normal" xfId="0" builtinId="0"/>
    <cellStyle name="Percent" xfId="3" builtinId="5"/>
  </cellStyles>
  <dxfs count="2">
    <dxf>
      <fill>
        <patternFill>
          <bgColor theme="3" tint="0.89996032593768116"/>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14</xdr:col>
      <xdr:colOff>512908</xdr:colOff>
      <xdr:row>34</xdr:row>
      <xdr:rowOff>94532</xdr:rowOff>
    </xdr:to>
    <xdr:pic>
      <xdr:nvPicPr>
        <xdr:cNvPr id="2" name="Picture 1">
          <a:extLst>
            <a:ext uri="{FF2B5EF4-FFF2-40B4-BE49-F238E27FC236}">
              <a16:creationId xmlns:a16="http://schemas.microsoft.com/office/drawing/2014/main" id="{9FCC5AED-97AA-65B5-4B81-680E1F4C46F5}"/>
            </a:ext>
          </a:extLst>
        </xdr:cNvPr>
        <xdr:cNvPicPr>
          <a:picLocks noChangeAspect="1"/>
        </xdr:cNvPicPr>
      </xdr:nvPicPr>
      <xdr:blipFill>
        <a:blip xmlns:r="http://schemas.openxmlformats.org/officeDocument/2006/relationships" r:embed="rId1"/>
        <a:stretch>
          <a:fillRect/>
        </a:stretch>
      </xdr:blipFill>
      <xdr:spPr>
        <a:xfrm>
          <a:off x="0" y="400050"/>
          <a:ext cx="7716327" cy="8507012"/>
        </a:xfrm>
        <a:prstGeom prst="rect">
          <a:avLst/>
        </a:prstGeom>
      </xdr:spPr>
    </xdr:pic>
    <xdr:clientData/>
  </xdr:twoCellAnchor>
  <xdr:twoCellAnchor editAs="oneCell">
    <xdr:from>
      <xdr:col>35</xdr:col>
      <xdr:colOff>0</xdr:colOff>
      <xdr:row>1</xdr:row>
      <xdr:rowOff>175258</xdr:rowOff>
    </xdr:from>
    <xdr:to>
      <xdr:col>44</xdr:col>
      <xdr:colOff>246726</xdr:colOff>
      <xdr:row>21</xdr:row>
      <xdr:rowOff>167640</xdr:rowOff>
    </xdr:to>
    <xdr:pic>
      <xdr:nvPicPr>
        <xdr:cNvPr id="4" name="Picture 3">
          <a:extLst>
            <a:ext uri="{FF2B5EF4-FFF2-40B4-BE49-F238E27FC236}">
              <a16:creationId xmlns:a16="http://schemas.microsoft.com/office/drawing/2014/main" id="{FF580B65-3FC4-7682-890B-426F53EECE7B}"/>
            </a:ext>
          </a:extLst>
        </xdr:cNvPr>
        <xdr:cNvPicPr>
          <a:picLocks noChangeAspect="1"/>
        </xdr:cNvPicPr>
      </xdr:nvPicPr>
      <xdr:blipFill>
        <a:blip xmlns:r="http://schemas.openxmlformats.org/officeDocument/2006/relationships" r:embed="rId2"/>
        <a:stretch>
          <a:fillRect/>
        </a:stretch>
      </xdr:blipFill>
      <xdr:spPr>
        <a:xfrm>
          <a:off x="11296650" y="375283"/>
          <a:ext cx="8619426" cy="5415917"/>
        </a:xfrm>
        <a:prstGeom prst="rect">
          <a:avLst/>
        </a:prstGeom>
      </xdr:spPr>
    </xdr:pic>
    <xdr:clientData/>
  </xdr:twoCellAnchor>
  <xdr:twoCellAnchor editAs="oneCell">
    <xdr:from>
      <xdr:col>19</xdr:col>
      <xdr:colOff>0</xdr:colOff>
      <xdr:row>2</xdr:row>
      <xdr:rowOff>158787</xdr:rowOff>
    </xdr:from>
    <xdr:to>
      <xdr:col>31</xdr:col>
      <xdr:colOff>212113</xdr:colOff>
      <xdr:row>33</xdr:row>
      <xdr:rowOff>136150</xdr:rowOff>
    </xdr:to>
    <xdr:pic>
      <xdr:nvPicPr>
        <xdr:cNvPr id="3" name="Picture 2">
          <a:extLst>
            <a:ext uri="{FF2B5EF4-FFF2-40B4-BE49-F238E27FC236}">
              <a16:creationId xmlns:a16="http://schemas.microsoft.com/office/drawing/2014/main" id="{DFBA55F4-2469-41D2-BB8E-8298A56D5D6D}"/>
            </a:ext>
          </a:extLst>
        </xdr:cNvPr>
        <xdr:cNvPicPr>
          <a:picLocks noChangeAspect="1"/>
        </xdr:cNvPicPr>
      </xdr:nvPicPr>
      <xdr:blipFill>
        <a:blip xmlns:r="http://schemas.openxmlformats.org/officeDocument/2006/relationships" r:embed="rId3"/>
        <a:stretch>
          <a:fillRect/>
        </a:stretch>
      </xdr:blipFill>
      <xdr:spPr>
        <a:xfrm>
          <a:off x="8057029" y="562199"/>
          <a:ext cx="7196964" cy="82904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445770</xdr:colOff>
      <xdr:row>13</xdr:row>
      <xdr:rowOff>7620</xdr:rowOff>
    </xdr:from>
    <xdr:to>
      <xdr:col>37</xdr:col>
      <xdr:colOff>323140</xdr:colOff>
      <xdr:row>49</xdr:row>
      <xdr:rowOff>172476</xdr:rowOff>
    </xdr:to>
    <xdr:pic>
      <xdr:nvPicPr>
        <xdr:cNvPr id="2" name="Picture 1">
          <a:extLst>
            <a:ext uri="{FF2B5EF4-FFF2-40B4-BE49-F238E27FC236}">
              <a16:creationId xmlns:a16="http://schemas.microsoft.com/office/drawing/2014/main" id="{29C8B55E-0BB1-81F9-D957-9E153A27F1AD}"/>
            </a:ext>
          </a:extLst>
        </xdr:cNvPr>
        <xdr:cNvPicPr>
          <a:picLocks noChangeAspect="1"/>
        </xdr:cNvPicPr>
      </xdr:nvPicPr>
      <xdr:blipFill>
        <a:blip xmlns:r="http://schemas.openxmlformats.org/officeDocument/2006/relationships" r:embed="rId1"/>
        <a:stretch>
          <a:fillRect/>
        </a:stretch>
      </xdr:blipFill>
      <xdr:spPr>
        <a:xfrm>
          <a:off x="17171670" y="1807845"/>
          <a:ext cx="8548930" cy="73562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102</xdr:row>
      <xdr:rowOff>0</xdr:rowOff>
    </xdr:from>
    <xdr:to>
      <xdr:col>11</xdr:col>
      <xdr:colOff>206221</xdr:colOff>
      <xdr:row>113</xdr:row>
      <xdr:rowOff>173688</xdr:rowOff>
    </xdr:to>
    <xdr:pic>
      <xdr:nvPicPr>
        <xdr:cNvPr id="2" name="Picture 1">
          <a:extLst>
            <a:ext uri="{FF2B5EF4-FFF2-40B4-BE49-F238E27FC236}">
              <a16:creationId xmlns:a16="http://schemas.microsoft.com/office/drawing/2014/main" id="{A859AB18-8FF2-24F9-E99B-3B7BBED8259A}"/>
            </a:ext>
          </a:extLst>
        </xdr:cNvPr>
        <xdr:cNvPicPr>
          <a:picLocks noChangeAspect="1"/>
        </xdr:cNvPicPr>
      </xdr:nvPicPr>
      <xdr:blipFill>
        <a:blip xmlns:r="http://schemas.openxmlformats.org/officeDocument/2006/relationships" r:embed="rId1"/>
        <a:stretch>
          <a:fillRect/>
        </a:stretch>
      </xdr:blipFill>
      <xdr:spPr>
        <a:xfrm>
          <a:off x="1333500" y="4400550"/>
          <a:ext cx="7468642" cy="2381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17</xdr:col>
      <xdr:colOff>0</xdr:colOff>
      <xdr:row>78</xdr:row>
      <xdr:rowOff>175260</xdr:rowOff>
    </xdr:from>
    <xdr:ext cx="184731" cy="264560"/>
    <xdr:sp macro="" textlink="">
      <xdr:nvSpPr>
        <xdr:cNvPr id="2" name="TextBox 1">
          <a:extLst>
            <a:ext uri="{FF2B5EF4-FFF2-40B4-BE49-F238E27FC236}">
              <a16:creationId xmlns:a16="http://schemas.microsoft.com/office/drawing/2014/main" id="{4508BCE8-2272-48D9-B329-7474328B7FA3}"/>
            </a:ext>
          </a:extLst>
        </xdr:cNvPr>
        <xdr:cNvSpPr txBox="1"/>
      </xdr:nvSpPr>
      <xdr:spPr>
        <a:xfrm>
          <a:off x="4848225" y="1046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59</xdr:row>
      <xdr:rowOff>175260</xdr:rowOff>
    </xdr:from>
    <xdr:ext cx="184731" cy="264560"/>
    <xdr:sp macro="" textlink="">
      <xdr:nvSpPr>
        <xdr:cNvPr id="3" name="TextBox 2">
          <a:extLst>
            <a:ext uri="{FF2B5EF4-FFF2-40B4-BE49-F238E27FC236}">
              <a16:creationId xmlns:a16="http://schemas.microsoft.com/office/drawing/2014/main" id="{9451C33D-320A-4A7F-B5AA-5C36C816B559}"/>
            </a:ext>
          </a:extLst>
        </xdr:cNvPr>
        <xdr:cNvSpPr txBox="1"/>
      </xdr:nvSpPr>
      <xdr:spPr>
        <a:xfrm>
          <a:off x="4848225" y="755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55</xdr:row>
      <xdr:rowOff>175260</xdr:rowOff>
    </xdr:from>
    <xdr:ext cx="184731" cy="264560"/>
    <xdr:sp macro="" textlink="">
      <xdr:nvSpPr>
        <xdr:cNvPr id="4" name="TextBox 3">
          <a:extLst>
            <a:ext uri="{FF2B5EF4-FFF2-40B4-BE49-F238E27FC236}">
              <a16:creationId xmlns:a16="http://schemas.microsoft.com/office/drawing/2014/main" id="{AE8EB959-C92C-4E42-98B8-79732DC4795F}"/>
            </a:ext>
          </a:extLst>
        </xdr:cNvPr>
        <xdr:cNvSpPr txBox="1"/>
      </xdr:nvSpPr>
      <xdr:spPr>
        <a:xfrm>
          <a:off x="48482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55</xdr:row>
      <xdr:rowOff>175260</xdr:rowOff>
    </xdr:from>
    <xdr:ext cx="184731" cy="264560"/>
    <xdr:sp macro="" textlink="">
      <xdr:nvSpPr>
        <xdr:cNvPr id="5" name="TextBox 4">
          <a:extLst>
            <a:ext uri="{FF2B5EF4-FFF2-40B4-BE49-F238E27FC236}">
              <a16:creationId xmlns:a16="http://schemas.microsoft.com/office/drawing/2014/main" id="{DFF0886E-35FE-4FDB-BD51-19353E0631E0}"/>
            </a:ext>
          </a:extLst>
        </xdr:cNvPr>
        <xdr:cNvSpPr txBox="1"/>
      </xdr:nvSpPr>
      <xdr:spPr>
        <a:xfrm>
          <a:off x="48482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59</xdr:row>
      <xdr:rowOff>175260</xdr:rowOff>
    </xdr:from>
    <xdr:ext cx="184731" cy="264560"/>
    <xdr:sp macro="" textlink="">
      <xdr:nvSpPr>
        <xdr:cNvPr id="6" name="TextBox 5">
          <a:extLst>
            <a:ext uri="{FF2B5EF4-FFF2-40B4-BE49-F238E27FC236}">
              <a16:creationId xmlns:a16="http://schemas.microsoft.com/office/drawing/2014/main" id="{95FB24E7-82E4-4E66-9891-A4F94FDD51CF}"/>
            </a:ext>
          </a:extLst>
        </xdr:cNvPr>
        <xdr:cNvSpPr txBox="1"/>
      </xdr:nvSpPr>
      <xdr:spPr>
        <a:xfrm>
          <a:off x="4848225" y="755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55</xdr:row>
      <xdr:rowOff>175260</xdr:rowOff>
    </xdr:from>
    <xdr:ext cx="184731" cy="264560"/>
    <xdr:sp macro="" textlink="">
      <xdr:nvSpPr>
        <xdr:cNvPr id="7" name="TextBox 6">
          <a:extLst>
            <a:ext uri="{FF2B5EF4-FFF2-40B4-BE49-F238E27FC236}">
              <a16:creationId xmlns:a16="http://schemas.microsoft.com/office/drawing/2014/main" id="{B12F5822-A6E3-41F7-91E1-12B535540AC3}"/>
            </a:ext>
          </a:extLst>
        </xdr:cNvPr>
        <xdr:cNvSpPr txBox="1"/>
      </xdr:nvSpPr>
      <xdr:spPr>
        <a:xfrm>
          <a:off x="48482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55</xdr:row>
      <xdr:rowOff>175260</xdr:rowOff>
    </xdr:from>
    <xdr:ext cx="184731" cy="264560"/>
    <xdr:sp macro="" textlink="">
      <xdr:nvSpPr>
        <xdr:cNvPr id="8" name="TextBox 7">
          <a:extLst>
            <a:ext uri="{FF2B5EF4-FFF2-40B4-BE49-F238E27FC236}">
              <a16:creationId xmlns:a16="http://schemas.microsoft.com/office/drawing/2014/main" id="{6EF05D26-1B97-4B89-AAE2-3EA1FF071077}"/>
            </a:ext>
          </a:extLst>
        </xdr:cNvPr>
        <xdr:cNvSpPr txBox="1"/>
      </xdr:nvSpPr>
      <xdr:spPr>
        <a:xfrm>
          <a:off x="48482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87</xdr:row>
      <xdr:rowOff>175260</xdr:rowOff>
    </xdr:from>
    <xdr:ext cx="184731" cy="264560"/>
    <xdr:sp macro="" textlink="">
      <xdr:nvSpPr>
        <xdr:cNvPr id="9" name="TextBox 8">
          <a:extLst>
            <a:ext uri="{FF2B5EF4-FFF2-40B4-BE49-F238E27FC236}">
              <a16:creationId xmlns:a16="http://schemas.microsoft.com/office/drawing/2014/main" id="{197A6389-35F2-4854-9F52-C1AB050B12AB}"/>
            </a:ext>
          </a:extLst>
        </xdr:cNvPr>
        <xdr:cNvSpPr txBox="1"/>
      </xdr:nvSpPr>
      <xdr:spPr>
        <a:xfrm>
          <a:off x="4848225"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87</xdr:row>
      <xdr:rowOff>175260</xdr:rowOff>
    </xdr:from>
    <xdr:ext cx="184731" cy="264560"/>
    <xdr:sp macro="" textlink="">
      <xdr:nvSpPr>
        <xdr:cNvPr id="10" name="TextBox 9">
          <a:extLst>
            <a:ext uri="{FF2B5EF4-FFF2-40B4-BE49-F238E27FC236}">
              <a16:creationId xmlns:a16="http://schemas.microsoft.com/office/drawing/2014/main" id="{EC53DC7D-0200-4EC0-8731-F0268ED4B377}"/>
            </a:ext>
          </a:extLst>
        </xdr:cNvPr>
        <xdr:cNvSpPr txBox="1"/>
      </xdr:nvSpPr>
      <xdr:spPr>
        <a:xfrm>
          <a:off x="4848225"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65</xdr:row>
      <xdr:rowOff>175260</xdr:rowOff>
    </xdr:from>
    <xdr:ext cx="184731" cy="264560"/>
    <xdr:sp macro="" textlink="">
      <xdr:nvSpPr>
        <xdr:cNvPr id="11" name="TextBox 10">
          <a:extLst>
            <a:ext uri="{FF2B5EF4-FFF2-40B4-BE49-F238E27FC236}">
              <a16:creationId xmlns:a16="http://schemas.microsoft.com/office/drawing/2014/main" id="{05A18276-BE20-4B12-B862-A74E4E891F0A}"/>
            </a:ext>
          </a:extLst>
        </xdr:cNvPr>
        <xdr:cNvSpPr txBox="1"/>
      </xdr:nvSpPr>
      <xdr:spPr>
        <a:xfrm>
          <a:off x="4848225" y="119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65</xdr:row>
      <xdr:rowOff>175260</xdr:rowOff>
    </xdr:from>
    <xdr:ext cx="184731" cy="264560"/>
    <xdr:sp macro="" textlink="">
      <xdr:nvSpPr>
        <xdr:cNvPr id="12" name="TextBox 11">
          <a:extLst>
            <a:ext uri="{FF2B5EF4-FFF2-40B4-BE49-F238E27FC236}">
              <a16:creationId xmlns:a16="http://schemas.microsoft.com/office/drawing/2014/main" id="{D11916A9-F5B4-4AE7-A5D7-71F053EA6A8F}"/>
            </a:ext>
          </a:extLst>
        </xdr:cNvPr>
        <xdr:cNvSpPr txBox="1"/>
      </xdr:nvSpPr>
      <xdr:spPr>
        <a:xfrm>
          <a:off x="4848225" y="119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265</xdr:row>
      <xdr:rowOff>0</xdr:rowOff>
    </xdr:from>
    <xdr:ext cx="184731" cy="264560"/>
    <xdr:sp macro="" textlink="">
      <xdr:nvSpPr>
        <xdr:cNvPr id="13" name="TextBox 12">
          <a:extLst>
            <a:ext uri="{FF2B5EF4-FFF2-40B4-BE49-F238E27FC236}">
              <a16:creationId xmlns:a16="http://schemas.microsoft.com/office/drawing/2014/main" id="{0A533048-2D32-4C03-899D-048E8C258956}"/>
            </a:ext>
          </a:extLst>
        </xdr:cNvPr>
        <xdr:cNvSpPr txBox="1"/>
      </xdr:nvSpPr>
      <xdr:spPr>
        <a:xfrm>
          <a:off x="4848225" y="1192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265</xdr:row>
      <xdr:rowOff>0</xdr:rowOff>
    </xdr:from>
    <xdr:ext cx="184731" cy="264560"/>
    <xdr:sp macro="" textlink="">
      <xdr:nvSpPr>
        <xdr:cNvPr id="14" name="TextBox 13">
          <a:extLst>
            <a:ext uri="{FF2B5EF4-FFF2-40B4-BE49-F238E27FC236}">
              <a16:creationId xmlns:a16="http://schemas.microsoft.com/office/drawing/2014/main" id="{62D5BCC6-0695-4EC3-B484-9DB3DF88CB3B}"/>
            </a:ext>
          </a:extLst>
        </xdr:cNvPr>
        <xdr:cNvSpPr txBox="1"/>
      </xdr:nvSpPr>
      <xdr:spPr>
        <a:xfrm>
          <a:off x="4848225" y="1192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89</xdr:row>
      <xdr:rowOff>0</xdr:rowOff>
    </xdr:from>
    <xdr:ext cx="184731" cy="264560"/>
    <xdr:sp macro="" textlink="">
      <xdr:nvSpPr>
        <xdr:cNvPr id="15" name="TextBox 14">
          <a:extLst>
            <a:ext uri="{FF2B5EF4-FFF2-40B4-BE49-F238E27FC236}">
              <a16:creationId xmlns:a16="http://schemas.microsoft.com/office/drawing/2014/main" id="{E3901470-EBC6-4F8D-9A6E-626955F61141}"/>
            </a:ext>
          </a:extLst>
        </xdr:cNvPr>
        <xdr:cNvSpPr txBox="1"/>
      </xdr:nvSpPr>
      <xdr:spPr>
        <a:xfrm>
          <a:off x="4848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89</xdr:row>
      <xdr:rowOff>0</xdr:rowOff>
    </xdr:from>
    <xdr:ext cx="184731" cy="264560"/>
    <xdr:sp macro="" textlink="">
      <xdr:nvSpPr>
        <xdr:cNvPr id="16" name="TextBox 15">
          <a:extLst>
            <a:ext uri="{FF2B5EF4-FFF2-40B4-BE49-F238E27FC236}">
              <a16:creationId xmlns:a16="http://schemas.microsoft.com/office/drawing/2014/main" id="{A4C3D84C-842C-459A-A1CC-C4F3C1B6918B}"/>
            </a:ext>
          </a:extLst>
        </xdr:cNvPr>
        <xdr:cNvSpPr txBox="1"/>
      </xdr:nvSpPr>
      <xdr:spPr>
        <a:xfrm>
          <a:off x="4848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90</xdr:row>
      <xdr:rowOff>175260</xdr:rowOff>
    </xdr:from>
    <xdr:ext cx="184731" cy="264560"/>
    <xdr:sp macro="" textlink="">
      <xdr:nvSpPr>
        <xdr:cNvPr id="17" name="TextBox 16">
          <a:extLst>
            <a:ext uri="{FF2B5EF4-FFF2-40B4-BE49-F238E27FC236}">
              <a16:creationId xmlns:a16="http://schemas.microsoft.com/office/drawing/2014/main" id="{6575812B-F5D4-4677-BFE0-8FEDE0773B65}"/>
            </a:ext>
          </a:extLst>
        </xdr:cNvPr>
        <xdr:cNvSpPr txBox="1"/>
      </xdr:nvSpPr>
      <xdr:spPr>
        <a:xfrm>
          <a:off x="48482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90</xdr:row>
      <xdr:rowOff>175260</xdr:rowOff>
    </xdr:from>
    <xdr:ext cx="184731" cy="264560"/>
    <xdr:sp macro="" textlink="">
      <xdr:nvSpPr>
        <xdr:cNvPr id="18" name="TextBox 17">
          <a:extLst>
            <a:ext uri="{FF2B5EF4-FFF2-40B4-BE49-F238E27FC236}">
              <a16:creationId xmlns:a16="http://schemas.microsoft.com/office/drawing/2014/main" id="{0C9F4592-6724-45F6-8958-828E4A2C2299}"/>
            </a:ext>
          </a:extLst>
        </xdr:cNvPr>
        <xdr:cNvSpPr txBox="1"/>
      </xdr:nvSpPr>
      <xdr:spPr>
        <a:xfrm>
          <a:off x="48482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87</xdr:row>
      <xdr:rowOff>175260</xdr:rowOff>
    </xdr:from>
    <xdr:ext cx="184731" cy="264560"/>
    <xdr:sp macro="" textlink="">
      <xdr:nvSpPr>
        <xdr:cNvPr id="19" name="TextBox 18">
          <a:extLst>
            <a:ext uri="{FF2B5EF4-FFF2-40B4-BE49-F238E27FC236}">
              <a16:creationId xmlns:a16="http://schemas.microsoft.com/office/drawing/2014/main" id="{29BD2724-79DD-49B8-BC18-14E278F5DDE5}"/>
            </a:ext>
          </a:extLst>
        </xdr:cNvPr>
        <xdr:cNvSpPr txBox="1"/>
      </xdr:nvSpPr>
      <xdr:spPr>
        <a:xfrm>
          <a:off x="4848225"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87</xdr:row>
      <xdr:rowOff>175260</xdr:rowOff>
    </xdr:from>
    <xdr:ext cx="184731" cy="264560"/>
    <xdr:sp macro="" textlink="">
      <xdr:nvSpPr>
        <xdr:cNvPr id="20" name="TextBox 19">
          <a:extLst>
            <a:ext uri="{FF2B5EF4-FFF2-40B4-BE49-F238E27FC236}">
              <a16:creationId xmlns:a16="http://schemas.microsoft.com/office/drawing/2014/main" id="{E0CDA2A3-E87F-48D8-9EFA-3D2971E4DC9B}"/>
            </a:ext>
          </a:extLst>
        </xdr:cNvPr>
        <xdr:cNvSpPr txBox="1"/>
      </xdr:nvSpPr>
      <xdr:spPr>
        <a:xfrm>
          <a:off x="4848225"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65</xdr:row>
      <xdr:rowOff>175260</xdr:rowOff>
    </xdr:from>
    <xdr:ext cx="184731" cy="264560"/>
    <xdr:sp macro="" textlink="">
      <xdr:nvSpPr>
        <xdr:cNvPr id="21" name="TextBox 20">
          <a:extLst>
            <a:ext uri="{FF2B5EF4-FFF2-40B4-BE49-F238E27FC236}">
              <a16:creationId xmlns:a16="http://schemas.microsoft.com/office/drawing/2014/main" id="{7FD913F7-7B1A-4A03-8AA3-EFA3DE8333E6}"/>
            </a:ext>
          </a:extLst>
        </xdr:cNvPr>
        <xdr:cNvSpPr txBox="1"/>
      </xdr:nvSpPr>
      <xdr:spPr>
        <a:xfrm>
          <a:off x="4848225" y="119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65</xdr:row>
      <xdr:rowOff>175260</xdr:rowOff>
    </xdr:from>
    <xdr:ext cx="184731" cy="264560"/>
    <xdr:sp macro="" textlink="">
      <xdr:nvSpPr>
        <xdr:cNvPr id="22" name="TextBox 21">
          <a:extLst>
            <a:ext uri="{FF2B5EF4-FFF2-40B4-BE49-F238E27FC236}">
              <a16:creationId xmlns:a16="http://schemas.microsoft.com/office/drawing/2014/main" id="{4A270AED-4EEB-48C1-8E8B-416884F240BE}"/>
            </a:ext>
          </a:extLst>
        </xdr:cNvPr>
        <xdr:cNvSpPr txBox="1"/>
      </xdr:nvSpPr>
      <xdr:spPr>
        <a:xfrm>
          <a:off x="4848225" y="119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265</xdr:row>
      <xdr:rowOff>0</xdr:rowOff>
    </xdr:from>
    <xdr:ext cx="184731" cy="264560"/>
    <xdr:sp macro="" textlink="">
      <xdr:nvSpPr>
        <xdr:cNvPr id="23" name="TextBox 22">
          <a:extLst>
            <a:ext uri="{FF2B5EF4-FFF2-40B4-BE49-F238E27FC236}">
              <a16:creationId xmlns:a16="http://schemas.microsoft.com/office/drawing/2014/main" id="{C4206B61-457C-425F-B30A-878CC6D664EB}"/>
            </a:ext>
          </a:extLst>
        </xdr:cNvPr>
        <xdr:cNvSpPr txBox="1"/>
      </xdr:nvSpPr>
      <xdr:spPr>
        <a:xfrm>
          <a:off x="4848225" y="1192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0</xdr:colOff>
      <xdr:row>90</xdr:row>
      <xdr:rowOff>175260</xdr:rowOff>
    </xdr:from>
    <xdr:ext cx="184731" cy="264560"/>
    <xdr:sp macro="" textlink="">
      <xdr:nvSpPr>
        <xdr:cNvPr id="24" name="TextBox 23">
          <a:extLst>
            <a:ext uri="{FF2B5EF4-FFF2-40B4-BE49-F238E27FC236}">
              <a16:creationId xmlns:a16="http://schemas.microsoft.com/office/drawing/2014/main" id="{3865C667-2011-4B49-99E2-05F714FE1000}"/>
            </a:ext>
          </a:extLst>
        </xdr:cNvPr>
        <xdr:cNvSpPr txBox="1"/>
      </xdr:nvSpPr>
      <xdr:spPr>
        <a:xfrm>
          <a:off x="48482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105</xdr:row>
      <xdr:rowOff>175260</xdr:rowOff>
    </xdr:from>
    <xdr:ext cx="184731" cy="264560"/>
    <xdr:sp macro="" textlink="">
      <xdr:nvSpPr>
        <xdr:cNvPr id="25" name="TextBox 24">
          <a:extLst>
            <a:ext uri="{FF2B5EF4-FFF2-40B4-BE49-F238E27FC236}">
              <a16:creationId xmlns:a16="http://schemas.microsoft.com/office/drawing/2014/main" id="{80480F86-4CD3-4282-8348-7C2C3D886588}"/>
            </a:ext>
          </a:extLst>
        </xdr:cNvPr>
        <xdr:cNvSpPr txBox="1"/>
      </xdr:nvSpPr>
      <xdr:spPr>
        <a:xfrm>
          <a:off x="12420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87</xdr:row>
      <xdr:rowOff>175260</xdr:rowOff>
    </xdr:from>
    <xdr:ext cx="184731" cy="264560"/>
    <xdr:sp macro="" textlink="">
      <xdr:nvSpPr>
        <xdr:cNvPr id="26" name="TextBox 25">
          <a:extLst>
            <a:ext uri="{FF2B5EF4-FFF2-40B4-BE49-F238E27FC236}">
              <a16:creationId xmlns:a16="http://schemas.microsoft.com/office/drawing/2014/main" id="{FB664B88-8190-44CB-8D65-78372301729C}"/>
            </a:ext>
          </a:extLst>
        </xdr:cNvPr>
        <xdr:cNvSpPr txBox="1"/>
      </xdr:nvSpPr>
      <xdr:spPr>
        <a:xfrm>
          <a:off x="12420600"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83</xdr:row>
      <xdr:rowOff>175260</xdr:rowOff>
    </xdr:from>
    <xdr:ext cx="184731" cy="264560"/>
    <xdr:sp macro="" textlink="">
      <xdr:nvSpPr>
        <xdr:cNvPr id="27" name="TextBox 26">
          <a:extLst>
            <a:ext uri="{FF2B5EF4-FFF2-40B4-BE49-F238E27FC236}">
              <a16:creationId xmlns:a16="http://schemas.microsoft.com/office/drawing/2014/main" id="{3B907F6C-19AE-4CD2-AD28-6FF5CA02A3AD}"/>
            </a:ext>
          </a:extLst>
        </xdr:cNvPr>
        <xdr:cNvSpPr txBox="1"/>
      </xdr:nvSpPr>
      <xdr:spPr>
        <a:xfrm>
          <a:off x="12420600" y="717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83</xdr:row>
      <xdr:rowOff>175260</xdr:rowOff>
    </xdr:from>
    <xdr:ext cx="184731" cy="264560"/>
    <xdr:sp macro="" textlink="">
      <xdr:nvSpPr>
        <xdr:cNvPr id="28" name="TextBox 27">
          <a:extLst>
            <a:ext uri="{FF2B5EF4-FFF2-40B4-BE49-F238E27FC236}">
              <a16:creationId xmlns:a16="http://schemas.microsoft.com/office/drawing/2014/main" id="{62646C08-EF54-4361-858C-4619F550EBA1}"/>
            </a:ext>
          </a:extLst>
        </xdr:cNvPr>
        <xdr:cNvSpPr txBox="1"/>
      </xdr:nvSpPr>
      <xdr:spPr>
        <a:xfrm>
          <a:off x="12420600" y="717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87</xdr:row>
      <xdr:rowOff>175260</xdr:rowOff>
    </xdr:from>
    <xdr:ext cx="184731" cy="264560"/>
    <xdr:sp macro="" textlink="">
      <xdr:nvSpPr>
        <xdr:cNvPr id="29" name="TextBox 28">
          <a:extLst>
            <a:ext uri="{FF2B5EF4-FFF2-40B4-BE49-F238E27FC236}">
              <a16:creationId xmlns:a16="http://schemas.microsoft.com/office/drawing/2014/main" id="{39CF2241-6B15-4FFF-8826-5E6D38107575}"/>
            </a:ext>
          </a:extLst>
        </xdr:cNvPr>
        <xdr:cNvSpPr txBox="1"/>
      </xdr:nvSpPr>
      <xdr:spPr>
        <a:xfrm>
          <a:off x="12420600"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83</xdr:row>
      <xdr:rowOff>175260</xdr:rowOff>
    </xdr:from>
    <xdr:ext cx="184731" cy="264560"/>
    <xdr:sp macro="" textlink="">
      <xdr:nvSpPr>
        <xdr:cNvPr id="30" name="TextBox 29">
          <a:extLst>
            <a:ext uri="{FF2B5EF4-FFF2-40B4-BE49-F238E27FC236}">
              <a16:creationId xmlns:a16="http://schemas.microsoft.com/office/drawing/2014/main" id="{197C9FC0-EE75-4E4D-BA47-5683379E812A}"/>
            </a:ext>
          </a:extLst>
        </xdr:cNvPr>
        <xdr:cNvSpPr txBox="1"/>
      </xdr:nvSpPr>
      <xdr:spPr>
        <a:xfrm>
          <a:off x="12420600" y="717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83</xdr:row>
      <xdr:rowOff>175260</xdr:rowOff>
    </xdr:from>
    <xdr:ext cx="184731" cy="264560"/>
    <xdr:sp macro="" textlink="">
      <xdr:nvSpPr>
        <xdr:cNvPr id="31" name="TextBox 30">
          <a:extLst>
            <a:ext uri="{FF2B5EF4-FFF2-40B4-BE49-F238E27FC236}">
              <a16:creationId xmlns:a16="http://schemas.microsoft.com/office/drawing/2014/main" id="{66E496C4-2C7D-43F9-92EE-C0F4D9A7DD2C}"/>
            </a:ext>
          </a:extLst>
        </xdr:cNvPr>
        <xdr:cNvSpPr txBox="1"/>
      </xdr:nvSpPr>
      <xdr:spPr>
        <a:xfrm>
          <a:off x="12420600" y="717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114</xdr:row>
      <xdr:rowOff>175260</xdr:rowOff>
    </xdr:from>
    <xdr:ext cx="184731" cy="264560"/>
    <xdr:sp macro="" textlink="">
      <xdr:nvSpPr>
        <xdr:cNvPr id="32" name="TextBox 31">
          <a:extLst>
            <a:ext uri="{FF2B5EF4-FFF2-40B4-BE49-F238E27FC236}">
              <a16:creationId xmlns:a16="http://schemas.microsoft.com/office/drawing/2014/main" id="{4622C10D-63E0-4CDA-AAC7-DCD0DA3437BE}"/>
            </a:ext>
          </a:extLst>
        </xdr:cNvPr>
        <xdr:cNvSpPr txBox="1"/>
      </xdr:nvSpPr>
      <xdr:spPr>
        <a:xfrm>
          <a:off x="124206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114</xdr:row>
      <xdr:rowOff>175260</xdr:rowOff>
    </xdr:from>
    <xdr:ext cx="184731" cy="264560"/>
    <xdr:sp macro="" textlink="">
      <xdr:nvSpPr>
        <xdr:cNvPr id="33" name="TextBox 32">
          <a:extLst>
            <a:ext uri="{FF2B5EF4-FFF2-40B4-BE49-F238E27FC236}">
              <a16:creationId xmlns:a16="http://schemas.microsoft.com/office/drawing/2014/main" id="{973AB4B2-21B1-477D-8165-6DAEF28EFF75}"/>
            </a:ext>
          </a:extLst>
        </xdr:cNvPr>
        <xdr:cNvSpPr txBox="1"/>
      </xdr:nvSpPr>
      <xdr:spPr>
        <a:xfrm>
          <a:off x="124206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116</xdr:row>
      <xdr:rowOff>175260</xdr:rowOff>
    </xdr:from>
    <xdr:ext cx="184731" cy="264560"/>
    <xdr:sp macro="" textlink="">
      <xdr:nvSpPr>
        <xdr:cNvPr id="34" name="TextBox 33">
          <a:extLst>
            <a:ext uri="{FF2B5EF4-FFF2-40B4-BE49-F238E27FC236}">
              <a16:creationId xmlns:a16="http://schemas.microsoft.com/office/drawing/2014/main" id="{65551377-23E2-4626-B7D2-53854A1700C8}"/>
            </a:ext>
          </a:extLst>
        </xdr:cNvPr>
        <xdr:cNvSpPr txBox="1"/>
      </xdr:nvSpPr>
      <xdr:spPr>
        <a:xfrm>
          <a:off x="1242060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116</xdr:row>
      <xdr:rowOff>175260</xdr:rowOff>
    </xdr:from>
    <xdr:ext cx="184731" cy="264560"/>
    <xdr:sp macro="" textlink="">
      <xdr:nvSpPr>
        <xdr:cNvPr id="35" name="TextBox 34">
          <a:extLst>
            <a:ext uri="{FF2B5EF4-FFF2-40B4-BE49-F238E27FC236}">
              <a16:creationId xmlns:a16="http://schemas.microsoft.com/office/drawing/2014/main" id="{BF793097-6797-4797-BE98-3AEB588CDE27}"/>
            </a:ext>
          </a:extLst>
        </xdr:cNvPr>
        <xdr:cNvSpPr txBox="1"/>
      </xdr:nvSpPr>
      <xdr:spPr>
        <a:xfrm>
          <a:off x="1242060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117</xdr:row>
      <xdr:rowOff>0</xdr:rowOff>
    </xdr:from>
    <xdr:ext cx="184731" cy="264560"/>
    <xdr:sp macro="" textlink="">
      <xdr:nvSpPr>
        <xdr:cNvPr id="36" name="TextBox 35">
          <a:extLst>
            <a:ext uri="{FF2B5EF4-FFF2-40B4-BE49-F238E27FC236}">
              <a16:creationId xmlns:a16="http://schemas.microsoft.com/office/drawing/2014/main" id="{4FE8CAC5-10F9-44CF-B29B-CD3FA87E560F}"/>
            </a:ext>
          </a:extLst>
        </xdr:cNvPr>
        <xdr:cNvSpPr txBox="1"/>
      </xdr:nvSpPr>
      <xdr:spPr>
        <a:xfrm>
          <a:off x="12420600" y="1319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117</xdr:row>
      <xdr:rowOff>0</xdr:rowOff>
    </xdr:from>
    <xdr:ext cx="184731" cy="264560"/>
    <xdr:sp macro="" textlink="">
      <xdr:nvSpPr>
        <xdr:cNvPr id="37" name="TextBox 36">
          <a:extLst>
            <a:ext uri="{FF2B5EF4-FFF2-40B4-BE49-F238E27FC236}">
              <a16:creationId xmlns:a16="http://schemas.microsoft.com/office/drawing/2014/main" id="{F73F5441-BB53-4184-B8AE-2436DDF2480A}"/>
            </a:ext>
          </a:extLst>
        </xdr:cNvPr>
        <xdr:cNvSpPr txBox="1"/>
      </xdr:nvSpPr>
      <xdr:spPr>
        <a:xfrm>
          <a:off x="12420600" y="1319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117</xdr:row>
      <xdr:rowOff>175260</xdr:rowOff>
    </xdr:from>
    <xdr:ext cx="184731" cy="264560"/>
    <xdr:sp macro="" textlink="">
      <xdr:nvSpPr>
        <xdr:cNvPr id="38" name="TextBox 37">
          <a:extLst>
            <a:ext uri="{FF2B5EF4-FFF2-40B4-BE49-F238E27FC236}">
              <a16:creationId xmlns:a16="http://schemas.microsoft.com/office/drawing/2014/main" id="{8158E98D-0280-4A44-A3F4-61755C740C49}"/>
            </a:ext>
          </a:extLst>
        </xdr:cNvPr>
        <xdr:cNvSpPr txBox="1"/>
      </xdr:nvSpPr>
      <xdr:spPr>
        <a:xfrm>
          <a:off x="12420600" y="1336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117</xdr:row>
      <xdr:rowOff>175260</xdr:rowOff>
    </xdr:from>
    <xdr:ext cx="184731" cy="264560"/>
    <xdr:sp macro="" textlink="">
      <xdr:nvSpPr>
        <xdr:cNvPr id="39" name="TextBox 38">
          <a:extLst>
            <a:ext uri="{FF2B5EF4-FFF2-40B4-BE49-F238E27FC236}">
              <a16:creationId xmlns:a16="http://schemas.microsoft.com/office/drawing/2014/main" id="{F366366E-3079-4ACA-B6DB-E611AD576658}"/>
            </a:ext>
          </a:extLst>
        </xdr:cNvPr>
        <xdr:cNvSpPr txBox="1"/>
      </xdr:nvSpPr>
      <xdr:spPr>
        <a:xfrm>
          <a:off x="12420600" y="1336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119</xdr:row>
      <xdr:rowOff>175260</xdr:rowOff>
    </xdr:from>
    <xdr:ext cx="184731" cy="264560"/>
    <xdr:sp macro="" textlink="">
      <xdr:nvSpPr>
        <xdr:cNvPr id="40" name="TextBox 39">
          <a:extLst>
            <a:ext uri="{FF2B5EF4-FFF2-40B4-BE49-F238E27FC236}">
              <a16:creationId xmlns:a16="http://schemas.microsoft.com/office/drawing/2014/main" id="{57B2D6EA-C5CB-4742-9AF2-591E12827DF7}"/>
            </a:ext>
          </a:extLst>
        </xdr:cNvPr>
        <xdr:cNvSpPr txBox="1"/>
      </xdr:nvSpPr>
      <xdr:spPr>
        <a:xfrm>
          <a:off x="12420600"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119</xdr:row>
      <xdr:rowOff>175260</xdr:rowOff>
    </xdr:from>
    <xdr:ext cx="184731" cy="264560"/>
    <xdr:sp macro="" textlink="">
      <xdr:nvSpPr>
        <xdr:cNvPr id="41" name="TextBox 40">
          <a:extLst>
            <a:ext uri="{FF2B5EF4-FFF2-40B4-BE49-F238E27FC236}">
              <a16:creationId xmlns:a16="http://schemas.microsoft.com/office/drawing/2014/main" id="{644CE3F9-A3AB-4F5F-A5A8-7CBDFB014CAD}"/>
            </a:ext>
          </a:extLst>
        </xdr:cNvPr>
        <xdr:cNvSpPr txBox="1"/>
      </xdr:nvSpPr>
      <xdr:spPr>
        <a:xfrm>
          <a:off x="12420600"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114</xdr:row>
      <xdr:rowOff>175260</xdr:rowOff>
    </xdr:from>
    <xdr:ext cx="184731" cy="264560"/>
    <xdr:sp macro="" textlink="">
      <xdr:nvSpPr>
        <xdr:cNvPr id="42" name="TextBox 41">
          <a:extLst>
            <a:ext uri="{FF2B5EF4-FFF2-40B4-BE49-F238E27FC236}">
              <a16:creationId xmlns:a16="http://schemas.microsoft.com/office/drawing/2014/main" id="{3CFDC1D9-D970-423B-9E22-A993DA0F85E1}"/>
            </a:ext>
          </a:extLst>
        </xdr:cNvPr>
        <xdr:cNvSpPr txBox="1"/>
      </xdr:nvSpPr>
      <xdr:spPr>
        <a:xfrm>
          <a:off x="124206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114</xdr:row>
      <xdr:rowOff>175260</xdr:rowOff>
    </xdr:from>
    <xdr:ext cx="184731" cy="264560"/>
    <xdr:sp macro="" textlink="">
      <xdr:nvSpPr>
        <xdr:cNvPr id="43" name="TextBox 42">
          <a:extLst>
            <a:ext uri="{FF2B5EF4-FFF2-40B4-BE49-F238E27FC236}">
              <a16:creationId xmlns:a16="http://schemas.microsoft.com/office/drawing/2014/main" id="{F81D1E62-B085-44EE-95FD-1A06FC7F4224}"/>
            </a:ext>
          </a:extLst>
        </xdr:cNvPr>
        <xdr:cNvSpPr txBox="1"/>
      </xdr:nvSpPr>
      <xdr:spPr>
        <a:xfrm>
          <a:off x="124206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116</xdr:row>
      <xdr:rowOff>175260</xdr:rowOff>
    </xdr:from>
    <xdr:ext cx="184731" cy="264560"/>
    <xdr:sp macro="" textlink="">
      <xdr:nvSpPr>
        <xdr:cNvPr id="44" name="TextBox 43">
          <a:extLst>
            <a:ext uri="{FF2B5EF4-FFF2-40B4-BE49-F238E27FC236}">
              <a16:creationId xmlns:a16="http://schemas.microsoft.com/office/drawing/2014/main" id="{FA79F8D8-43A0-4F0D-9DAC-E5CC4F93D3AF}"/>
            </a:ext>
          </a:extLst>
        </xdr:cNvPr>
        <xdr:cNvSpPr txBox="1"/>
      </xdr:nvSpPr>
      <xdr:spPr>
        <a:xfrm>
          <a:off x="1242060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116</xdr:row>
      <xdr:rowOff>175260</xdr:rowOff>
    </xdr:from>
    <xdr:ext cx="184731" cy="264560"/>
    <xdr:sp macro="" textlink="">
      <xdr:nvSpPr>
        <xdr:cNvPr id="45" name="TextBox 44">
          <a:extLst>
            <a:ext uri="{FF2B5EF4-FFF2-40B4-BE49-F238E27FC236}">
              <a16:creationId xmlns:a16="http://schemas.microsoft.com/office/drawing/2014/main" id="{20BC9D43-55CE-49B3-860B-830EC6FBE746}"/>
            </a:ext>
          </a:extLst>
        </xdr:cNvPr>
        <xdr:cNvSpPr txBox="1"/>
      </xdr:nvSpPr>
      <xdr:spPr>
        <a:xfrm>
          <a:off x="1242060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117</xdr:row>
      <xdr:rowOff>0</xdr:rowOff>
    </xdr:from>
    <xdr:ext cx="184731" cy="264560"/>
    <xdr:sp macro="" textlink="">
      <xdr:nvSpPr>
        <xdr:cNvPr id="46" name="TextBox 45">
          <a:extLst>
            <a:ext uri="{FF2B5EF4-FFF2-40B4-BE49-F238E27FC236}">
              <a16:creationId xmlns:a16="http://schemas.microsoft.com/office/drawing/2014/main" id="{0730B844-FE34-45B7-B316-17113834FE0F}"/>
            </a:ext>
          </a:extLst>
        </xdr:cNvPr>
        <xdr:cNvSpPr txBox="1"/>
      </xdr:nvSpPr>
      <xdr:spPr>
        <a:xfrm>
          <a:off x="12420600" y="1319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22</xdr:col>
      <xdr:colOff>0</xdr:colOff>
      <xdr:row>119</xdr:row>
      <xdr:rowOff>175260</xdr:rowOff>
    </xdr:from>
    <xdr:ext cx="184731" cy="264560"/>
    <xdr:sp macro="" textlink="">
      <xdr:nvSpPr>
        <xdr:cNvPr id="47" name="TextBox 46">
          <a:extLst>
            <a:ext uri="{FF2B5EF4-FFF2-40B4-BE49-F238E27FC236}">
              <a16:creationId xmlns:a16="http://schemas.microsoft.com/office/drawing/2014/main" id="{60D3939E-4D9C-4879-874D-43445A2329CC}"/>
            </a:ext>
          </a:extLst>
        </xdr:cNvPr>
        <xdr:cNvSpPr txBox="1"/>
      </xdr:nvSpPr>
      <xdr:spPr>
        <a:xfrm>
          <a:off x="12420600"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24</xdr:col>
      <xdr:colOff>0</xdr:colOff>
      <xdr:row>23</xdr:row>
      <xdr:rowOff>0</xdr:rowOff>
    </xdr:from>
    <xdr:to>
      <xdr:col>38</xdr:col>
      <xdr:colOff>209614</xdr:colOff>
      <xdr:row>443</xdr:row>
      <xdr:rowOff>17762</xdr:rowOff>
    </xdr:to>
    <xdr:pic>
      <xdr:nvPicPr>
        <xdr:cNvPr id="2" name="Picture 1">
          <a:extLst>
            <a:ext uri="{FF2B5EF4-FFF2-40B4-BE49-F238E27FC236}">
              <a16:creationId xmlns:a16="http://schemas.microsoft.com/office/drawing/2014/main" id="{C8730DC1-7AA5-1D90-ED92-AC16EEEDABF5}"/>
            </a:ext>
          </a:extLst>
        </xdr:cNvPr>
        <xdr:cNvPicPr>
          <a:picLocks noChangeAspect="1"/>
        </xdr:cNvPicPr>
      </xdr:nvPicPr>
      <xdr:blipFill>
        <a:blip xmlns:r="http://schemas.openxmlformats.org/officeDocument/2006/relationships" r:embed="rId1"/>
        <a:stretch>
          <a:fillRect/>
        </a:stretch>
      </xdr:blipFill>
      <xdr:spPr>
        <a:xfrm>
          <a:off x="17059275" y="800100"/>
          <a:ext cx="9974067" cy="44202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03b9c8fbfb41fa2d/JSLawless%20Consulting/Nicholasville/Nicholasville%20COSS%20Workpapers%208.21.24%20Nicholasville%20Additions.xlsx" TargetMode="External"/><Relationship Id="rId1" Type="http://schemas.openxmlformats.org/officeDocument/2006/relationships/externalLinkPath" Target="/03b9c8fbfb41fa2d/JSLawless%20Consulting/Nicholasville/Nicholasville%20COSS%20Workpapers%208.21.24%20Nicholasville%20Addi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 Req Increase"/>
      <sheetName val="A-Pro forma Water"/>
      <sheetName val="B &amp; N-LTD"/>
      <sheetName val="C &amp; D-Sys Info &amp; alloca factors"/>
      <sheetName val="E &amp;N-Allocation of Debt Service"/>
      <sheetName val="F-Wholesale Rate Computation"/>
      <sheetName val="G-Allocation of Rev. Req.Retail"/>
      <sheetName val="H &amp; I Calc Water Rates"/>
      <sheetName val="J &amp; S Rate Compare"/>
      <sheetName val="K Across the Board Water Rates"/>
      <sheetName val="M-Pro forma Sewer"/>
      <sheetName val="P - Rev Req Sewer Allocations"/>
      <sheetName val="Q &amp; R Sewer Rates"/>
      <sheetName val="T Across the Board Sewer Rates"/>
      <sheetName val="Current Rates"/>
      <sheetName val="Water Billing Analysis"/>
      <sheetName val="L &amp; U Volumetric increase only"/>
      <sheetName val="Water BA Present Rate Revenue"/>
      <sheetName val="Sewer Billing Analysis"/>
      <sheetName val="Sewer BA Present Rates "/>
      <sheetName val="Emp Wage Bene"/>
      <sheetName val="Water Plant Power"/>
      <sheetName val="Cap Veh Leases"/>
      <sheetName val="Depreciation"/>
      <sheetName val="IS USoA"/>
      <sheetName val="GL Matrix into USoA"/>
      <sheetName val="GL IS Acct Matrix"/>
    </sheetNames>
    <sheetDataSet>
      <sheetData sheetId="0"/>
      <sheetData sheetId="1">
        <row r="52">
          <cell r="X52">
            <v>13361.447935999999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6F54D-B826-4B93-9A63-F6FA7889B6AD}">
  <dimension ref="A1:BL133"/>
  <sheetViews>
    <sheetView showGridLines="0" topLeftCell="A50" workbookViewId="0">
      <selection activeCell="O81" sqref="O81"/>
    </sheetView>
  </sheetViews>
  <sheetFormatPr defaultRowHeight="16" x14ac:dyDescent="0.4"/>
  <cols>
    <col min="1" max="1" width="12.33203125" customWidth="1"/>
    <col min="2" max="2" width="3.08203125" customWidth="1"/>
    <col min="3" max="3" width="10" customWidth="1"/>
    <col min="4" max="4" width="9.08203125" bestFit="1" customWidth="1"/>
    <col min="5" max="5" width="0.9140625" customWidth="1"/>
    <col min="6" max="6" width="12.58203125" bestFit="1" customWidth="1"/>
    <col min="7" max="7" width="0.9140625" customWidth="1"/>
    <col min="8" max="8" width="13.9140625" bestFit="1" customWidth="1"/>
    <col min="9" max="9" width="0.9140625" customWidth="1"/>
    <col min="10" max="10" width="11.08203125" bestFit="1" customWidth="1"/>
    <col min="11" max="11" width="0.9140625" customWidth="1"/>
    <col min="12" max="12" width="12.58203125" customWidth="1"/>
    <col min="13" max="13" width="13.1640625" bestFit="1" customWidth="1"/>
    <col min="17" max="17" width="15.6640625" customWidth="1"/>
    <col min="18" max="18" width="3.5" customWidth="1"/>
    <col min="19" max="19" width="9.9140625" customWidth="1"/>
    <col min="20" max="20" width="9.83203125" customWidth="1"/>
    <col min="21" max="21" width="0.9140625" customWidth="1"/>
    <col min="22" max="22" width="14.4140625" bestFit="1" customWidth="1"/>
    <col min="23" max="23" width="0.9140625" customWidth="1"/>
    <col min="24" max="24" width="14.4140625" bestFit="1" customWidth="1"/>
    <col min="25" max="25" width="0.9140625" customWidth="1"/>
    <col min="26" max="26" width="10.58203125" bestFit="1" customWidth="1"/>
    <col min="27" max="27" width="0.9140625" customWidth="1"/>
    <col min="28" max="28" width="12.58203125" bestFit="1" customWidth="1"/>
    <col min="33" max="33" width="20.83203125" customWidth="1"/>
    <col min="34" max="34" width="10.58203125" bestFit="1" customWidth="1"/>
    <col min="35" max="35" width="25.08203125" customWidth="1"/>
    <col min="39" max="39" width="14.4140625" bestFit="1" customWidth="1"/>
    <col min="40" max="40" width="23.6640625" customWidth="1"/>
    <col min="41" max="41" width="16.5" customWidth="1"/>
    <col min="42" max="42" width="11.58203125" bestFit="1" customWidth="1"/>
    <col min="53" max="53" width="9.08203125" bestFit="1" customWidth="1"/>
    <col min="55" max="55" width="19.08203125" customWidth="1"/>
    <col min="56" max="56" width="12.08203125" bestFit="1" customWidth="1"/>
    <col min="57" max="57" width="10.1640625" bestFit="1" customWidth="1"/>
    <col min="59" max="59" width="11.08203125" bestFit="1" customWidth="1"/>
    <col min="61" max="61" width="18.1640625" bestFit="1" customWidth="1"/>
    <col min="63" max="63" width="10.08203125" bestFit="1" customWidth="1"/>
  </cols>
  <sheetData>
    <row r="1" spans="3:64" x14ac:dyDescent="0.4">
      <c r="C1" t="s">
        <v>44</v>
      </c>
      <c r="T1" s="8" t="s">
        <v>108</v>
      </c>
      <c r="U1" s="8"/>
      <c r="V1" s="8"/>
      <c r="W1" s="8"/>
      <c r="X1" s="8"/>
      <c r="Y1" s="8"/>
      <c r="Z1" s="8"/>
      <c r="AA1" s="8"/>
      <c r="AB1" s="8"/>
      <c r="AC1" s="8"/>
      <c r="AD1" s="8"/>
      <c r="AE1" s="8"/>
      <c r="AF1" s="8"/>
      <c r="AJ1" t="s">
        <v>45</v>
      </c>
    </row>
    <row r="2" spans="3:64" x14ac:dyDescent="0.4">
      <c r="T2" s="8"/>
      <c r="U2" s="8"/>
      <c r="V2" s="8"/>
      <c r="W2" s="8"/>
      <c r="X2" s="8"/>
      <c r="Y2" s="8"/>
      <c r="Z2" s="8"/>
      <c r="AA2" s="8"/>
      <c r="AB2" s="8"/>
      <c r="AC2" s="8"/>
      <c r="AD2" s="8"/>
      <c r="AE2" s="8"/>
      <c r="AF2" s="8"/>
      <c r="BB2" t="s">
        <v>2770</v>
      </c>
    </row>
    <row r="3" spans="3:64" x14ac:dyDescent="0.4">
      <c r="T3" s="8"/>
      <c r="U3" s="8"/>
      <c r="V3" s="8"/>
      <c r="W3" s="8"/>
      <c r="X3" s="8"/>
      <c r="Y3" s="8"/>
      <c r="Z3" s="8"/>
      <c r="AA3" s="8"/>
      <c r="AB3" s="8"/>
      <c r="AC3" s="8"/>
      <c r="AD3" s="8"/>
      <c r="AE3" s="8"/>
      <c r="AF3" s="8"/>
      <c r="AZ3" t="s">
        <v>2771</v>
      </c>
      <c r="BB3" s="294">
        <v>179</v>
      </c>
      <c r="BC3" s="295" t="s">
        <v>2738</v>
      </c>
      <c r="BD3" s="294" t="s">
        <v>2739</v>
      </c>
      <c r="BE3" s="296">
        <v>2023</v>
      </c>
      <c r="BF3" s="296" t="s">
        <v>2740</v>
      </c>
      <c r="BG3" s="297" t="s">
        <v>2741</v>
      </c>
      <c r="BH3" s="296"/>
      <c r="BI3" s="298" t="s">
        <v>2742</v>
      </c>
      <c r="BJ3" s="299">
        <v>46661</v>
      </c>
      <c r="BK3" s="312">
        <v>34112</v>
      </c>
      <c r="BL3" s="313">
        <v>834.65</v>
      </c>
    </row>
    <row r="4" spans="3:64" x14ac:dyDescent="0.4">
      <c r="T4" s="8"/>
      <c r="U4" s="8"/>
      <c r="V4" s="8"/>
      <c r="W4" s="8"/>
      <c r="X4" s="8"/>
      <c r="Y4" s="8"/>
      <c r="Z4" s="8"/>
      <c r="AA4" s="8"/>
      <c r="AB4" s="8"/>
      <c r="AC4" s="8"/>
      <c r="AD4" s="8"/>
      <c r="AE4" s="8"/>
      <c r="AF4" s="8"/>
      <c r="AZ4" t="s">
        <v>414</v>
      </c>
      <c r="BB4" s="300">
        <v>180</v>
      </c>
      <c r="BC4" s="301" t="s">
        <v>2743</v>
      </c>
      <c r="BD4" s="300" t="s">
        <v>2744</v>
      </c>
      <c r="BE4" s="302">
        <v>2024</v>
      </c>
      <c r="BF4" s="302" t="s">
        <v>2740</v>
      </c>
      <c r="BG4" s="303" t="s">
        <v>2745</v>
      </c>
      <c r="BH4" s="302"/>
      <c r="BI4" s="304" t="s">
        <v>2746</v>
      </c>
      <c r="BJ4" s="299">
        <v>46661</v>
      </c>
      <c r="BK4" s="314">
        <v>54574</v>
      </c>
      <c r="BL4" s="315">
        <v>1322.86</v>
      </c>
    </row>
    <row r="5" spans="3:64" x14ac:dyDescent="0.4">
      <c r="T5" s="8"/>
      <c r="U5" s="8"/>
      <c r="V5" s="8"/>
      <c r="W5" s="8"/>
      <c r="X5" s="8"/>
      <c r="Y5" s="8"/>
      <c r="Z5" s="8"/>
      <c r="AA5" s="8"/>
      <c r="AB5" s="8"/>
      <c r="AC5" s="8"/>
      <c r="AD5" s="8"/>
      <c r="AE5" s="8"/>
      <c r="AF5" s="8"/>
      <c r="AZ5" t="s">
        <v>414</v>
      </c>
      <c r="BB5" s="294">
        <v>181</v>
      </c>
      <c r="BC5" s="295" t="s">
        <v>2747</v>
      </c>
      <c r="BD5" s="294" t="s">
        <v>2744</v>
      </c>
      <c r="BE5" s="296">
        <v>2024</v>
      </c>
      <c r="BF5" s="296" t="s">
        <v>2740</v>
      </c>
      <c r="BG5" s="297" t="s">
        <v>2748</v>
      </c>
      <c r="BH5" s="296"/>
      <c r="BI5" s="298" t="s">
        <v>2749</v>
      </c>
      <c r="BJ5" s="299">
        <v>46844</v>
      </c>
      <c r="BK5" s="312">
        <v>49914</v>
      </c>
      <c r="BL5" s="313">
        <v>1209.95</v>
      </c>
    </row>
    <row r="6" spans="3:64" ht="23" customHeight="1" x14ac:dyDescent="0.4">
      <c r="T6" s="8"/>
      <c r="U6" s="8"/>
      <c r="V6" s="8"/>
      <c r="W6" s="8"/>
      <c r="X6" s="8"/>
      <c r="Y6" s="8"/>
      <c r="Z6" s="8"/>
      <c r="AA6" s="8"/>
      <c r="AB6" s="8"/>
      <c r="AC6" s="8"/>
      <c r="AD6" s="8"/>
      <c r="AE6" s="8"/>
      <c r="AF6" s="8"/>
      <c r="AG6" s="14" t="s">
        <v>70</v>
      </c>
      <c r="AH6" s="14" t="s">
        <v>64</v>
      </c>
      <c r="AZ6" t="s">
        <v>2771</v>
      </c>
      <c r="BB6" s="294">
        <v>182</v>
      </c>
      <c r="BC6" s="295" t="s">
        <v>2750</v>
      </c>
      <c r="BD6" s="294" t="s">
        <v>2744</v>
      </c>
      <c r="BE6" s="296">
        <v>2023</v>
      </c>
      <c r="BF6" s="296" t="s">
        <v>2740</v>
      </c>
      <c r="BG6" s="297" t="s">
        <v>2751</v>
      </c>
      <c r="BH6" s="296"/>
      <c r="BI6" s="298" t="s">
        <v>2752</v>
      </c>
      <c r="BJ6" s="299">
        <v>46844</v>
      </c>
      <c r="BK6" s="312">
        <v>41099</v>
      </c>
      <c r="BL6" s="313">
        <v>996.36</v>
      </c>
    </row>
    <row r="7" spans="3:64" ht="23" customHeight="1" x14ac:dyDescent="0.4">
      <c r="T7" s="8"/>
      <c r="U7" s="8"/>
      <c r="V7" s="8"/>
      <c r="W7" s="8"/>
      <c r="X7" s="8"/>
      <c r="Y7" s="8"/>
      <c r="Z7" s="8"/>
      <c r="AA7" s="8"/>
      <c r="AB7" s="8"/>
      <c r="AC7" s="8"/>
      <c r="AD7" s="8"/>
      <c r="AE7" s="8"/>
      <c r="AF7" s="8"/>
      <c r="AG7" s="14" t="s">
        <v>70</v>
      </c>
      <c r="AH7" s="14" t="s">
        <v>64</v>
      </c>
      <c r="AZ7" t="s">
        <v>2771</v>
      </c>
      <c r="BB7" s="294">
        <v>183</v>
      </c>
      <c r="BC7" s="295" t="s">
        <v>2753</v>
      </c>
      <c r="BD7" s="294" t="s">
        <v>2739</v>
      </c>
      <c r="BE7" s="296">
        <v>2024</v>
      </c>
      <c r="BF7" s="296" t="s">
        <v>2740</v>
      </c>
      <c r="BG7" s="297" t="s">
        <v>2741</v>
      </c>
      <c r="BH7" s="296"/>
      <c r="BI7" s="298" t="s">
        <v>2754</v>
      </c>
      <c r="BJ7" s="299">
        <v>47027</v>
      </c>
      <c r="BK7" s="312">
        <v>38708</v>
      </c>
      <c r="BL7" s="313">
        <v>942.85</v>
      </c>
    </row>
    <row r="8" spans="3:64" ht="23" customHeight="1" x14ac:dyDescent="0.4">
      <c r="T8" s="8"/>
      <c r="U8" s="8"/>
      <c r="V8" s="8"/>
      <c r="W8" s="8"/>
      <c r="X8" s="8"/>
      <c r="Y8" s="8"/>
      <c r="Z8" s="8"/>
      <c r="AA8" s="8"/>
      <c r="AB8" s="8"/>
      <c r="AC8" s="8"/>
      <c r="AD8" s="8"/>
      <c r="AE8" s="8"/>
      <c r="AF8" s="8"/>
      <c r="AG8" s="14" t="s">
        <v>70</v>
      </c>
      <c r="AH8" s="14" t="s">
        <v>65</v>
      </c>
      <c r="AZ8" t="s">
        <v>2772</v>
      </c>
      <c r="BB8" s="294">
        <v>184</v>
      </c>
      <c r="BC8" s="295" t="s">
        <v>2755</v>
      </c>
      <c r="BD8" s="294" t="s">
        <v>2756</v>
      </c>
      <c r="BE8" s="296">
        <v>2025</v>
      </c>
      <c r="BF8" s="296" t="s">
        <v>2740</v>
      </c>
      <c r="BG8" s="297" t="s">
        <v>2757</v>
      </c>
      <c r="BH8" s="296"/>
      <c r="BI8" s="298" t="s">
        <v>2758</v>
      </c>
      <c r="BJ8" s="299">
        <v>47392</v>
      </c>
      <c r="BK8" s="312">
        <v>55350</v>
      </c>
      <c r="BL8" s="313">
        <v>1341.35</v>
      </c>
    </row>
    <row r="9" spans="3:64" ht="23" customHeight="1" x14ac:dyDescent="0.4">
      <c r="T9" s="8"/>
      <c r="U9" s="8"/>
      <c r="V9" s="8"/>
      <c r="W9" s="8"/>
      <c r="X9" s="8"/>
      <c r="Y9" s="8"/>
      <c r="Z9" s="8"/>
      <c r="AA9" s="8"/>
      <c r="AB9" s="8"/>
      <c r="AC9" s="8"/>
      <c r="AD9" s="8"/>
      <c r="AE9" s="8"/>
      <c r="AF9" s="8"/>
      <c r="AG9" s="14" t="s">
        <v>70</v>
      </c>
      <c r="AH9" s="14" t="s">
        <v>66</v>
      </c>
      <c r="AZ9" t="s">
        <v>2771</v>
      </c>
      <c r="BB9" s="294">
        <v>185</v>
      </c>
      <c r="BC9" s="295" t="s">
        <v>2759</v>
      </c>
      <c r="BD9" s="294" t="s">
        <v>2739</v>
      </c>
      <c r="BE9" s="296">
        <v>2025</v>
      </c>
      <c r="BF9" s="296" t="s">
        <v>2740</v>
      </c>
      <c r="BG9" s="297" t="s">
        <v>2760</v>
      </c>
      <c r="BH9" s="296"/>
      <c r="BI9" s="298" t="s">
        <v>2761</v>
      </c>
      <c r="BJ9" s="299">
        <v>47392</v>
      </c>
      <c r="BK9" s="312">
        <v>36459</v>
      </c>
      <c r="BL9" s="313">
        <v>883.55</v>
      </c>
    </row>
    <row r="10" spans="3:64" ht="23" customHeight="1" x14ac:dyDescent="0.4">
      <c r="T10" s="8"/>
      <c r="U10" s="8"/>
      <c r="V10" s="8"/>
      <c r="W10" s="8"/>
      <c r="X10" s="8"/>
      <c r="Y10" s="8"/>
      <c r="Z10" s="8"/>
      <c r="AA10" s="8"/>
      <c r="AB10" s="8"/>
      <c r="AC10" s="8"/>
      <c r="AD10" s="8"/>
      <c r="AE10" s="8"/>
      <c r="AF10" s="8"/>
      <c r="AG10" s="16" t="s">
        <v>72</v>
      </c>
      <c r="AH10" s="17" t="s">
        <v>80</v>
      </c>
      <c r="AI10" s="18"/>
      <c r="AU10" s="18" t="s">
        <v>79</v>
      </c>
      <c r="AZ10" t="s">
        <v>2771</v>
      </c>
      <c r="BB10" s="294">
        <v>186</v>
      </c>
      <c r="BC10" s="295" t="s">
        <v>2762</v>
      </c>
      <c r="BD10" s="294" t="s">
        <v>2739</v>
      </c>
      <c r="BE10" s="296">
        <v>2025</v>
      </c>
      <c r="BF10" s="296" t="s">
        <v>2740</v>
      </c>
      <c r="BG10" s="297" t="s">
        <v>2763</v>
      </c>
      <c r="BH10" s="296"/>
      <c r="BI10" s="298" t="s">
        <v>2764</v>
      </c>
      <c r="BJ10" s="299">
        <v>47392</v>
      </c>
      <c r="BK10" s="312">
        <v>34959</v>
      </c>
      <c r="BL10" s="313">
        <v>847.19</v>
      </c>
    </row>
    <row r="11" spans="3:64" ht="23" customHeight="1" x14ac:dyDescent="0.4">
      <c r="T11" s="8"/>
      <c r="U11" s="8"/>
      <c r="V11" s="8"/>
      <c r="W11" s="8"/>
      <c r="X11" s="8"/>
      <c r="Y11" s="8"/>
      <c r="Z11" s="8"/>
      <c r="AA11" s="8"/>
      <c r="AB11" s="8"/>
      <c r="AC11" s="8"/>
      <c r="AD11" s="8"/>
      <c r="AE11" s="8"/>
      <c r="AF11" s="8"/>
      <c r="AG11" s="17" t="s">
        <v>81</v>
      </c>
      <c r="AH11" s="17" t="s">
        <v>82</v>
      </c>
    </row>
    <row r="12" spans="3:64" ht="23" customHeight="1" x14ac:dyDescent="0.4">
      <c r="T12" s="8"/>
      <c r="U12" s="8"/>
      <c r="V12" s="8"/>
      <c r="W12" s="8"/>
      <c r="X12" s="8"/>
      <c r="Y12" s="8"/>
      <c r="Z12" s="8"/>
      <c r="AA12" s="8"/>
      <c r="AB12" s="8"/>
      <c r="AC12" s="8"/>
      <c r="AD12" s="8"/>
      <c r="AE12" s="8"/>
      <c r="AF12" s="8"/>
      <c r="AG12" s="14" t="s">
        <v>70</v>
      </c>
      <c r="AH12" s="14" t="s">
        <v>67</v>
      </c>
      <c r="BB12" s="305" t="s">
        <v>2765</v>
      </c>
      <c r="BC12" s="306" t="s">
        <v>2766</v>
      </c>
      <c r="BD12" s="406" t="s">
        <v>2767</v>
      </c>
      <c r="BE12" s="406"/>
      <c r="BF12" s="307" t="s">
        <v>2768</v>
      </c>
      <c r="BG12" s="307" t="s">
        <v>2769</v>
      </c>
      <c r="BH12" s="307"/>
      <c r="BI12" s="308"/>
      <c r="BJ12" s="309">
        <v>46447</v>
      </c>
      <c r="BK12" s="308"/>
      <c r="BL12" s="316">
        <v>850</v>
      </c>
    </row>
    <row r="13" spans="3:64" ht="23" customHeight="1" x14ac:dyDescent="0.4">
      <c r="T13" s="8"/>
      <c r="U13" s="8"/>
      <c r="V13" s="8"/>
      <c r="W13" s="8"/>
      <c r="X13" s="8"/>
      <c r="Y13" s="8"/>
      <c r="Z13" s="8"/>
      <c r="AA13" s="8"/>
      <c r="AB13" s="8"/>
      <c r="AC13" s="8"/>
      <c r="AD13" s="8"/>
      <c r="AE13" s="8"/>
      <c r="AF13" s="8"/>
      <c r="AG13" s="14" t="s">
        <v>70</v>
      </c>
      <c r="AH13" s="14" t="s">
        <v>68</v>
      </c>
    </row>
    <row r="14" spans="3:64" ht="23" customHeight="1" x14ac:dyDescent="0.4">
      <c r="T14" s="8"/>
      <c r="U14" s="8"/>
      <c r="V14" s="8"/>
      <c r="W14" s="8"/>
      <c r="X14" s="8"/>
      <c r="Y14" s="8"/>
      <c r="Z14" s="8"/>
      <c r="AA14" s="8"/>
      <c r="AB14" s="8"/>
      <c r="AC14" s="8"/>
      <c r="AD14" s="8"/>
      <c r="AE14" s="8"/>
      <c r="AF14" s="8"/>
      <c r="AG14" s="15" t="s">
        <v>71</v>
      </c>
      <c r="AH14" s="15" t="s">
        <v>69</v>
      </c>
      <c r="BE14" t="s">
        <v>2779</v>
      </c>
    </row>
    <row r="15" spans="3:64" ht="23" customHeight="1" x14ac:dyDescent="0.4">
      <c r="T15" s="8"/>
      <c r="U15" s="8"/>
      <c r="V15" s="8"/>
      <c r="W15" s="8"/>
      <c r="X15" s="8"/>
      <c r="Y15" s="8"/>
      <c r="Z15" s="8"/>
      <c r="AA15" s="8"/>
      <c r="AB15" s="8"/>
      <c r="AC15" s="8"/>
      <c r="AD15" s="8"/>
      <c r="AE15" s="8"/>
      <c r="AF15" s="8"/>
      <c r="AG15" s="19" t="s">
        <v>83</v>
      </c>
      <c r="BE15" t="s">
        <v>2780</v>
      </c>
    </row>
    <row r="16" spans="3:64" ht="23" customHeight="1" x14ac:dyDescent="0.4">
      <c r="T16" s="8"/>
      <c r="U16" s="8"/>
      <c r="V16" s="8"/>
      <c r="W16" s="8"/>
      <c r="X16" s="8"/>
      <c r="Y16" s="8"/>
      <c r="Z16" s="8"/>
      <c r="AA16" s="8"/>
      <c r="AB16" s="8"/>
      <c r="AC16" s="8"/>
      <c r="AD16" s="8"/>
      <c r="AE16" s="8"/>
      <c r="AF16" s="8"/>
      <c r="AG16" s="19" t="s">
        <v>78</v>
      </c>
      <c r="AH16" s="19" t="s">
        <v>73</v>
      </c>
      <c r="BE16" t="s">
        <v>2781</v>
      </c>
      <c r="BG16">
        <v>2026</v>
      </c>
      <c r="BI16">
        <v>2027</v>
      </c>
      <c r="BK16">
        <v>2028</v>
      </c>
    </row>
    <row r="17" spans="20:63" ht="23" customHeight="1" x14ac:dyDescent="0.4">
      <c r="T17" s="8"/>
      <c r="U17" s="8"/>
      <c r="V17" s="8"/>
      <c r="W17" s="8"/>
      <c r="X17" s="8"/>
      <c r="Y17" s="8"/>
      <c r="Z17" s="8"/>
      <c r="AA17" s="8"/>
      <c r="AB17" s="8"/>
      <c r="AC17" s="8"/>
      <c r="AD17" s="8"/>
      <c r="AE17" s="8"/>
      <c r="AF17" s="8"/>
      <c r="AG17" s="19" t="s">
        <v>83</v>
      </c>
      <c r="BA17" s="310" t="s">
        <v>2741</v>
      </c>
      <c r="BD17" s="75">
        <v>834.65</v>
      </c>
      <c r="BE17" s="317">
        <f>BJ3</f>
        <v>46661</v>
      </c>
      <c r="BG17">
        <f>BL3*12</f>
        <v>10015.799999999999</v>
      </c>
      <c r="BI17" s="35">
        <f>BD17*10</f>
        <v>8346.5</v>
      </c>
    </row>
    <row r="18" spans="20:63" ht="23" customHeight="1" x14ac:dyDescent="0.4">
      <c r="T18" s="8"/>
      <c r="U18" s="8"/>
      <c r="V18" s="8"/>
      <c r="W18" s="8"/>
      <c r="X18" s="8"/>
      <c r="Y18" s="8"/>
      <c r="Z18" s="8"/>
      <c r="AA18" s="8"/>
      <c r="AB18" s="8"/>
      <c r="AC18" s="8"/>
      <c r="AD18" s="8"/>
      <c r="AE18" s="8"/>
      <c r="AF18" s="8"/>
      <c r="AG18" s="18" t="s">
        <v>105</v>
      </c>
      <c r="BA18" s="310" t="s">
        <v>2745</v>
      </c>
      <c r="BD18" s="75">
        <v>1322.86</v>
      </c>
      <c r="BE18" s="317">
        <f t="shared" ref="BE18:BE24" si="0">BJ4</f>
        <v>46661</v>
      </c>
      <c r="BG18">
        <f>BL4*12</f>
        <v>15874.32</v>
      </c>
      <c r="BI18" s="35">
        <f>BD18*10</f>
        <v>13228.599999999999</v>
      </c>
    </row>
    <row r="19" spans="20:63" ht="23" customHeight="1" x14ac:dyDescent="0.4">
      <c r="T19" s="8"/>
      <c r="U19" s="8"/>
      <c r="V19" s="8"/>
      <c r="W19" s="8"/>
      <c r="X19" s="8"/>
      <c r="Y19" s="8"/>
      <c r="Z19" s="8"/>
      <c r="AA19" s="8"/>
      <c r="AB19" s="8"/>
      <c r="AC19" s="8"/>
      <c r="AD19" s="8"/>
      <c r="AE19" s="8"/>
      <c r="AF19" s="8"/>
      <c r="AG19" s="18" t="s">
        <v>105</v>
      </c>
      <c r="BA19" s="310" t="s">
        <v>2748</v>
      </c>
      <c r="BD19" s="75">
        <v>1209.95</v>
      </c>
      <c r="BE19" s="317">
        <f t="shared" si="0"/>
        <v>46844</v>
      </c>
      <c r="BG19" s="35">
        <f>BD19*12</f>
        <v>14519.400000000001</v>
      </c>
      <c r="BI19" s="35">
        <f>BD19*12</f>
        <v>14519.400000000001</v>
      </c>
      <c r="BK19" s="35">
        <f>BD19*4</f>
        <v>4839.8</v>
      </c>
    </row>
    <row r="20" spans="20:63" ht="25" customHeight="1" x14ac:dyDescent="0.4">
      <c r="T20" s="8"/>
      <c r="U20" s="8"/>
      <c r="V20" s="8"/>
      <c r="W20" s="8"/>
      <c r="X20" s="8"/>
      <c r="Y20" s="8"/>
      <c r="Z20" s="8"/>
      <c r="AA20" s="8"/>
      <c r="AB20" s="8"/>
      <c r="AC20" s="8"/>
      <c r="AD20" s="8"/>
      <c r="AE20" s="8"/>
      <c r="AF20" s="8"/>
      <c r="AG20" s="18" t="s">
        <v>105</v>
      </c>
      <c r="BA20" s="310" t="s">
        <v>2751</v>
      </c>
      <c r="BD20" s="75">
        <v>996.36</v>
      </c>
      <c r="BE20" s="317">
        <f t="shared" si="0"/>
        <v>46844</v>
      </c>
      <c r="BG20" s="35">
        <f t="shared" ref="BG20:BG25" si="1">BD20*12</f>
        <v>11956.32</v>
      </c>
      <c r="BI20" s="35">
        <f t="shared" ref="BI20:BI24" si="2">BD20*12</f>
        <v>11956.32</v>
      </c>
      <c r="BK20" s="35">
        <f t="shared" ref="BK20" si="3">BD20*4</f>
        <v>3985.44</v>
      </c>
    </row>
    <row r="21" spans="20:63" ht="25" customHeight="1" x14ac:dyDescent="0.4">
      <c r="T21" s="8"/>
      <c r="U21" s="8"/>
      <c r="V21" s="8"/>
      <c r="W21" s="8"/>
      <c r="X21" s="8"/>
      <c r="Y21" s="8"/>
      <c r="Z21" s="8"/>
      <c r="AA21" s="8"/>
      <c r="AB21" s="8"/>
      <c r="AC21" s="8"/>
      <c r="AD21" s="8"/>
      <c r="AE21" s="8"/>
      <c r="AF21" s="8"/>
      <c r="BA21" s="310" t="s">
        <v>2741</v>
      </c>
      <c r="BD21" s="75">
        <v>942.85</v>
      </c>
      <c r="BE21" s="317">
        <f t="shared" si="0"/>
        <v>47027</v>
      </c>
      <c r="BG21" s="35">
        <f t="shared" si="1"/>
        <v>11314.2</v>
      </c>
      <c r="BI21" s="35">
        <f t="shared" si="2"/>
        <v>11314.2</v>
      </c>
      <c r="BK21" s="35">
        <f>BD21*10</f>
        <v>9428.5</v>
      </c>
    </row>
    <row r="22" spans="20:63" ht="25" customHeight="1" x14ac:dyDescent="0.4">
      <c r="T22" s="8"/>
      <c r="U22" s="8"/>
      <c r="V22" s="8"/>
      <c r="W22" s="8"/>
      <c r="X22" s="8"/>
      <c r="Y22" s="8"/>
      <c r="Z22" s="8"/>
      <c r="AA22" s="8"/>
      <c r="AB22" s="8"/>
      <c r="AC22" s="8"/>
      <c r="AD22" s="8"/>
      <c r="AE22" s="8"/>
      <c r="AF22" s="8"/>
      <c r="BA22" s="310" t="s">
        <v>2757</v>
      </c>
      <c r="BD22" s="75">
        <v>1341.35</v>
      </c>
      <c r="BE22" s="317">
        <f t="shared" si="0"/>
        <v>47392</v>
      </c>
      <c r="BG22" s="35">
        <f t="shared" si="1"/>
        <v>16096.199999999999</v>
      </c>
      <c r="BI22" s="35">
        <f t="shared" si="2"/>
        <v>16096.199999999999</v>
      </c>
      <c r="BK22" s="35">
        <f>BD22*12</f>
        <v>16096.199999999999</v>
      </c>
    </row>
    <row r="23" spans="20:63" ht="25" customHeight="1" x14ac:dyDescent="0.4">
      <c r="T23" s="8"/>
      <c r="U23" s="8"/>
      <c r="V23" s="8"/>
      <c r="W23" s="8"/>
      <c r="X23" s="8"/>
      <c r="Y23" s="8"/>
      <c r="Z23" s="8"/>
      <c r="AA23" s="8"/>
      <c r="AB23" s="8"/>
      <c r="AC23" s="8"/>
      <c r="AD23" s="8"/>
      <c r="AE23" s="8"/>
      <c r="AF23" s="8"/>
      <c r="AG23" s="18" t="s">
        <v>72</v>
      </c>
      <c r="AH23" s="18" t="s">
        <v>74</v>
      </c>
      <c r="AM23" s="1">
        <v>800000</v>
      </c>
      <c r="AN23">
        <v>3.25</v>
      </c>
      <c r="AO23" t="s">
        <v>77</v>
      </c>
      <c r="AR23" t="s">
        <v>76</v>
      </c>
      <c r="AU23" t="s">
        <v>75</v>
      </c>
      <c r="BA23" s="310" t="s">
        <v>2760</v>
      </c>
      <c r="BD23" s="75">
        <v>883.55</v>
      </c>
      <c r="BE23" s="317">
        <f t="shared" si="0"/>
        <v>47392</v>
      </c>
      <c r="BG23" s="35">
        <f t="shared" si="1"/>
        <v>10602.599999999999</v>
      </c>
      <c r="BI23" s="35">
        <f t="shared" si="2"/>
        <v>10602.599999999999</v>
      </c>
      <c r="BK23" s="35">
        <f>BD23*12</f>
        <v>10602.599999999999</v>
      </c>
    </row>
    <row r="24" spans="20:63" ht="25" customHeight="1" x14ac:dyDescent="0.4">
      <c r="T24" s="8"/>
      <c r="U24" s="8"/>
      <c r="V24" s="8"/>
      <c r="W24" s="8"/>
      <c r="X24" s="8"/>
      <c r="Y24" s="8"/>
      <c r="Z24" s="8"/>
      <c r="AA24" s="8"/>
      <c r="AB24" s="8"/>
      <c r="AC24" s="8"/>
      <c r="AD24" s="8"/>
      <c r="AE24" s="8"/>
      <c r="AF24" s="8"/>
      <c r="AG24" s="18" t="s">
        <v>72</v>
      </c>
      <c r="AH24" t="s">
        <v>106</v>
      </c>
      <c r="AM24" s="1">
        <v>3472921</v>
      </c>
      <c r="AN24">
        <v>0.75</v>
      </c>
      <c r="AU24" t="s">
        <v>107</v>
      </c>
      <c r="BA24" s="310" t="s">
        <v>2760</v>
      </c>
      <c r="BD24" s="75">
        <v>847.19</v>
      </c>
      <c r="BE24" s="317">
        <f t="shared" si="0"/>
        <v>47392</v>
      </c>
      <c r="BG24" s="35">
        <f t="shared" si="1"/>
        <v>10166.280000000001</v>
      </c>
      <c r="BI24" s="35">
        <f t="shared" si="2"/>
        <v>10166.280000000001</v>
      </c>
      <c r="BK24" s="35">
        <f>BD24*12</f>
        <v>10166.280000000001</v>
      </c>
    </row>
    <row r="25" spans="20:63" ht="25" customHeight="1" x14ac:dyDescent="0.4">
      <c r="T25" s="8"/>
      <c r="U25" s="8"/>
      <c r="V25" s="8"/>
      <c r="W25" s="8"/>
      <c r="X25" s="8"/>
      <c r="Y25" s="8"/>
      <c r="Z25" s="8"/>
      <c r="AA25" s="8"/>
      <c r="AB25" s="8"/>
      <c r="AC25" s="8"/>
      <c r="AD25" s="8"/>
      <c r="AE25" s="8"/>
      <c r="AF25" s="8"/>
      <c r="BA25" s="311" t="s">
        <v>2766</v>
      </c>
      <c r="BD25" s="38">
        <v>850</v>
      </c>
      <c r="BE25" s="317">
        <f>BJ12</f>
        <v>46447</v>
      </c>
      <c r="BG25" s="35">
        <f t="shared" si="1"/>
        <v>10200</v>
      </c>
      <c r="BI25" s="35">
        <f>BD25*3</f>
        <v>2550</v>
      </c>
      <c r="BK25" s="35"/>
    </row>
    <row r="26" spans="20:63" ht="25" customHeight="1" x14ac:dyDescent="0.4">
      <c r="T26" s="8"/>
      <c r="U26" s="8"/>
      <c r="V26" s="8"/>
      <c r="W26" s="8"/>
      <c r="X26" s="8"/>
      <c r="Y26" s="8"/>
      <c r="Z26" s="8"/>
      <c r="AA26" s="8"/>
      <c r="AB26" s="8"/>
      <c r="AC26" s="8"/>
      <c r="AD26" s="8"/>
      <c r="AE26" s="8"/>
      <c r="AF26" s="8"/>
    </row>
    <row r="27" spans="20:63" ht="17" customHeight="1" x14ac:dyDescent="0.4">
      <c r="T27" s="8"/>
      <c r="U27" s="8"/>
      <c r="V27" s="8"/>
      <c r="W27" s="8"/>
      <c r="X27" s="8"/>
      <c r="Y27" s="8"/>
      <c r="Z27" s="8"/>
      <c r="AA27" s="8"/>
      <c r="AB27" s="8"/>
      <c r="AC27" s="8"/>
      <c r="AD27" s="8"/>
      <c r="AE27" s="8"/>
      <c r="AF27" s="8"/>
      <c r="BG27" s="35">
        <f>SUM(BG17:BG26)</f>
        <v>110745.12</v>
      </c>
      <c r="BI27" s="35">
        <f>SUM(BI17:BI26)</f>
        <v>98780.1</v>
      </c>
      <c r="BK27" s="35">
        <f>SUM(BK17:BK26)</f>
        <v>55118.819999999992</v>
      </c>
    </row>
    <row r="28" spans="20:63" x14ac:dyDescent="0.4">
      <c r="T28" s="8"/>
      <c r="U28" s="8"/>
      <c r="V28" s="8"/>
      <c r="W28" s="8"/>
      <c r="X28" s="8"/>
      <c r="Y28" s="8"/>
      <c r="Z28" s="8"/>
      <c r="AA28" s="8"/>
      <c r="AB28" s="8"/>
      <c r="AC28" s="8"/>
      <c r="AD28" s="8"/>
      <c r="AE28" s="8"/>
      <c r="AF28" s="8"/>
    </row>
    <row r="29" spans="20:63" x14ac:dyDescent="0.4">
      <c r="T29" s="8"/>
      <c r="U29" s="8"/>
      <c r="V29" s="8"/>
      <c r="W29" s="8"/>
      <c r="X29" s="8"/>
      <c r="Y29" s="8"/>
      <c r="Z29" s="8"/>
      <c r="AA29" s="8"/>
      <c r="AB29" s="8"/>
      <c r="AC29" s="8"/>
      <c r="AD29" s="8"/>
      <c r="AE29" s="8"/>
      <c r="AF29" s="8"/>
      <c r="BA29" t="s">
        <v>3556</v>
      </c>
    </row>
    <row r="30" spans="20:63" x14ac:dyDescent="0.4">
      <c r="T30" s="8"/>
      <c r="U30" s="8"/>
      <c r="V30" s="8"/>
      <c r="W30" s="8"/>
      <c r="X30" s="8"/>
      <c r="Y30" s="8"/>
      <c r="Z30" s="8"/>
      <c r="AA30" s="8"/>
      <c r="AB30" s="8"/>
      <c r="AC30" s="8"/>
      <c r="AD30" s="8"/>
      <c r="AE30" s="8"/>
      <c r="AF30" s="8"/>
    </row>
    <row r="31" spans="20:63" x14ac:dyDescent="0.4">
      <c r="T31" s="8"/>
      <c r="U31" s="8"/>
      <c r="V31" s="8"/>
      <c r="W31" s="8"/>
      <c r="X31" s="8"/>
      <c r="Y31" s="8"/>
      <c r="Z31" s="8"/>
      <c r="AA31" s="8"/>
      <c r="AB31" s="8"/>
      <c r="AC31" s="8"/>
      <c r="AD31" s="8"/>
      <c r="AE31" s="8"/>
      <c r="AF31" s="8"/>
      <c r="BA31" t="s">
        <v>17</v>
      </c>
    </row>
    <row r="32" spans="20:63" x14ac:dyDescent="0.4">
      <c r="T32" s="8"/>
      <c r="U32" s="8"/>
      <c r="V32" s="8"/>
      <c r="W32" s="8"/>
      <c r="X32" s="8"/>
      <c r="Y32" s="8"/>
      <c r="Z32" s="8"/>
      <c r="AA32" s="8"/>
      <c r="AB32" s="8"/>
      <c r="AC32" s="8"/>
      <c r="AD32" s="8"/>
      <c r="AE32" s="8"/>
      <c r="AF32" s="8"/>
      <c r="BA32" t="s">
        <v>3566</v>
      </c>
      <c r="BD32" s="389">
        <f>-BE52</f>
        <v>3895.8754745359033</v>
      </c>
      <c r="BE32" s="131">
        <v>47558</v>
      </c>
      <c r="BG32" s="1">
        <f>BD32*12</f>
        <v>46750.505694430838</v>
      </c>
      <c r="BH32" s="1"/>
      <c r="BI32" s="1">
        <f t="shared" ref="BI32" si="4">BD32*12</f>
        <v>46750.505694430838</v>
      </c>
      <c r="BJ32" s="1"/>
      <c r="BK32" s="1">
        <f t="shared" ref="BK32" si="5">BD32*12</f>
        <v>46750.505694430838</v>
      </c>
    </row>
    <row r="33" spans="20:63" x14ac:dyDescent="0.4">
      <c r="T33" s="8"/>
      <c r="U33" s="8"/>
      <c r="V33" s="8"/>
      <c r="W33" s="8"/>
      <c r="X33" s="8"/>
      <c r="Y33" s="8"/>
      <c r="Z33" s="8"/>
      <c r="AA33" s="8"/>
      <c r="AB33" s="8"/>
      <c r="AC33" s="8"/>
      <c r="AD33" s="8"/>
      <c r="AE33" s="8"/>
      <c r="AF33" s="8"/>
      <c r="BA33" t="s">
        <v>3557</v>
      </c>
      <c r="BD33">
        <v>3203.98</v>
      </c>
      <c r="BE33" s="131">
        <v>46757</v>
      </c>
      <c r="BG33" s="1">
        <f>BD33*12</f>
        <v>38447.760000000002</v>
      </c>
      <c r="BH33" s="1"/>
      <c r="BI33" s="1">
        <f>BD33*12</f>
        <v>38447.760000000002</v>
      </c>
      <c r="BJ33" s="1"/>
      <c r="BK33" s="1">
        <f>BD33</f>
        <v>3203.98</v>
      </c>
    </row>
    <row r="34" spans="20:63" x14ac:dyDescent="0.4">
      <c r="T34" s="8"/>
      <c r="U34" s="8"/>
      <c r="V34" s="8"/>
      <c r="W34" s="8"/>
      <c r="X34" s="8"/>
      <c r="Y34" s="8"/>
      <c r="Z34" s="8"/>
      <c r="AA34" s="8"/>
      <c r="AB34" s="8"/>
      <c r="AC34" s="8"/>
      <c r="AD34" s="8"/>
      <c r="AE34" s="8"/>
      <c r="AF34" s="8"/>
      <c r="BA34" t="s">
        <v>3558</v>
      </c>
      <c r="BD34">
        <v>471.88</v>
      </c>
      <c r="BE34" s="131">
        <v>47589</v>
      </c>
      <c r="BG34" s="1">
        <f>BD34*12</f>
        <v>5662.5599999999995</v>
      </c>
      <c r="BH34" s="1"/>
      <c r="BI34" s="1">
        <f>BD34*12</f>
        <v>5662.5599999999995</v>
      </c>
      <c r="BJ34" s="1"/>
      <c r="BK34" s="1">
        <f>BD34*12</f>
        <v>5662.5599999999995</v>
      </c>
    </row>
    <row r="35" spans="20:63" x14ac:dyDescent="0.4">
      <c r="T35" s="8"/>
      <c r="U35" s="8"/>
      <c r="V35" s="8"/>
      <c r="W35" s="8"/>
      <c r="X35" s="8"/>
      <c r="Y35" s="8"/>
      <c r="Z35" s="8"/>
      <c r="AA35" s="8"/>
      <c r="AB35" s="8"/>
      <c r="AC35" s="8"/>
      <c r="AD35" s="8"/>
      <c r="AE35" s="8"/>
      <c r="AF35" s="8"/>
      <c r="BA35" t="s">
        <v>3567</v>
      </c>
      <c r="BD35">
        <v>2660</v>
      </c>
      <c r="BE35" s="131">
        <v>47939</v>
      </c>
      <c r="BG35" s="1">
        <f t="shared" ref="BG35" si="6">BD35*12</f>
        <v>31920</v>
      </c>
      <c r="BH35" s="1"/>
      <c r="BI35" s="1">
        <f t="shared" ref="BI35" si="7">BD35*12</f>
        <v>31920</v>
      </c>
      <c r="BJ35" s="1"/>
      <c r="BK35" s="1">
        <f t="shared" ref="BK35" si="8">BD35*12</f>
        <v>31920</v>
      </c>
    </row>
    <row r="36" spans="20:63" x14ac:dyDescent="0.4">
      <c r="T36" s="8"/>
      <c r="U36" s="8"/>
      <c r="V36" s="8"/>
      <c r="W36" s="8"/>
      <c r="X36" s="8"/>
      <c r="Y36" s="8"/>
      <c r="Z36" s="8"/>
      <c r="AA36" s="8"/>
      <c r="AB36" s="8"/>
      <c r="AC36" s="8"/>
      <c r="AD36" s="8"/>
      <c r="AE36" s="8"/>
      <c r="AF36" s="8"/>
    </row>
    <row r="37" spans="20:63" x14ac:dyDescent="0.4">
      <c r="T37" s="8"/>
      <c r="U37" s="8"/>
      <c r="V37" s="8"/>
      <c r="W37" s="8"/>
      <c r="X37" s="8"/>
      <c r="Y37" s="8"/>
      <c r="Z37" s="8"/>
      <c r="AA37" s="8"/>
      <c r="AB37" s="8"/>
      <c r="AC37" s="8"/>
      <c r="AD37" s="8"/>
      <c r="AE37" s="8"/>
      <c r="AF37" s="8"/>
    </row>
    <row r="38" spans="20:63" x14ac:dyDescent="0.4">
      <c r="T38" s="8"/>
      <c r="U38" s="8"/>
      <c r="V38" s="8"/>
      <c r="W38" s="8"/>
      <c r="X38" s="8"/>
      <c r="Y38" s="8"/>
      <c r="Z38" s="8"/>
      <c r="AA38" s="8"/>
      <c r="AB38" s="8"/>
      <c r="AC38" s="8"/>
      <c r="AD38" s="8"/>
      <c r="AE38" s="8"/>
      <c r="AF38" s="8"/>
      <c r="BA38" t="s">
        <v>49</v>
      </c>
    </row>
    <row r="39" spans="20:63" x14ac:dyDescent="0.4">
      <c r="T39" s="8"/>
      <c r="U39" s="8"/>
      <c r="V39" s="8"/>
      <c r="W39" s="8"/>
      <c r="X39" s="8"/>
      <c r="Y39" s="8"/>
      <c r="Z39" s="8"/>
      <c r="AA39" s="8"/>
      <c r="AB39" s="8"/>
      <c r="AC39" s="8"/>
      <c r="AD39" s="8"/>
      <c r="AE39" s="8"/>
      <c r="AF39" s="8"/>
      <c r="BA39" t="s">
        <v>3565</v>
      </c>
      <c r="BD39" s="389">
        <f>-BE53</f>
        <v>527.85842760498451</v>
      </c>
      <c r="BE39" s="131">
        <f>BE32</f>
        <v>47558</v>
      </c>
      <c r="BG39" s="1">
        <f>BD39*12</f>
        <v>6334.3011312598137</v>
      </c>
      <c r="BH39" s="1"/>
      <c r="BI39" s="1">
        <f t="shared" ref="BI39" si="9">BD39*12</f>
        <v>6334.3011312598137</v>
      </c>
      <c r="BJ39" s="1"/>
      <c r="BK39" s="1">
        <f t="shared" ref="BK39" si="10">BD39*12</f>
        <v>6334.3011312598137</v>
      </c>
    </row>
    <row r="40" spans="20:63" x14ac:dyDescent="0.4">
      <c r="T40" s="8"/>
      <c r="U40" s="8"/>
      <c r="V40" s="8"/>
      <c r="W40" s="8"/>
      <c r="X40" s="8"/>
      <c r="Y40" s="8"/>
      <c r="Z40" s="8"/>
      <c r="AA40" s="8"/>
      <c r="AB40" s="8"/>
      <c r="AC40" s="8"/>
      <c r="AD40" s="8"/>
      <c r="AE40" s="8"/>
      <c r="AF40" s="8"/>
      <c r="BA40" t="s">
        <v>3559</v>
      </c>
      <c r="BD40">
        <v>1552.08</v>
      </c>
      <c r="BE40" s="131">
        <v>48046</v>
      </c>
      <c r="BG40" s="1">
        <f>BD40*12</f>
        <v>18624.96</v>
      </c>
      <c r="BH40" s="1"/>
      <c r="BI40" s="1">
        <f>BD40*12</f>
        <v>18624.96</v>
      </c>
      <c r="BJ40" s="1"/>
      <c r="BK40" s="1">
        <f>BD40*12</f>
        <v>18624.96</v>
      </c>
    </row>
    <row r="43" spans="20:63" x14ac:dyDescent="0.4">
      <c r="BA43" t="str">
        <f>BA39</f>
        <v>Line of Credit, 2022 Rate Case, 12% to Sewer</v>
      </c>
    </row>
    <row r="44" spans="20:63" x14ac:dyDescent="0.4">
      <c r="BA44" t="s">
        <v>3560</v>
      </c>
      <c r="BD44" s="3">
        <v>192677.42</v>
      </c>
    </row>
    <row r="45" spans="20:63" x14ac:dyDescent="0.4">
      <c r="BA45" t="s">
        <v>3562</v>
      </c>
      <c r="BD45" s="131">
        <v>47558</v>
      </c>
    </row>
    <row r="46" spans="20:63" x14ac:dyDescent="0.4">
      <c r="BA46" t="s">
        <v>3561</v>
      </c>
      <c r="BD46">
        <v>51</v>
      </c>
    </row>
    <row r="47" spans="20:63" x14ac:dyDescent="0.4">
      <c r="BA47" t="s">
        <v>3563</v>
      </c>
      <c r="BD47">
        <v>7.4999999999999997E-2</v>
      </c>
    </row>
    <row r="49" spans="1:57" x14ac:dyDescent="0.4">
      <c r="BA49" t="s">
        <v>3564</v>
      </c>
    </row>
    <row r="50" spans="1:57" x14ac:dyDescent="0.4">
      <c r="BD50" s="389">
        <f>PMT(BD47/12,BD46,BD44)</f>
        <v>-4423.7339021408879</v>
      </c>
    </row>
    <row r="51" spans="1:57" x14ac:dyDescent="0.4">
      <c r="BA51" t="s">
        <v>2818</v>
      </c>
    </row>
    <row r="52" spans="1:57" x14ac:dyDescent="0.4">
      <c r="BA52" t="s">
        <v>17</v>
      </c>
      <c r="BC52">
        <f>'Wages, Bene Pro forma, Temp Emp'!Y211</f>
        <v>16680</v>
      </c>
      <c r="BD52">
        <f>BC52/BC55</f>
        <v>0.88067581837381204</v>
      </c>
      <c r="BE52" s="389">
        <f>BD50*BD52</f>
        <v>-3895.8754745359033</v>
      </c>
    </row>
    <row r="53" spans="1:57" x14ac:dyDescent="0.4">
      <c r="BA53" t="s">
        <v>49</v>
      </c>
      <c r="BC53">
        <f>'Wages, Bene Pro forma, Temp Emp'!Y212</f>
        <v>2260</v>
      </c>
      <c r="BD53">
        <f>BC53/BC55</f>
        <v>0.11932418162618796</v>
      </c>
      <c r="BE53" s="389">
        <f>BD50*BD53</f>
        <v>-527.85842760498451</v>
      </c>
    </row>
    <row r="54" spans="1:57" x14ac:dyDescent="0.4">
      <c r="A54" s="404" t="s">
        <v>3474</v>
      </c>
      <c r="B54" s="404"/>
      <c r="C54" s="404"/>
      <c r="D54" s="404"/>
      <c r="E54" s="404"/>
      <c r="F54" s="404"/>
      <c r="G54" s="404"/>
      <c r="H54" s="404"/>
      <c r="I54" s="404"/>
      <c r="J54" s="404"/>
      <c r="K54" s="404"/>
      <c r="L54" s="404"/>
      <c r="Q54" s="404" t="s">
        <v>3474</v>
      </c>
      <c r="R54" s="404"/>
      <c r="S54" s="404"/>
      <c r="T54" s="404"/>
      <c r="U54" s="404"/>
      <c r="V54" s="404"/>
      <c r="W54" s="404"/>
      <c r="X54" s="404"/>
      <c r="Y54" s="404"/>
      <c r="Z54" s="404"/>
      <c r="AA54" s="404"/>
      <c r="AB54" s="404"/>
    </row>
    <row r="55" spans="1:57" x14ac:dyDescent="0.4">
      <c r="A55" s="404" t="s">
        <v>3475</v>
      </c>
      <c r="B55" s="404"/>
      <c r="C55" s="404"/>
      <c r="D55" s="404"/>
      <c r="E55" s="404"/>
      <c r="F55" s="404"/>
      <c r="G55" s="404"/>
      <c r="H55" s="404"/>
      <c r="I55" s="404"/>
      <c r="J55" s="404"/>
      <c r="K55" s="404"/>
      <c r="L55" s="404"/>
      <c r="Q55" s="404" t="s">
        <v>3475</v>
      </c>
      <c r="R55" s="404"/>
      <c r="S55" s="404"/>
      <c r="T55" s="404"/>
      <c r="U55" s="404"/>
      <c r="V55" s="404"/>
      <c r="W55" s="404"/>
      <c r="X55" s="404"/>
      <c r="Y55" s="404"/>
      <c r="Z55" s="404"/>
      <c r="AA55" s="404"/>
      <c r="AB55" s="404"/>
      <c r="BA55" t="s">
        <v>25</v>
      </c>
      <c r="BC55">
        <f>SUM(BC52:BC54)</f>
        <v>18940</v>
      </c>
      <c r="BD55">
        <f>SUM(BD52:BD54)</f>
        <v>1</v>
      </c>
      <c r="BE55" s="389">
        <f>SUM(BE52:BE53)</f>
        <v>-4423.7339021408879</v>
      </c>
    </row>
    <row r="56" spans="1:57" x14ac:dyDescent="0.4">
      <c r="A56" s="404" t="s">
        <v>3476</v>
      </c>
      <c r="B56" s="404"/>
      <c r="C56" s="404"/>
      <c r="D56" s="404"/>
      <c r="E56" s="404"/>
      <c r="F56" s="404"/>
      <c r="G56" s="404"/>
      <c r="H56" s="404"/>
      <c r="I56" s="404"/>
      <c r="J56" s="404"/>
      <c r="K56" s="404"/>
      <c r="L56" s="404"/>
      <c r="Q56" s="404" t="s">
        <v>3530</v>
      </c>
      <c r="R56" s="404"/>
      <c r="S56" s="404"/>
      <c r="T56" s="404"/>
      <c r="U56" s="404"/>
      <c r="V56" s="404"/>
      <c r="W56" s="404"/>
      <c r="X56" s="404"/>
      <c r="Y56" s="404"/>
      <c r="Z56" s="404"/>
      <c r="AA56" s="404"/>
      <c r="AB56" s="404"/>
    </row>
    <row r="58" spans="1:57" x14ac:dyDescent="0.4">
      <c r="A58" s="401" t="s">
        <v>3477</v>
      </c>
      <c r="B58" s="401"/>
      <c r="C58" s="401"/>
      <c r="D58" s="401"/>
      <c r="E58" s="401"/>
      <c r="F58" s="401"/>
      <c r="G58" s="401"/>
      <c r="H58" s="401"/>
      <c r="I58" s="401"/>
      <c r="J58" s="401"/>
      <c r="K58" s="401"/>
      <c r="L58" s="401"/>
      <c r="Q58" s="401" t="s">
        <v>2778</v>
      </c>
      <c r="R58" s="401"/>
      <c r="S58" s="401"/>
      <c r="T58" s="401"/>
      <c r="U58" s="401"/>
      <c r="V58" s="401"/>
      <c r="W58" s="401"/>
      <c r="X58" s="401"/>
      <c r="Y58" s="401"/>
      <c r="Z58" s="401"/>
      <c r="AA58" s="401"/>
      <c r="AB58" s="401"/>
    </row>
    <row r="59" spans="1:57" x14ac:dyDescent="0.4">
      <c r="F59" s="2"/>
      <c r="G59" s="2"/>
      <c r="H59" s="2"/>
      <c r="I59" s="2"/>
      <c r="J59" s="2" t="s">
        <v>109</v>
      </c>
      <c r="K59" s="2"/>
      <c r="L59" s="2" t="s">
        <v>62</v>
      </c>
      <c r="M59" s="8"/>
      <c r="N59" s="8"/>
      <c r="O59" s="8"/>
      <c r="P59" s="8"/>
      <c r="Q59" s="8"/>
      <c r="R59" s="8"/>
      <c r="S59" s="8"/>
      <c r="V59" s="2"/>
      <c r="W59" s="2"/>
      <c r="X59" s="2"/>
      <c r="Y59" s="2"/>
      <c r="Z59" s="2" t="s">
        <v>109</v>
      </c>
      <c r="AA59" s="2"/>
      <c r="AB59" s="2" t="s">
        <v>62</v>
      </c>
      <c r="AC59" s="8"/>
      <c r="AD59" s="8"/>
      <c r="AE59" s="8"/>
      <c r="AF59" s="8"/>
    </row>
    <row r="60" spans="1:57" x14ac:dyDescent="0.4">
      <c r="D60" s="21" t="s">
        <v>113</v>
      </c>
      <c r="F60" s="22" t="s">
        <v>60</v>
      </c>
      <c r="G60" s="23"/>
      <c r="H60" s="22" t="s">
        <v>61</v>
      </c>
      <c r="I60" s="23"/>
      <c r="J60" s="22" t="s">
        <v>110</v>
      </c>
      <c r="K60" s="23"/>
      <c r="L60" s="22" t="s">
        <v>63</v>
      </c>
      <c r="M60" s="8"/>
      <c r="N60" s="8"/>
      <c r="O60" s="8"/>
      <c r="P60" s="8"/>
      <c r="Q60" s="8"/>
      <c r="R60" s="8"/>
      <c r="S60" s="8"/>
      <c r="T60" s="21" t="s">
        <v>113</v>
      </c>
      <c r="V60" s="22" t="s">
        <v>60</v>
      </c>
      <c r="W60" s="23"/>
      <c r="X60" s="22" t="s">
        <v>61</v>
      </c>
      <c r="Y60" s="23"/>
      <c r="Z60" s="22" t="s">
        <v>110</v>
      </c>
      <c r="AA60" s="23"/>
      <c r="AB60" s="22" t="s">
        <v>63</v>
      </c>
      <c r="AC60" s="8"/>
      <c r="AD60" s="8"/>
      <c r="AE60" s="8"/>
      <c r="AF60" s="8"/>
      <c r="AJ60" s="8" t="s">
        <v>46</v>
      </c>
      <c r="AK60" s="8"/>
      <c r="AL60" s="8"/>
      <c r="AM60" s="8"/>
      <c r="AN60" s="8"/>
      <c r="AO60" s="8"/>
      <c r="AP60" s="8"/>
    </row>
    <row r="61" spans="1:57" x14ac:dyDescent="0.4">
      <c r="F61" s="8"/>
      <c r="G61" s="8"/>
      <c r="H61" s="8"/>
      <c r="I61" s="8"/>
      <c r="J61" s="8"/>
      <c r="K61" s="8"/>
      <c r="L61" s="8"/>
      <c r="M61" s="8"/>
      <c r="N61" s="8"/>
      <c r="O61" s="8"/>
      <c r="P61" s="8"/>
      <c r="Q61" s="8"/>
      <c r="R61" s="8"/>
      <c r="S61" s="8"/>
      <c r="V61" s="8"/>
      <c r="W61" s="8"/>
      <c r="X61" s="8"/>
      <c r="Y61" s="8"/>
      <c r="Z61" s="8"/>
      <c r="AA61" s="8"/>
      <c r="AB61" s="8"/>
      <c r="AC61" s="8"/>
      <c r="AD61" s="8"/>
      <c r="AE61" s="8"/>
      <c r="AF61" s="8"/>
      <c r="AJ61" s="8" t="s">
        <v>47</v>
      </c>
      <c r="AK61" s="8"/>
      <c r="AL61" s="8"/>
      <c r="AM61" s="8"/>
      <c r="AN61" s="8"/>
      <c r="AO61" s="8"/>
      <c r="AP61" s="8"/>
    </row>
    <row r="62" spans="1:57" x14ac:dyDescent="0.4">
      <c r="A62" s="403" t="s">
        <v>115</v>
      </c>
      <c r="B62" s="403"/>
      <c r="C62" s="403"/>
      <c r="D62">
        <v>2026</v>
      </c>
      <c r="F62" s="9">
        <v>62500</v>
      </c>
      <c r="G62" s="8"/>
      <c r="H62" s="9">
        <v>42763</v>
      </c>
      <c r="I62" s="8"/>
      <c r="J62" s="8"/>
      <c r="K62" s="8"/>
      <c r="L62" s="9">
        <f>F62+H62</f>
        <v>105263</v>
      </c>
      <c r="M62" s="8"/>
      <c r="N62" s="8"/>
      <c r="O62" s="8"/>
      <c r="P62" s="8"/>
      <c r="Q62" s="2" t="s">
        <v>116</v>
      </c>
      <c r="R62" s="8"/>
      <c r="S62" s="33"/>
      <c r="T62" s="2">
        <v>2026</v>
      </c>
      <c r="V62" s="9">
        <f>85106.17+85425.32</f>
        <v>170531.49</v>
      </c>
      <c r="W62" s="8"/>
      <c r="X62" s="9">
        <f>8698.74+8379.59</f>
        <v>17078.330000000002</v>
      </c>
      <c r="Z62" s="8">
        <f>2319.66+2234.56</f>
        <v>4554.2199999999993</v>
      </c>
      <c r="AA62" s="8"/>
      <c r="AB62" s="8">
        <f>V62+X62+Z62</f>
        <v>192164.04</v>
      </c>
      <c r="AC62" s="8"/>
      <c r="AD62" s="8"/>
      <c r="AE62" s="8"/>
      <c r="AF62" s="8"/>
      <c r="AJ62" s="8"/>
      <c r="AK62" s="8"/>
      <c r="AL62" s="8"/>
      <c r="AM62" s="8"/>
      <c r="AN62" s="402" t="s">
        <v>48</v>
      </c>
      <c r="AO62" s="402"/>
      <c r="AP62" s="402"/>
    </row>
    <row r="63" spans="1:57" x14ac:dyDescent="0.4">
      <c r="A63" s="25">
        <v>3150000</v>
      </c>
      <c r="B63" s="25" t="s">
        <v>114</v>
      </c>
      <c r="C63" s="28">
        <v>1.5E-3</v>
      </c>
      <c r="D63">
        <v>2027</v>
      </c>
      <c r="F63" s="8">
        <v>63500</v>
      </c>
      <c r="G63" s="8"/>
      <c r="H63" s="8">
        <v>41826</v>
      </c>
      <c r="I63" s="8"/>
      <c r="J63" s="8"/>
      <c r="K63" s="8"/>
      <c r="L63" s="8">
        <f>F63+H63</f>
        <v>105326</v>
      </c>
      <c r="M63" s="8"/>
      <c r="N63" s="8"/>
      <c r="O63" s="8"/>
      <c r="P63" s="8"/>
      <c r="Q63" s="25">
        <v>3472921</v>
      </c>
      <c r="R63" s="8" t="s">
        <v>114</v>
      </c>
      <c r="S63" s="28">
        <v>7.4999999999999997E-3</v>
      </c>
      <c r="T63" s="2">
        <v>2027</v>
      </c>
      <c r="V63" s="8">
        <f>85745.67+86067.2</f>
        <v>171812.87</v>
      </c>
      <c r="W63" s="8"/>
      <c r="X63" s="8">
        <f>8059.24+7737.71</f>
        <v>15796.95</v>
      </c>
      <c r="Y63" s="8"/>
      <c r="Z63" s="8">
        <f>2149.13+2063.38</f>
        <v>4212.51</v>
      </c>
      <c r="AA63" s="8"/>
      <c r="AB63" s="8">
        <f t="shared" ref="AB63" si="11">V63+X63+Z63</f>
        <v>191822.33000000002</v>
      </c>
      <c r="AC63" s="8"/>
      <c r="AD63" s="8"/>
      <c r="AE63" s="8"/>
      <c r="AF63" s="8"/>
      <c r="AJ63" s="8"/>
      <c r="AK63" s="8"/>
      <c r="AL63" s="8"/>
      <c r="AM63" s="8"/>
      <c r="AN63" s="13" t="s">
        <v>17</v>
      </c>
      <c r="AO63" s="13" t="s">
        <v>49</v>
      </c>
      <c r="AP63" s="13" t="s">
        <v>25</v>
      </c>
    </row>
    <row r="64" spans="1:57" x14ac:dyDescent="0.4">
      <c r="D64">
        <v>2028</v>
      </c>
      <c r="F64" s="8">
        <v>64400</v>
      </c>
      <c r="G64" s="8"/>
      <c r="H64" s="8">
        <v>40873</v>
      </c>
      <c r="I64" s="8"/>
      <c r="J64" s="8"/>
      <c r="K64" s="8"/>
      <c r="L64" s="8">
        <f t="shared" ref="L64" si="12">F64+H64</f>
        <v>105273</v>
      </c>
      <c r="M64" s="8">
        <f>SUM(L62:L64)</f>
        <v>315862</v>
      </c>
      <c r="N64" s="8">
        <v>3</v>
      </c>
      <c r="O64" s="8">
        <f>M64/N64</f>
        <v>105287.33333333333</v>
      </c>
      <c r="P64" s="8"/>
      <c r="Q64" s="8"/>
      <c r="R64" s="8"/>
      <c r="S64" s="33"/>
      <c r="T64" s="2">
        <v>2028</v>
      </c>
      <c r="V64" s="8">
        <f>86389.97+86713.93</f>
        <v>173103.9</v>
      </c>
      <c r="W64" s="8"/>
      <c r="X64" s="8">
        <f>7414.94+7090.98</f>
        <v>14505.919999999998</v>
      </c>
      <c r="Y64" s="8"/>
      <c r="Z64" s="8">
        <f>1977.32+1890.93</f>
        <v>3868.25</v>
      </c>
      <c r="AA64" s="8"/>
      <c r="AB64" s="8">
        <f>V64+X64+Z64</f>
        <v>191478.07</v>
      </c>
      <c r="AC64" s="8"/>
      <c r="AD64" s="8" t="e">
        <f>SUM(#REF!)</f>
        <v>#REF!</v>
      </c>
      <c r="AE64">
        <v>3</v>
      </c>
      <c r="AF64" s="24" t="e">
        <f>AD64/AE64</f>
        <v>#REF!</v>
      </c>
      <c r="AJ64" s="8" t="s">
        <v>50</v>
      </c>
      <c r="AK64" s="8"/>
      <c r="AL64" s="8"/>
      <c r="AM64" s="8"/>
      <c r="AN64" s="9">
        <v>800000</v>
      </c>
      <c r="AO64" s="9"/>
      <c r="AP64" s="9">
        <f t="shared" ref="AP64:AP69" si="13">AN64+AO64</f>
        <v>800000</v>
      </c>
    </row>
    <row r="65" spans="1:42" x14ac:dyDescent="0.4">
      <c r="F65" s="8"/>
      <c r="G65" s="8"/>
      <c r="H65" s="8"/>
      <c r="I65" s="8"/>
      <c r="J65" s="8"/>
      <c r="K65" s="8"/>
      <c r="L65" s="8"/>
      <c r="M65" s="8"/>
      <c r="N65" s="8"/>
      <c r="O65" s="8"/>
      <c r="P65" s="8"/>
      <c r="Q65" s="8"/>
      <c r="R65" s="8"/>
      <c r="S65" s="33"/>
      <c r="T65" s="2"/>
      <c r="V65" s="8"/>
      <c r="W65" s="8"/>
      <c r="X65" s="8"/>
      <c r="Y65" s="8"/>
      <c r="Z65" s="8"/>
      <c r="AA65" s="8"/>
      <c r="AB65" s="8"/>
      <c r="AC65" s="8"/>
      <c r="AD65" s="8"/>
      <c r="AF65" s="24"/>
      <c r="AJ65" s="8" t="s">
        <v>51</v>
      </c>
      <c r="AK65" s="8"/>
      <c r="AL65" s="8"/>
      <c r="AM65" s="8"/>
      <c r="AN65" s="8"/>
      <c r="AO65" s="9">
        <v>426000</v>
      </c>
      <c r="AP65" s="8">
        <f t="shared" si="13"/>
        <v>426000</v>
      </c>
    </row>
    <row r="66" spans="1:42" x14ac:dyDescent="0.4">
      <c r="A66" t="s">
        <v>2773</v>
      </c>
      <c r="D66">
        <v>2026</v>
      </c>
      <c r="F66" s="9">
        <f>F80*$AN$85</f>
        <v>276070.81420120958</v>
      </c>
      <c r="G66" s="8"/>
      <c r="H66" s="9">
        <f>H80*$AN$85</f>
        <v>139325.17543570106</v>
      </c>
      <c r="I66" s="8"/>
      <c r="J66" s="8">
        <f>J80*$AN$85</f>
        <v>388.22458247045097</v>
      </c>
      <c r="K66" s="8"/>
      <c r="L66" s="8">
        <f>F66+H66+J66</f>
        <v>415784.21421938104</v>
      </c>
      <c r="M66" s="8"/>
      <c r="N66" s="8"/>
      <c r="O66" s="8"/>
      <c r="P66" s="8"/>
      <c r="Q66" s="27" t="s">
        <v>117</v>
      </c>
      <c r="R66" s="8"/>
      <c r="S66" s="33"/>
      <c r="T66" s="2">
        <v>2026</v>
      </c>
      <c r="V66" s="9">
        <v>73500</v>
      </c>
      <c r="X66" s="9">
        <f>29505+28861.88</f>
        <v>58366.880000000005</v>
      </c>
      <c r="Z66" s="8"/>
      <c r="AA66" s="8"/>
      <c r="AB66" s="8">
        <f t="shared" ref="AB66:AB68" si="14">V66+X66+Z66</f>
        <v>131866.88</v>
      </c>
      <c r="AC66" s="8"/>
      <c r="AD66" s="8"/>
      <c r="AF66" s="24"/>
      <c r="AJ66" s="8" t="s">
        <v>52</v>
      </c>
      <c r="AK66" s="8"/>
      <c r="AL66" s="8"/>
      <c r="AM66" s="8"/>
      <c r="AN66" s="8"/>
      <c r="AO66" s="8">
        <v>740000</v>
      </c>
      <c r="AP66" s="8">
        <f t="shared" si="13"/>
        <v>740000</v>
      </c>
    </row>
    <row r="67" spans="1:42" x14ac:dyDescent="0.4">
      <c r="A67" s="25">
        <f>A80*AN85</f>
        <v>4813984.8226335924</v>
      </c>
      <c r="B67" t="s">
        <v>114</v>
      </c>
      <c r="C67" s="29" t="str">
        <f>C80</f>
        <v>2% - 5.2%</v>
      </c>
      <c r="D67">
        <v>2027</v>
      </c>
      <c r="F67" s="8">
        <f>F81*$AN$85</f>
        <v>284698.02714499738</v>
      </c>
      <c r="G67" s="8"/>
      <c r="H67" s="8">
        <f>H81*$AN$85</f>
        <v>124745.1855606997</v>
      </c>
      <c r="I67" s="8"/>
      <c r="J67" s="8">
        <f>J81*$AN$85</f>
        <v>388.22458247045097</v>
      </c>
      <c r="K67" s="8"/>
      <c r="L67" s="8">
        <f t="shared" ref="L67:L68" si="15">F67+H67+J67</f>
        <v>409831.43728816748</v>
      </c>
      <c r="M67" s="8"/>
      <c r="N67" s="8"/>
      <c r="O67" s="8"/>
      <c r="P67" s="8"/>
      <c r="Q67" s="25">
        <v>3653000</v>
      </c>
      <c r="R67" s="8" t="s">
        <v>114</v>
      </c>
      <c r="S67" s="28">
        <v>1.7500000000000002E-2</v>
      </c>
      <c r="T67" s="2">
        <v>2027</v>
      </c>
      <c r="U67" s="8"/>
      <c r="V67" s="8">
        <v>74500</v>
      </c>
      <c r="W67" s="8"/>
      <c r="X67" s="8">
        <f>28861.88+28210</f>
        <v>57071.880000000005</v>
      </c>
      <c r="Y67" s="8"/>
      <c r="Z67" s="8"/>
      <c r="AA67" s="8"/>
      <c r="AB67" s="8">
        <f t="shared" si="14"/>
        <v>131571.88</v>
      </c>
      <c r="AC67" s="8"/>
      <c r="AD67" s="8"/>
      <c r="AF67" s="24"/>
      <c r="AJ67" s="8" t="s">
        <v>53</v>
      </c>
      <c r="AK67" s="8"/>
      <c r="AL67" s="8"/>
      <c r="AM67" s="8"/>
      <c r="AN67" s="8">
        <v>1650000</v>
      </c>
      <c r="AO67" s="8"/>
      <c r="AP67" s="8">
        <f t="shared" si="13"/>
        <v>1650000</v>
      </c>
    </row>
    <row r="68" spans="1:42" x14ac:dyDescent="0.4">
      <c r="A68" t="s">
        <v>2777</v>
      </c>
      <c r="D68">
        <v>2028</v>
      </c>
      <c r="F68" s="8">
        <f>F82*$AN$85</f>
        <v>289011.63361689128</v>
      </c>
      <c r="G68" s="8"/>
      <c r="H68" s="8">
        <f>H82*$AN$85</f>
        <v>109828.73438089059</v>
      </c>
      <c r="I68" s="8"/>
      <c r="J68" s="8">
        <f>J82*$AN$85</f>
        <v>388.22458247045097</v>
      </c>
      <c r="K68" s="8"/>
      <c r="L68" s="10">
        <f t="shared" si="15"/>
        <v>399228.59258025227</v>
      </c>
      <c r="M68" s="8">
        <f>SUM(L66:L68)</f>
        <v>1224844.2440878008</v>
      </c>
      <c r="N68" s="8">
        <v>3</v>
      </c>
      <c r="O68" s="8">
        <f>M68/N68</f>
        <v>408281.41469593364</v>
      </c>
      <c r="P68" s="8"/>
      <c r="Q68" s="8"/>
      <c r="R68" s="8"/>
      <c r="S68" s="8"/>
      <c r="T68" s="2">
        <v>2028</v>
      </c>
      <c r="U68" s="8"/>
      <c r="V68" s="8">
        <v>76000</v>
      </c>
      <c r="W68" s="8"/>
      <c r="X68" s="8">
        <f>28210+27545</f>
        <v>55755</v>
      </c>
      <c r="Y68" s="8"/>
      <c r="Z68" s="8"/>
      <c r="AA68" s="8"/>
      <c r="AB68" s="8">
        <f t="shared" si="14"/>
        <v>131755</v>
      </c>
      <c r="AC68" s="8"/>
      <c r="AD68" s="8">
        <f>SUM(AB62:AB64)</f>
        <v>575464.43999999994</v>
      </c>
      <c r="AE68">
        <v>3</v>
      </c>
      <c r="AF68" s="24">
        <f>AD68/AE68</f>
        <v>191821.47999999998</v>
      </c>
      <c r="AJ68" s="8" t="s">
        <v>54</v>
      </c>
      <c r="AK68" s="8"/>
      <c r="AL68" s="8"/>
      <c r="AM68" s="8"/>
      <c r="AN68" s="8">
        <v>650000</v>
      </c>
      <c r="AO68" s="8"/>
      <c r="AP68" s="8">
        <f t="shared" si="13"/>
        <v>650000</v>
      </c>
    </row>
    <row r="69" spans="1:42" x14ac:dyDescent="0.4">
      <c r="F69" s="8"/>
      <c r="G69" s="8"/>
      <c r="H69" s="8"/>
      <c r="I69" s="8"/>
      <c r="J69" s="8"/>
      <c r="K69" s="8"/>
      <c r="L69" s="8"/>
      <c r="M69" s="8"/>
      <c r="N69" s="8"/>
      <c r="O69" s="8"/>
      <c r="P69" s="8"/>
      <c r="Q69" s="8"/>
      <c r="R69" s="8"/>
      <c r="S69" s="8"/>
      <c r="T69" s="23"/>
      <c r="U69" s="8"/>
      <c r="V69" s="8"/>
      <c r="W69" s="8"/>
      <c r="X69" s="8"/>
      <c r="Y69" s="8"/>
      <c r="Z69" s="8"/>
      <c r="AA69" s="8"/>
      <c r="AB69" s="8"/>
      <c r="AC69" s="8"/>
      <c r="AD69" s="8"/>
      <c r="AF69" s="24"/>
      <c r="AJ69" s="8" t="s">
        <v>55</v>
      </c>
      <c r="AK69" s="8"/>
      <c r="AL69" s="8"/>
      <c r="AM69" s="8"/>
      <c r="AN69" s="10">
        <v>6270000</v>
      </c>
      <c r="AO69" s="10"/>
      <c r="AP69" s="10">
        <f t="shared" si="13"/>
        <v>6270000</v>
      </c>
    </row>
    <row r="70" spans="1:42" x14ac:dyDescent="0.4">
      <c r="A70" s="8" t="s">
        <v>121</v>
      </c>
      <c r="D70" s="8"/>
      <c r="E70" s="8"/>
      <c r="F70" s="8"/>
      <c r="G70" s="8"/>
      <c r="H70" s="8"/>
      <c r="I70" s="8"/>
      <c r="J70" s="8"/>
      <c r="K70" s="8"/>
      <c r="L70" s="8">
        <f>SUM(L62:L69)</f>
        <v>1540706.2440878008</v>
      </c>
      <c r="M70" s="8"/>
      <c r="N70" s="8"/>
      <c r="O70" s="8"/>
      <c r="P70" s="8"/>
      <c r="Q70" s="27" t="s">
        <v>2775</v>
      </c>
      <c r="R70" s="26"/>
      <c r="S70" s="26"/>
      <c r="T70" s="2">
        <v>2026</v>
      </c>
      <c r="V70" s="26">
        <f>F80*$AO$85</f>
        <v>43929.185798790422</v>
      </c>
      <c r="W70" s="26"/>
      <c r="X70" s="26">
        <f>H80*$AO$85</f>
        <v>22169.824564298935</v>
      </c>
      <c r="Y70" s="8"/>
      <c r="Z70" s="26">
        <f>J80*$AO$85</f>
        <v>61.775417529549031</v>
      </c>
      <c r="AA70" s="8"/>
      <c r="AB70" s="8">
        <f>V70+X70+Z70</f>
        <v>66160.785780618913</v>
      </c>
      <c r="AC70" s="8"/>
      <c r="AD70" s="8"/>
      <c r="AF70" s="24"/>
      <c r="AJ70" s="8"/>
      <c r="AK70" s="8"/>
      <c r="AL70" s="8"/>
      <c r="AM70" s="8"/>
      <c r="AN70" s="8"/>
      <c r="AO70" s="8"/>
      <c r="AP70" s="8"/>
    </row>
    <row r="71" spans="1:42" ht="16.5" thickBot="1" x14ac:dyDescent="0.45">
      <c r="A71" s="8" t="s">
        <v>118</v>
      </c>
      <c r="D71" s="8"/>
      <c r="E71" s="8"/>
      <c r="F71" s="8"/>
      <c r="G71" s="8"/>
      <c r="H71" s="8"/>
      <c r="I71" s="8"/>
      <c r="J71" s="8"/>
      <c r="K71" s="8"/>
      <c r="L71" s="10">
        <v>3</v>
      </c>
      <c r="M71" s="8"/>
      <c r="N71" s="8"/>
      <c r="O71" s="8"/>
      <c r="P71" s="8"/>
      <c r="Q71" s="25">
        <f>A80*$AO$85</f>
        <v>766015.17736640805</v>
      </c>
      <c r="R71" s="26" t="s">
        <v>114</v>
      </c>
      <c r="S71" s="32" t="str">
        <f>C80</f>
        <v>2% - 5.2%</v>
      </c>
      <c r="T71" s="2">
        <v>2027</v>
      </c>
      <c r="V71" s="26">
        <f>F81*$AO$85</f>
        <v>45301.972855002627</v>
      </c>
      <c r="W71" s="26"/>
      <c r="X71" s="26">
        <f>H81*$AO$85</f>
        <v>19849.814439300317</v>
      </c>
      <c r="Y71" s="8"/>
      <c r="Z71" s="26">
        <f>J81*$AO$85</f>
        <v>61.775417529549031</v>
      </c>
      <c r="AA71" s="8"/>
      <c r="AB71" s="8">
        <f t="shared" ref="AB71:AB72" si="16">V71+X71+Z71</f>
        <v>65213.562711832492</v>
      </c>
      <c r="AC71" s="8"/>
      <c r="AD71" s="8"/>
      <c r="AF71" s="24"/>
      <c r="AJ71" s="8" t="s">
        <v>25</v>
      </c>
      <c r="AK71" s="8"/>
      <c r="AL71" s="8"/>
      <c r="AM71" s="8"/>
      <c r="AN71" s="11">
        <f>SUM(AN64:AN70)</f>
        <v>9370000</v>
      </c>
      <c r="AO71" s="11">
        <f>SUM(AO64:AO70)</f>
        <v>1166000</v>
      </c>
      <c r="AP71" s="11">
        <f>SUM(AP64:AP69)</f>
        <v>10536000</v>
      </c>
    </row>
    <row r="72" spans="1:42" ht="16.5" thickTop="1" x14ac:dyDescent="0.4">
      <c r="A72" s="8"/>
      <c r="D72" s="8"/>
      <c r="E72" s="8"/>
      <c r="F72" s="8"/>
      <c r="G72" s="8"/>
      <c r="H72" s="8"/>
      <c r="I72" s="8"/>
      <c r="J72" s="8"/>
      <c r="K72" s="8"/>
      <c r="L72" s="8"/>
      <c r="M72" s="8"/>
      <c r="N72" s="8"/>
      <c r="O72" s="8"/>
      <c r="P72" s="8"/>
      <c r="Q72" s="8" t="s">
        <v>2776</v>
      </c>
      <c r="R72" s="8"/>
      <c r="S72" s="8"/>
      <c r="T72" s="2">
        <v>2028</v>
      </c>
      <c r="V72" s="26">
        <f>F82*$AO$85</f>
        <v>45988.366383108725</v>
      </c>
      <c r="W72" s="26"/>
      <c r="X72" s="26">
        <f>H82*$AO$85</f>
        <v>17476.265619109421</v>
      </c>
      <c r="Y72" s="8"/>
      <c r="Z72" s="26">
        <f>J82*$AO$85</f>
        <v>61.775417529549031</v>
      </c>
      <c r="AA72" s="8"/>
      <c r="AB72" s="10">
        <f t="shared" si="16"/>
        <v>63526.407419747695</v>
      </c>
      <c r="AC72" s="8"/>
      <c r="AD72" s="8" t="e">
        <f>SUM(#REF!)</f>
        <v>#REF!</v>
      </c>
      <c r="AE72">
        <v>3</v>
      </c>
      <c r="AF72" s="24" t="e">
        <f>AD72/AE72</f>
        <v>#REF!</v>
      </c>
      <c r="AJ72" s="8" t="s">
        <v>56</v>
      </c>
      <c r="AK72" s="8"/>
      <c r="AL72" s="8"/>
      <c r="AM72" s="8"/>
      <c r="AN72" s="12">
        <f>AN71/AP71</f>
        <v>0.88933181473044798</v>
      </c>
      <c r="AO72" s="12">
        <f>AO71/AP71</f>
        <v>0.11066818526955201</v>
      </c>
      <c r="AP72" s="12"/>
    </row>
    <row r="73" spans="1:42" ht="16.5" thickBot="1" x14ac:dyDescent="0.45">
      <c r="A73" s="8" t="s">
        <v>111</v>
      </c>
      <c r="D73" s="8"/>
      <c r="E73" s="8"/>
      <c r="F73" s="8"/>
      <c r="G73" s="8"/>
      <c r="H73" s="8"/>
      <c r="I73" s="8"/>
      <c r="J73" s="8"/>
      <c r="K73" s="8"/>
      <c r="L73" s="31">
        <f>L70/L71</f>
        <v>513568.74802926695</v>
      </c>
      <c r="M73" s="8"/>
      <c r="N73" s="8"/>
      <c r="O73" s="8">
        <f>SUM(O64:O72)</f>
        <v>513568.74802926695</v>
      </c>
      <c r="P73" s="8"/>
      <c r="Q73" s="8"/>
      <c r="R73" s="8"/>
      <c r="S73" s="8"/>
      <c r="T73" s="8"/>
      <c r="U73" s="8"/>
      <c r="V73" s="8"/>
      <c r="W73" s="8"/>
      <c r="X73" s="8"/>
      <c r="Y73" s="8"/>
      <c r="Z73" s="8"/>
      <c r="AA73" s="8"/>
      <c r="AB73" s="8"/>
      <c r="AC73" s="8"/>
      <c r="AD73" s="8"/>
      <c r="AF73" s="24"/>
      <c r="AJ73" s="8"/>
      <c r="AK73" s="8"/>
      <c r="AL73" s="8"/>
      <c r="AM73" s="8"/>
      <c r="AN73" s="8"/>
      <c r="AO73" s="8"/>
      <c r="AP73" s="8"/>
    </row>
    <row r="74" spans="1:42" ht="16.5" thickTop="1" x14ac:dyDescent="0.4">
      <c r="C74" s="8"/>
      <c r="D74" s="8"/>
      <c r="E74" s="8"/>
      <c r="F74" s="8"/>
      <c r="G74" s="8"/>
      <c r="H74" s="8"/>
      <c r="I74" s="8"/>
      <c r="J74" s="8"/>
      <c r="K74" s="8"/>
      <c r="L74" s="8"/>
      <c r="M74" s="8"/>
      <c r="N74" s="8"/>
      <c r="O74" s="8"/>
      <c r="P74" s="8"/>
      <c r="Q74" s="8" t="s">
        <v>25</v>
      </c>
      <c r="R74" s="8"/>
      <c r="S74" s="8"/>
      <c r="U74" s="8"/>
      <c r="V74" s="8"/>
      <c r="W74" s="8"/>
      <c r="X74" s="8"/>
      <c r="Y74" s="8"/>
      <c r="Z74" s="8"/>
      <c r="AA74" s="8"/>
      <c r="AB74" s="8">
        <f>SUM(AB62:AB73)</f>
        <v>1165558.9559121991</v>
      </c>
      <c r="AC74" s="8"/>
      <c r="AD74" s="8"/>
      <c r="AF74" s="24"/>
      <c r="AJ74" s="8" t="s">
        <v>57</v>
      </c>
      <c r="AK74" s="8"/>
      <c r="AL74" s="8"/>
      <c r="AM74" s="8"/>
      <c r="AN74" s="8"/>
      <c r="AO74" s="8"/>
      <c r="AP74" s="8"/>
    </row>
    <row r="75" spans="1:42" x14ac:dyDescent="0.4">
      <c r="F75" s="8"/>
      <c r="G75" s="8"/>
      <c r="H75" s="8"/>
      <c r="I75" s="8"/>
      <c r="J75" s="8"/>
      <c r="K75" s="8"/>
      <c r="L75" s="8"/>
      <c r="M75" s="8"/>
      <c r="N75" s="8"/>
      <c r="O75" s="8"/>
      <c r="P75" s="8"/>
      <c r="Q75" s="8" t="s">
        <v>118</v>
      </c>
      <c r="R75" s="8"/>
      <c r="S75" s="8"/>
      <c r="U75" s="8"/>
      <c r="V75" s="8"/>
      <c r="W75" s="8"/>
      <c r="X75" s="8"/>
      <c r="Y75" s="8"/>
      <c r="Z75" s="8"/>
      <c r="AA75" s="8"/>
      <c r="AB75" s="10">
        <v>3</v>
      </c>
      <c r="AC75" s="8"/>
      <c r="AD75" s="8"/>
      <c r="AF75" s="24"/>
      <c r="AJ75" s="8"/>
      <c r="AK75" s="8"/>
      <c r="AL75" s="8"/>
      <c r="AM75" s="8"/>
      <c r="AN75" s="402" t="s">
        <v>58</v>
      </c>
      <c r="AO75" s="402"/>
      <c r="AP75" s="402"/>
    </row>
    <row r="76" spans="1:42" x14ac:dyDescent="0.4">
      <c r="A76" s="400" t="s">
        <v>2774</v>
      </c>
      <c r="B76" s="400"/>
      <c r="C76" s="400"/>
      <c r="D76" s="400"/>
      <c r="E76" s="400"/>
      <c r="F76" s="400"/>
      <c r="G76" s="400"/>
      <c r="H76" s="400"/>
      <c r="I76" s="400"/>
      <c r="J76" s="400"/>
      <c r="K76" s="400"/>
      <c r="L76" s="400"/>
      <c r="M76" s="8"/>
      <c r="N76" s="8"/>
      <c r="O76" s="8"/>
      <c r="P76" s="8"/>
      <c r="Q76" s="8"/>
      <c r="R76" s="8"/>
      <c r="S76" s="8"/>
      <c r="U76" s="8"/>
      <c r="V76" s="8"/>
      <c r="W76" s="8"/>
      <c r="X76" s="8"/>
      <c r="Y76" s="8"/>
      <c r="Z76" s="8"/>
      <c r="AA76" s="8"/>
      <c r="AB76" s="8"/>
      <c r="AC76" s="8"/>
      <c r="AD76" s="8">
        <f>SUM(AB66:AB68)</f>
        <v>395193.76</v>
      </c>
      <c r="AE76">
        <v>3</v>
      </c>
      <c r="AF76" s="24">
        <f>AD76/AE76</f>
        <v>131731.25333333333</v>
      </c>
      <c r="AJ76" s="8" t="s">
        <v>120</v>
      </c>
      <c r="AK76" s="8"/>
      <c r="AL76" s="8"/>
      <c r="AM76" s="8"/>
      <c r="AN76" s="13" t="s">
        <v>17</v>
      </c>
      <c r="AO76" s="13" t="s">
        <v>49</v>
      </c>
      <c r="AP76" s="13" t="s">
        <v>25</v>
      </c>
    </row>
    <row r="77" spans="1:42" ht="16.5" thickBot="1" x14ac:dyDescent="0.45">
      <c r="F77" s="2"/>
      <c r="G77" s="2"/>
      <c r="H77" s="2"/>
      <c r="I77" s="2"/>
      <c r="J77" s="2" t="s">
        <v>109</v>
      </c>
      <c r="K77" s="2"/>
      <c r="L77" s="2" t="s">
        <v>62</v>
      </c>
      <c r="M77" s="8"/>
      <c r="N77" s="8"/>
      <c r="O77" s="8"/>
      <c r="P77" s="8"/>
      <c r="Q77" s="8" t="s">
        <v>111</v>
      </c>
      <c r="R77" s="8"/>
      <c r="S77" s="8"/>
      <c r="U77" s="8"/>
      <c r="V77" s="8"/>
      <c r="W77" s="8"/>
      <c r="X77" s="8"/>
      <c r="Y77" s="8"/>
      <c r="Z77" s="8"/>
      <c r="AA77" s="8"/>
      <c r="AB77" s="11">
        <f>AB74/AB75</f>
        <v>388519.65197073302</v>
      </c>
      <c r="AC77" s="8"/>
      <c r="AD77" s="8"/>
      <c r="AF77" s="24"/>
      <c r="AJ77" s="8" t="s">
        <v>50</v>
      </c>
      <c r="AK77" s="8"/>
      <c r="AL77" s="8"/>
      <c r="AM77" s="8"/>
      <c r="AN77" s="9">
        <v>563930.72</v>
      </c>
      <c r="AO77" s="9"/>
      <c r="AP77" s="9">
        <f>AN77</f>
        <v>563930.72</v>
      </c>
    </row>
    <row r="78" spans="1:42" ht="16.5" thickTop="1" x14ac:dyDescent="0.4">
      <c r="D78" s="21" t="s">
        <v>113</v>
      </c>
      <c r="F78" s="22" t="s">
        <v>60</v>
      </c>
      <c r="G78" s="23"/>
      <c r="H78" s="22" t="s">
        <v>61</v>
      </c>
      <c r="I78" s="23"/>
      <c r="J78" s="22" t="s">
        <v>110</v>
      </c>
      <c r="K78" s="23"/>
      <c r="L78" s="22" t="s">
        <v>63</v>
      </c>
      <c r="M78" s="8"/>
      <c r="N78" s="8"/>
      <c r="O78" s="8"/>
      <c r="P78" s="8"/>
      <c r="AC78" s="8"/>
      <c r="AD78" s="8"/>
      <c r="AF78" s="24"/>
      <c r="AJ78" s="8" t="s">
        <v>51</v>
      </c>
      <c r="AK78" s="8"/>
      <c r="AL78" s="8"/>
      <c r="AM78" s="8"/>
      <c r="AN78" s="8"/>
      <c r="AO78" s="9">
        <v>331418.75</v>
      </c>
      <c r="AP78" s="8">
        <f t="shared" ref="AP78:AP82" si="17">AN78+AO78</f>
        <v>331418.75</v>
      </c>
    </row>
    <row r="79" spans="1:42" x14ac:dyDescent="0.4">
      <c r="M79" s="8"/>
      <c r="N79" s="8"/>
      <c r="O79" s="8"/>
      <c r="P79" s="8"/>
      <c r="AC79" s="8"/>
      <c r="AD79" s="8"/>
      <c r="AF79" s="24"/>
      <c r="AJ79" s="8" t="s">
        <v>52</v>
      </c>
      <c r="AK79" s="8"/>
      <c r="AL79" s="8"/>
      <c r="AM79" s="8"/>
      <c r="AN79" s="8"/>
      <c r="AO79" s="8">
        <v>590500.42000000004</v>
      </c>
      <c r="AP79" s="8">
        <f t="shared" si="17"/>
        <v>590500.42000000004</v>
      </c>
    </row>
    <row r="80" spans="1:42" x14ac:dyDescent="0.4">
      <c r="A80" s="25">
        <v>5580000</v>
      </c>
      <c r="B80" t="s">
        <v>114</v>
      </c>
      <c r="C80" s="30" t="s">
        <v>112</v>
      </c>
      <c r="D80">
        <v>2026</v>
      </c>
      <c r="F80" s="9">
        <v>320000</v>
      </c>
      <c r="G80" s="8"/>
      <c r="H80" s="9">
        <f>84907.5+76587.5</f>
        <v>161495</v>
      </c>
      <c r="I80" s="8"/>
      <c r="J80" s="9">
        <v>450</v>
      </c>
      <c r="K80" s="8"/>
      <c r="L80" s="9">
        <f>F80+H80+J80</f>
        <v>481945</v>
      </c>
      <c r="M80" s="8"/>
      <c r="N80" s="8"/>
      <c r="O80" s="8"/>
      <c r="P80" s="8"/>
      <c r="Q80" s="400" t="s">
        <v>2774</v>
      </c>
      <c r="R80" s="400"/>
      <c r="S80" s="400"/>
      <c r="T80" s="400"/>
      <c r="U80" s="400"/>
      <c r="V80" s="400"/>
      <c r="W80" s="400"/>
      <c r="X80" s="400"/>
      <c r="Y80" s="400"/>
      <c r="Z80" s="400"/>
      <c r="AA80" s="400"/>
      <c r="AB80" s="400"/>
      <c r="AC80" s="8"/>
      <c r="AD80" s="8">
        <f>SUM(AB70:AB72)</f>
        <v>194900.75591219912</v>
      </c>
      <c r="AE80">
        <v>3</v>
      </c>
      <c r="AF80" s="24">
        <f>AD80/AE80</f>
        <v>64966.918637399707</v>
      </c>
      <c r="AJ80" s="8" t="s">
        <v>53</v>
      </c>
      <c r="AK80" s="8"/>
      <c r="AL80" s="8"/>
      <c r="AM80" s="8"/>
      <c r="AN80" s="8">
        <v>1348988.02</v>
      </c>
      <c r="AO80" s="8"/>
      <c r="AP80" s="8">
        <f t="shared" si="17"/>
        <v>1348988.02</v>
      </c>
    </row>
    <row r="81" spans="1:42" x14ac:dyDescent="0.4">
      <c r="A81" t="s">
        <v>119</v>
      </c>
      <c r="D81">
        <v>2027</v>
      </c>
      <c r="F81" s="8">
        <v>330000</v>
      </c>
      <c r="G81" s="8"/>
      <c r="H81" s="8">
        <f>76587.5+68007.5</f>
        <v>144595</v>
      </c>
      <c r="I81" s="8"/>
      <c r="J81" s="8">
        <v>450</v>
      </c>
      <c r="K81" s="8"/>
      <c r="L81" s="8">
        <f t="shared" ref="L81:L82" si="18">F81+H81+J81</f>
        <v>475045</v>
      </c>
      <c r="M81" s="8"/>
      <c r="N81" s="8"/>
      <c r="O81" s="8"/>
      <c r="P81" s="8"/>
      <c r="V81" s="2"/>
      <c r="W81" s="2"/>
      <c r="X81" s="2"/>
      <c r="Y81" s="2"/>
      <c r="Z81" s="2" t="s">
        <v>109</v>
      </c>
      <c r="AA81" s="2"/>
      <c r="AB81" s="2" t="s">
        <v>62</v>
      </c>
      <c r="AC81" s="8"/>
      <c r="AD81" s="8"/>
      <c r="AJ81" s="8" t="s">
        <v>54</v>
      </c>
      <c r="AK81" s="8"/>
      <c r="AL81" s="8"/>
      <c r="AM81" s="8"/>
      <c r="AN81" s="8">
        <v>555763.75</v>
      </c>
      <c r="AO81" s="8"/>
      <c r="AP81" s="8">
        <f t="shared" si="17"/>
        <v>555763.75</v>
      </c>
    </row>
    <row r="82" spans="1:42" x14ac:dyDescent="0.4">
      <c r="A82" s="30" t="s">
        <v>2783</v>
      </c>
      <c r="D82">
        <v>2028</v>
      </c>
      <c r="F82" s="8">
        <v>335000</v>
      </c>
      <c r="G82" s="8"/>
      <c r="H82" s="8">
        <f>68007.5+59297.5</f>
        <v>127305</v>
      </c>
      <c r="I82" s="8"/>
      <c r="J82" s="8">
        <v>450</v>
      </c>
      <c r="K82" s="8"/>
      <c r="L82" s="8">
        <f t="shared" si="18"/>
        <v>462755</v>
      </c>
      <c r="M82" s="8"/>
      <c r="N82" s="8"/>
      <c r="O82" s="8"/>
      <c r="P82" s="8"/>
      <c r="T82" s="21" t="s">
        <v>113</v>
      </c>
      <c r="V82" s="22" t="s">
        <v>60</v>
      </c>
      <c r="W82" s="23"/>
      <c r="X82" s="22" t="s">
        <v>61</v>
      </c>
      <c r="Y82" s="23"/>
      <c r="Z82" s="22" t="s">
        <v>110</v>
      </c>
      <c r="AA82" s="23"/>
      <c r="AB82" s="22" t="s">
        <v>63</v>
      </c>
      <c r="AC82" s="8"/>
      <c r="AD82" s="8"/>
      <c r="AJ82" s="8" t="s">
        <v>55</v>
      </c>
      <c r="AK82" s="8"/>
      <c r="AL82" s="8"/>
      <c r="AM82" s="8"/>
      <c r="AN82" s="10">
        <v>3325073.33</v>
      </c>
      <c r="AO82" s="10"/>
      <c r="AP82" s="10">
        <f t="shared" si="17"/>
        <v>3325073.33</v>
      </c>
    </row>
    <row r="83" spans="1:42" x14ac:dyDescent="0.4">
      <c r="A83" s="41"/>
      <c r="B83" s="41"/>
      <c r="C83" s="41"/>
      <c r="D83" s="41"/>
      <c r="E83" s="41"/>
      <c r="F83" s="41"/>
      <c r="G83" s="41"/>
      <c r="H83" s="41"/>
      <c r="I83" s="41"/>
      <c r="J83" s="41"/>
      <c r="K83" s="41"/>
      <c r="L83" s="41"/>
      <c r="M83" s="8"/>
      <c r="N83" s="8"/>
      <c r="O83" s="8"/>
      <c r="P83" s="8"/>
      <c r="AC83" s="8"/>
      <c r="AD83" s="8"/>
      <c r="AJ83" s="8"/>
      <c r="AK83" s="8"/>
      <c r="AL83" s="8"/>
      <c r="AM83" s="8"/>
      <c r="AN83" s="8"/>
      <c r="AO83" s="8"/>
      <c r="AP83" s="8"/>
    </row>
    <row r="84" spans="1:42" ht="16.5" thickBot="1" x14ac:dyDescent="0.45">
      <c r="M84" s="8"/>
      <c r="N84" s="8"/>
      <c r="O84" s="8"/>
      <c r="P84" s="8"/>
      <c r="Q84" s="25">
        <v>5580000</v>
      </c>
      <c r="R84" t="s">
        <v>114</v>
      </c>
      <c r="S84" s="30" t="s">
        <v>112</v>
      </c>
      <c r="T84">
        <v>2026</v>
      </c>
      <c r="V84" s="9">
        <v>320000</v>
      </c>
      <c r="W84" s="8"/>
      <c r="X84" s="9">
        <f>84907.5+76587.5</f>
        <v>161495</v>
      </c>
      <c r="Y84" s="8"/>
      <c r="Z84" s="9">
        <v>450</v>
      </c>
      <c r="AA84" s="8"/>
      <c r="AB84" s="9">
        <f>V84+X84+Z84</f>
        <v>481945</v>
      </c>
      <c r="AC84" s="8"/>
      <c r="AD84" s="8"/>
      <c r="AJ84" s="8" t="s">
        <v>25</v>
      </c>
      <c r="AK84" s="8"/>
      <c r="AL84" s="8"/>
      <c r="AM84" s="8"/>
      <c r="AN84" s="11">
        <f>SUM(AN77:AN83)</f>
        <v>5793755.8200000003</v>
      </c>
      <c r="AO84" s="11">
        <f>SUM(AO77:AO83)</f>
        <v>921919.17</v>
      </c>
      <c r="AP84" s="11">
        <f>SUM(AP77:AP82)</f>
        <v>6715674.9900000002</v>
      </c>
    </row>
    <row r="85" spans="1:42" ht="16.5" thickTop="1" x14ac:dyDescent="0.4">
      <c r="A85" s="404" t="s">
        <v>3470</v>
      </c>
      <c r="B85" s="404"/>
      <c r="C85" s="404"/>
      <c r="D85" s="404"/>
      <c r="E85" s="404"/>
      <c r="F85" s="404"/>
      <c r="G85" s="404"/>
      <c r="H85" s="404"/>
      <c r="I85" s="404"/>
      <c r="J85" s="404"/>
      <c r="K85" s="404"/>
      <c r="L85" s="404"/>
      <c r="M85" s="8"/>
      <c r="N85" s="8"/>
      <c r="O85" s="8"/>
      <c r="P85" s="8"/>
      <c r="Q85" s="27" t="s">
        <v>119</v>
      </c>
      <c r="T85">
        <v>2027</v>
      </c>
      <c r="V85" s="8">
        <v>330000</v>
      </c>
      <c r="W85" s="8"/>
      <c r="X85" s="8">
        <f>76587.5+68007.5</f>
        <v>144595</v>
      </c>
      <c r="Y85" s="8"/>
      <c r="Z85" s="8">
        <v>450</v>
      </c>
      <c r="AA85" s="8"/>
      <c r="AB85" s="8">
        <f t="shared" ref="AB85:AB86" si="19">V85+X85+Z85</f>
        <v>475045</v>
      </c>
      <c r="AC85" s="8"/>
      <c r="AD85" s="8"/>
      <c r="AF85" s="24" t="e">
        <f>SUM(AF64:AF81)</f>
        <v>#REF!</v>
      </c>
      <c r="AJ85" s="8" t="s">
        <v>56</v>
      </c>
      <c r="AK85" s="8"/>
      <c r="AL85" s="8"/>
      <c r="AM85" s="8"/>
      <c r="AN85" s="5">
        <f>AN84/AP84</f>
        <v>0.86272129437877998</v>
      </c>
      <c r="AO85" s="5">
        <f>AO84/AP84</f>
        <v>0.13727870562122008</v>
      </c>
      <c r="AP85" s="12"/>
    </row>
    <row r="86" spans="1:42" x14ac:dyDescent="0.4">
      <c r="A86" s="401" t="s">
        <v>3572</v>
      </c>
      <c r="B86" s="401"/>
      <c r="C86" s="401"/>
      <c r="D86" s="401"/>
      <c r="E86" s="401"/>
      <c r="F86" s="401"/>
      <c r="G86" s="401"/>
      <c r="H86" s="401"/>
      <c r="I86" s="401"/>
      <c r="J86" s="401"/>
      <c r="K86" s="401"/>
      <c r="L86" s="401"/>
      <c r="M86" s="8"/>
      <c r="N86" s="8"/>
      <c r="O86" s="8"/>
      <c r="Q86" s="27" t="s">
        <v>2783</v>
      </c>
      <c r="T86">
        <v>2028</v>
      </c>
      <c r="V86" s="8">
        <v>335000</v>
      </c>
      <c r="W86" s="8"/>
      <c r="X86" s="8">
        <f>68007.5+59297.5</f>
        <v>127305</v>
      </c>
      <c r="Y86" s="8"/>
      <c r="Z86" s="8">
        <v>450</v>
      </c>
      <c r="AA86" s="8"/>
      <c r="AB86" s="8">
        <f t="shared" si="19"/>
        <v>462755</v>
      </c>
      <c r="AJ86" s="8"/>
      <c r="AK86" s="8"/>
      <c r="AL86" s="8"/>
      <c r="AM86" s="8"/>
      <c r="AN86" s="8"/>
      <c r="AO86" s="8"/>
      <c r="AP86" s="8"/>
    </row>
    <row r="87" spans="1:42" x14ac:dyDescent="0.4">
      <c r="D87" s="2"/>
      <c r="E87" s="2"/>
      <c r="F87" s="2" t="s">
        <v>2779</v>
      </c>
      <c r="G87" s="23"/>
      <c r="H87" s="23"/>
      <c r="I87" s="23"/>
      <c r="J87" s="23"/>
      <c r="K87" s="23"/>
      <c r="L87" s="23"/>
      <c r="M87" s="8"/>
      <c r="N87" s="8"/>
      <c r="O87" s="8"/>
      <c r="P87" s="8"/>
      <c r="Q87" s="254"/>
      <c r="R87" s="41"/>
      <c r="S87" s="41"/>
      <c r="T87" s="41"/>
      <c r="U87" s="41"/>
      <c r="V87" s="10"/>
      <c r="W87" s="10"/>
      <c r="X87" s="10"/>
      <c r="Y87" s="10"/>
      <c r="Z87" s="10"/>
      <c r="AA87" s="10"/>
      <c r="AB87" s="10"/>
      <c r="AJ87" s="8" t="s">
        <v>59</v>
      </c>
      <c r="AN87" s="12">
        <v>0.85</v>
      </c>
      <c r="AO87" s="12">
        <v>0.15</v>
      </c>
    </row>
    <row r="88" spans="1:42" x14ac:dyDescent="0.4">
      <c r="D88" s="2" t="s">
        <v>2782</v>
      </c>
      <c r="E88" s="2"/>
      <c r="F88" s="2" t="s">
        <v>3568</v>
      </c>
      <c r="G88" s="23"/>
      <c r="H88" s="402" t="s">
        <v>2786</v>
      </c>
      <c r="I88" s="402"/>
      <c r="J88" s="402"/>
      <c r="K88" s="402"/>
      <c r="L88" s="402"/>
      <c r="M88" s="8"/>
      <c r="N88" s="8"/>
      <c r="O88" s="8"/>
      <c r="P88" s="8"/>
      <c r="Q88" s="8"/>
      <c r="R88" s="8"/>
      <c r="S88" s="8"/>
      <c r="T88" s="8"/>
      <c r="U88" s="8"/>
      <c r="V88" s="8"/>
      <c r="W88" s="8"/>
      <c r="X88" s="8"/>
      <c r="Y88" s="8"/>
      <c r="Z88" s="8"/>
      <c r="AA88" s="8"/>
      <c r="AB88" s="8"/>
    </row>
    <row r="89" spans="1:42" x14ac:dyDescent="0.4">
      <c r="D89" s="2" t="s">
        <v>63</v>
      </c>
      <c r="E89" s="2"/>
      <c r="F89" s="2" t="s">
        <v>3569</v>
      </c>
      <c r="G89" s="23"/>
      <c r="H89" s="318">
        <f>BG16</f>
        <v>2026</v>
      </c>
      <c r="I89" s="318"/>
      <c r="J89" s="318">
        <f>BI16</f>
        <v>2027</v>
      </c>
      <c r="K89" s="318"/>
      <c r="L89" s="318">
        <f>BK16</f>
        <v>2028</v>
      </c>
      <c r="M89" s="8"/>
      <c r="N89" s="8"/>
      <c r="O89" s="8"/>
      <c r="P89" s="8"/>
    </row>
    <row r="90" spans="1:42" x14ac:dyDescent="0.4">
      <c r="G90" s="8"/>
      <c r="M90" s="8"/>
      <c r="N90" s="8"/>
      <c r="O90" s="8"/>
      <c r="P90" s="8"/>
    </row>
    <row r="91" spans="1:42" x14ac:dyDescent="0.4">
      <c r="A91" t="str">
        <f t="shared" ref="A91:A98" si="20">BA17</f>
        <v>Toyota Tacoma 4WD</v>
      </c>
      <c r="D91" s="9">
        <f t="shared" ref="D91:D98" si="21">BD17</f>
        <v>834.65</v>
      </c>
      <c r="F91" s="317">
        <f t="shared" ref="F91:F98" si="22">BE17</f>
        <v>46661</v>
      </c>
      <c r="G91" s="8"/>
      <c r="H91" s="9">
        <f t="shared" ref="H91:H98" si="23">BG17</f>
        <v>10015.799999999999</v>
      </c>
      <c r="I91" s="9"/>
      <c r="J91" s="9">
        <f t="shared" ref="J91:J98" si="24">BI17</f>
        <v>8346.5</v>
      </c>
      <c r="K91" s="8"/>
      <c r="L91" s="8">
        <f t="shared" ref="L91:L98" si="25">BK17</f>
        <v>0</v>
      </c>
      <c r="M91" s="8"/>
      <c r="N91" s="8"/>
      <c r="O91" s="8"/>
      <c r="P91" s="8"/>
      <c r="Q91" s="401" t="s">
        <v>3570</v>
      </c>
      <c r="R91" s="401"/>
      <c r="S91" s="401"/>
      <c r="T91" s="401"/>
      <c r="U91" s="401"/>
      <c r="V91" s="401"/>
      <c r="W91" s="401"/>
      <c r="X91" s="401"/>
      <c r="Y91" s="401"/>
      <c r="Z91" s="401"/>
      <c r="AA91" s="401"/>
      <c r="AB91" s="401"/>
      <c r="AC91" s="8"/>
      <c r="AD91" s="8"/>
      <c r="AE91" s="8"/>
      <c r="AF91" s="8"/>
    </row>
    <row r="92" spans="1:42" x14ac:dyDescent="0.4">
      <c r="A92" t="str">
        <f t="shared" si="20"/>
        <v>Chevy Silverado 3500 4WD</v>
      </c>
      <c r="D92" s="8">
        <f t="shared" si="21"/>
        <v>1322.86</v>
      </c>
      <c r="F92" s="317">
        <f t="shared" si="22"/>
        <v>46661</v>
      </c>
      <c r="H92" s="8">
        <f t="shared" si="23"/>
        <v>15874.32</v>
      </c>
      <c r="J92" s="8">
        <f t="shared" si="24"/>
        <v>13228.599999999999</v>
      </c>
      <c r="L92" s="8">
        <f t="shared" si="25"/>
        <v>0</v>
      </c>
      <c r="M92" s="8"/>
      <c r="N92" s="8"/>
      <c r="O92" s="8"/>
      <c r="P92" s="8"/>
      <c r="T92" s="2" t="s">
        <v>2782</v>
      </c>
      <c r="U92" s="2"/>
      <c r="V92" s="2" t="s">
        <v>3568</v>
      </c>
      <c r="W92" s="23"/>
      <c r="X92" s="405" t="s">
        <v>2786</v>
      </c>
      <c r="Y92" s="405"/>
      <c r="Z92" s="405"/>
      <c r="AA92" s="405"/>
      <c r="AB92" s="405"/>
      <c r="AC92" s="8"/>
      <c r="AD92" s="8"/>
      <c r="AE92" s="8"/>
      <c r="AF92" s="8"/>
    </row>
    <row r="93" spans="1:42" x14ac:dyDescent="0.4">
      <c r="A93" t="str">
        <f t="shared" si="20"/>
        <v>RAM 2500 4WD</v>
      </c>
      <c r="D93" s="8">
        <f t="shared" si="21"/>
        <v>1209.95</v>
      </c>
      <c r="F93" s="317">
        <f t="shared" si="22"/>
        <v>46844</v>
      </c>
      <c r="H93" s="8">
        <f t="shared" si="23"/>
        <v>14519.400000000001</v>
      </c>
      <c r="J93" s="8">
        <f t="shared" si="24"/>
        <v>14519.400000000001</v>
      </c>
      <c r="L93" s="9">
        <f t="shared" si="25"/>
        <v>4839.8</v>
      </c>
      <c r="M93" s="8"/>
      <c r="N93" s="8"/>
      <c r="O93" s="8"/>
      <c r="P93" s="8"/>
      <c r="T93" s="2" t="s">
        <v>63</v>
      </c>
      <c r="U93" s="2"/>
      <c r="V93" s="2" t="s">
        <v>3569</v>
      </c>
      <c r="W93" s="23"/>
      <c r="X93" s="318">
        <f>H89</f>
        <v>2026</v>
      </c>
      <c r="Y93" s="318"/>
      <c r="Z93" s="318">
        <f>J89</f>
        <v>2027</v>
      </c>
      <c r="AA93" s="318"/>
      <c r="AB93" s="318">
        <f>L89</f>
        <v>2028</v>
      </c>
      <c r="AC93" s="8"/>
      <c r="AD93" s="8"/>
      <c r="AE93" s="8"/>
      <c r="AF93" s="8"/>
    </row>
    <row r="94" spans="1:42" x14ac:dyDescent="0.4">
      <c r="A94" t="str">
        <f t="shared" si="20"/>
        <v>RAM 1500 4WD</v>
      </c>
      <c r="D94" s="8">
        <f t="shared" si="21"/>
        <v>996.36</v>
      </c>
      <c r="F94" s="317">
        <f t="shared" si="22"/>
        <v>46844</v>
      </c>
      <c r="H94" s="8">
        <f t="shared" si="23"/>
        <v>11956.32</v>
      </c>
      <c r="J94" s="8">
        <f t="shared" si="24"/>
        <v>11956.32</v>
      </c>
      <c r="L94" s="8">
        <f t="shared" si="25"/>
        <v>3985.44</v>
      </c>
      <c r="AC94" s="8"/>
      <c r="AD94" s="8"/>
      <c r="AE94" s="8"/>
      <c r="AF94" s="8"/>
    </row>
    <row r="95" spans="1:42" x14ac:dyDescent="0.4">
      <c r="A95" t="str">
        <f t="shared" si="20"/>
        <v>Toyota Tacoma 4WD</v>
      </c>
      <c r="D95" s="8">
        <f t="shared" si="21"/>
        <v>942.85</v>
      </c>
      <c r="F95" s="317">
        <f t="shared" si="22"/>
        <v>47027</v>
      </c>
      <c r="H95" s="8">
        <f t="shared" si="23"/>
        <v>11314.2</v>
      </c>
      <c r="J95" s="8">
        <f t="shared" si="24"/>
        <v>11314.2</v>
      </c>
      <c r="L95" s="8">
        <f t="shared" si="25"/>
        <v>9428.5</v>
      </c>
      <c r="Q95" t="str">
        <f>BA40</f>
        <v>Chevy Silverado 2025</v>
      </c>
      <c r="T95" s="1">
        <f>BD40</f>
        <v>1552.08</v>
      </c>
      <c r="V95" s="317">
        <v>11521</v>
      </c>
      <c r="X95" s="10">
        <f>T95*12</f>
        <v>18624.96</v>
      </c>
      <c r="Y95" s="8"/>
      <c r="Z95" s="10">
        <f>X95</f>
        <v>18624.96</v>
      </c>
      <c r="AA95" s="8"/>
      <c r="AB95" s="10">
        <f>Z95</f>
        <v>18624.96</v>
      </c>
      <c r="AC95" s="8"/>
      <c r="AD95" s="8"/>
      <c r="AE95" s="8"/>
      <c r="AF95" s="8"/>
    </row>
    <row r="96" spans="1:42" x14ac:dyDescent="0.4">
      <c r="A96" t="str">
        <f t="shared" si="20"/>
        <v>Chevy Silerado 2500 4WD HD</v>
      </c>
      <c r="D96" s="8">
        <f t="shared" si="21"/>
        <v>1341.35</v>
      </c>
      <c r="F96" s="317">
        <f t="shared" si="22"/>
        <v>47392</v>
      </c>
      <c r="H96" s="8">
        <f t="shared" si="23"/>
        <v>16096.199999999999</v>
      </c>
      <c r="J96" s="8">
        <f t="shared" si="24"/>
        <v>16096.199999999999</v>
      </c>
      <c r="L96" s="8">
        <f t="shared" si="25"/>
        <v>16096.199999999999</v>
      </c>
      <c r="X96" s="390"/>
      <c r="Y96" s="390"/>
      <c r="Z96" s="390"/>
      <c r="AA96" s="390"/>
      <c r="AB96" s="390"/>
      <c r="AC96" s="8"/>
      <c r="AD96" s="8"/>
      <c r="AE96" s="8"/>
      <c r="AF96" s="8"/>
    </row>
    <row r="97" spans="1:32" ht="16.5" thickBot="1" x14ac:dyDescent="0.45">
      <c r="A97" t="str">
        <f t="shared" si="20"/>
        <v>Nissan Frontier  Ext Cab  4WD</v>
      </c>
      <c r="D97" s="8">
        <f t="shared" si="21"/>
        <v>883.55</v>
      </c>
      <c r="F97" s="317">
        <f t="shared" si="22"/>
        <v>47392</v>
      </c>
      <c r="H97" s="8">
        <f t="shared" si="23"/>
        <v>10602.599999999999</v>
      </c>
      <c r="J97" s="8">
        <f t="shared" si="24"/>
        <v>10602.599999999999</v>
      </c>
      <c r="L97" s="8">
        <f t="shared" si="25"/>
        <v>10602.599999999999</v>
      </c>
      <c r="Q97" t="s">
        <v>2784</v>
      </c>
      <c r="X97" s="391">
        <f>SUM(X95:X96)</f>
        <v>18624.96</v>
      </c>
      <c r="Y97" s="390"/>
      <c r="Z97" s="391">
        <f>SUM(Z95:Z96)</f>
        <v>18624.96</v>
      </c>
      <c r="AA97" s="390"/>
      <c r="AB97" s="391">
        <f>SUM(AB95:AB96)</f>
        <v>18624.96</v>
      </c>
      <c r="AC97" s="8"/>
      <c r="AD97" s="8"/>
      <c r="AE97" s="8"/>
      <c r="AF97" s="8"/>
    </row>
    <row r="98" spans="1:32" ht="16.5" thickTop="1" x14ac:dyDescent="0.4">
      <c r="A98" t="str">
        <f t="shared" si="20"/>
        <v>Nissan Frontier  Ext Cab  4WD</v>
      </c>
      <c r="D98" s="8">
        <f t="shared" si="21"/>
        <v>847.19</v>
      </c>
      <c r="F98" s="317">
        <f t="shared" si="22"/>
        <v>47392</v>
      </c>
      <c r="H98" s="8">
        <f t="shared" si="23"/>
        <v>10166.280000000001</v>
      </c>
      <c r="J98" s="8">
        <f t="shared" si="24"/>
        <v>10166.280000000001</v>
      </c>
      <c r="L98" s="8">
        <f t="shared" si="25"/>
        <v>10166.280000000001</v>
      </c>
    </row>
    <row r="99" spans="1:32" x14ac:dyDescent="0.4">
      <c r="A99" t="str">
        <f>BA34</f>
        <v>Equipment Trailer</v>
      </c>
      <c r="D99" s="8">
        <f>BD34</f>
        <v>471.88</v>
      </c>
      <c r="F99" s="317">
        <v>11063</v>
      </c>
      <c r="H99" s="8">
        <f>D99*12</f>
        <v>5662.5599999999995</v>
      </c>
      <c r="J99" s="8">
        <f>H99</f>
        <v>5662.5599999999995</v>
      </c>
      <c r="L99" s="8">
        <f t="shared" ref="L99:L100" si="26">J99</f>
        <v>5662.5599999999995</v>
      </c>
      <c r="Q99" t="s">
        <v>2785</v>
      </c>
      <c r="AB99" s="9">
        <f>X97+Z97+AB97</f>
        <v>55874.879999999997</v>
      </c>
    </row>
    <row r="100" spans="1:32" x14ac:dyDescent="0.4">
      <c r="A100" t="str">
        <f>BA35</f>
        <v>Tool, Shop, and Garage Struct.</v>
      </c>
      <c r="D100" s="8">
        <f>BD35</f>
        <v>2660</v>
      </c>
      <c r="F100" s="317">
        <v>11428</v>
      </c>
      <c r="H100" s="8">
        <f>D100*12</f>
        <v>31920</v>
      </c>
      <c r="J100" s="8">
        <f>H100</f>
        <v>31920</v>
      </c>
      <c r="L100" s="8">
        <f t="shared" si="26"/>
        <v>31920</v>
      </c>
      <c r="Q100" t="s">
        <v>118</v>
      </c>
      <c r="AB100" s="217">
        <v>3</v>
      </c>
    </row>
    <row r="101" spans="1:32" x14ac:dyDescent="0.4">
      <c r="A101" t="str">
        <f>BA25</f>
        <v>Kawasaki Mule UTV 4X4</v>
      </c>
      <c r="D101" s="8">
        <f>BD25</f>
        <v>850</v>
      </c>
      <c r="F101" s="317">
        <f>BE25</f>
        <v>46447</v>
      </c>
      <c r="H101" s="10">
        <f>BG25</f>
        <v>10200</v>
      </c>
      <c r="J101" s="10">
        <f>BI25</f>
        <v>2550</v>
      </c>
      <c r="L101" s="10">
        <f>BK25</f>
        <v>0</v>
      </c>
    </row>
    <row r="102" spans="1:32" ht="16.5" thickBot="1" x14ac:dyDescent="0.45">
      <c r="Q102" t="s">
        <v>111</v>
      </c>
      <c r="AB102" s="31">
        <f>AB99/AB100</f>
        <v>18624.96</v>
      </c>
    </row>
    <row r="103" spans="1:32" ht="17" thickTop="1" thickBot="1" x14ac:dyDescent="0.45">
      <c r="A103" t="s">
        <v>2784</v>
      </c>
      <c r="H103" s="31">
        <f>SUM(H91:H102)</f>
        <v>148327.67999999999</v>
      </c>
      <c r="J103" s="31">
        <f>SUM(J91:J102)</f>
        <v>136362.66</v>
      </c>
      <c r="L103" s="31">
        <f>SUM(L91:L102)</f>
        <v>92701.37999999999</v>
      </c>
    </row>
    <row r="104" spans="1:32" ht="16.5" thickTop="1" x14ac:dyDescent="0.4"/>
    <row r="105" spans="1:32" x14ac:dyDescent="0.4">
      <c r="A105" t="s">
        <v>2785</v>
      </c>
      <c r="L105" s="9">
        <f>H103+J103+L103</f>
        <v>377391.72</v>
      </c>
    </row>
    <row r="106" spans="1:32" x14ac:dyDescent="0.4">
      <c r="A106" t="s">
        <v>118</v>
      </c>
      <c r="L106" s="217">
        <v>3</v>
      </c>
    </row>
    <row r="108" spans="1:32" ht="16.5" thickBot="1" x14ac:dyDescent="0.45">
      <c r="A108" t="s">
        <v>111</v>
      </c>
      <c r="L108" s="31">
        <f>L105/L106</f>
        <v>125797.23999999999</v>
      </c>
    </row>
    <row r="109" spans="1:32" ht="16.5" thickTop="1" x14ac:dyDescent="0.4"/>
    <row r="120" spans="1:12" x14ac:dyDescent="0.4">
      <c r="A120" s="400" t="s">
        <v>2787</v>
      </c>
      <c r="B120" s="400"/>
      <c r="C120" s="400"/>
      <c r="D120" s="400"/>
      <c r="E120" s="400"/>
      <c r="F120" s="400"/>
      <c r="G120" s="400"/>
      <c r="H120" s="400"/>
      <c r="I120" s="400"/>
      <c r="J120" s="400"/>
      <c r="K120" s="400"/>
      <c r="L120" s="400"/>
    </row>
    <row r="130" spans="13:16" x14ac:dyDescent="0.4">
      <c r="M130" s="1">
        <v>621146</v>
      </c>
      <c r="O130">
        <v>2.2499999999999999E-2</v>
      </c>
      <c r="P130">
        <f>M130*O130</f>
        <v>13975.785</v>
      </c>
    </row>
    <row r="131" spans="13:16" x14ac:dyDescent="0.4">
      <c r="M131" s="1">
        <v>62981.18</v>
      </c>
      <c r="O131">
        <f>O130</f>
        <v>2.2499999999999999E-2</v>
      </c>
      <c r="P131">
        <f>M131*O131</f>
        <v>1417.07655</v>
      </c>
    </row>
    <row r="133" spans="13:16" x14ac:dyDescent="0.4">
      <c r="P133">
        <f>SUM(P130:P132)</f>
        <v>15392.86155</v>
      </c>
    </row>
  </sheetData>
  <mergeCells count="20">
    <mergeCell ref="Q55:AB55"/>
    <mergeCell ref="Q56:AB56"/>
    <mergeCell ref="BD12:BE12"/>
    <mergeCell ref="A54:L54"/>
    <mergeCell ref="A55:L55"/>
    <mergeCell ref="A56:L56"/>
    <mergeCell ref="Q54:AB54"/>
    <mergeCell ref="A120:L120"/>
    <mergeCell ref="A58:L58"/>
    <mergeCell ref="Q58:AB58"/>
    <mergeCell ref="AN62:AP62"/>
    <mergeCell ref="AN75:AP75"/>
    <mergeCell ref="A62:C62"/>
    <mergeCell ref="Q80:AB80"/>
    <mergeCell ref="Q91:AB91"/>
    <mergeCell ref="A76:L76"/>
    <mergeCell ref="A85:L85"/>
    <mergeCell ref="A86:L86"/>
    <mergeCell ref="H88:L88"/>
    <mergeCell ref="X92:AB9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2FE-64C9-4DD4-822D-2DD7DA53C184}">
  <dimension ref="A1:L91"/>
  <sheetViews>
    <sheetView showGridLines="0" topLeftCell="A66" workbookViewId="0">
      <selection activeCell="A68" sqref="A68:K88"/>
    </sheetView>
  </sheetViews>
  <sheetFormatPr defaultColWidth="8.83203125" defaultRowHeight="16" x14ac:dyDescent="0.4"/>
  <cols>
    <col min="1" max="1" width="2.83203125" style="8" customWidth="1"/>
    <col min="2" max="2" width="1.83203125" style="8" customWidth="1"/>
    <col min="3" max="3" width="11.5" style="8" customWidth="1"/>
    <col min="4" max="4" width="24.83203125" style="8" customWidth="1"/>
    <col min="5" max="5" width="11.08203125" style="8" bestFit="1" customWidth="1"/>
    <col min="6" max="6" width="0.9140625" style="8" customWidth="1"/>
    <col min="7" max="7" width="12.4140625" style="8" bestFit="1" customWidth="1"/>
    <col min="8" max="8" width="0.9140625" style="8" customWidth="1"/>
    <col min="9" max="9" width="5.5" style="8" customWidth="1"/>
    <col min="10" max="10" width="0.9140625" style="8" customWidth="1"/>
    <col min="11" max="11" width="11.08203125" style="8" bestFit="1" customWidth="1"/>
    <col min="12" max="13" width="10.08203125" style="8" bestFit="1" customWidth="1"/>
    <col min="14" max="16384" width="8.83203125" style="8"/>
  </cols>
  <sheetData>
    <row r="1" spans="1:12" x14ac:dyDescent="0.4">
      <c r="A1" s="413" t="s">
        <v>213</v>
      </c>
      <c r="B1" s="413"/>
      <c r="C1" s="413"/>
      <c r="D1" s="413"/>
      <c r="E1" s="413"/>
      <c r="F1" s="413"/>
      <c r="G1" s="413"/>
      <c r="H1" s="413"/>
      <c r="I1" s="413"/>
      <c r="J1" s="413"/>
      <c r="K1" s="413"/>
    </row>
    <row r="2" spans="1:12" x14ac:dyDescent="0.4">
      <c r="A2" s="413"/>
      <c r="B2" s="413"/>
      <c r="C2" s="413"/>
      <c r="D2" s="413"/>
      <c r="E2" s="413"/>
      <c r="F2" s="413"/>
      <c r="G2" s="413"/>
      <c r="H2" s="413"/>
      <c r="I2" s="413"/>
      <c r="J2" s="413"/>
      <c r="K2" s="413"/>
    </row>
    <row r="3" spans="1:12" x14ac:dyDescent="0.4">
      <c r="A3" s="408" t="s">
        <v>209</v>
      </c>
      <c r="B3" s="408"/>
      <c r="C3" s="408"/>
      <c r="D3" s="408"/>
      <c r="E3" s="408"/>
      <c r="F3" s="408"/>
      <c r="G3" s="408"/>
      <c r="H3" s="408"/>
      <c r="I3" s="408"/>
      <c r="J3" s="408"/>
      <c r="K3" s="408"/>
    </row>
    <row r="4" spans="1:12" x14ac:dyDescent="0.4">
      <c r="A4" s="409" t="s">
        <v>210</v>
      </c>
      <c r="B4" s="409"/>
      <c r="C4" s="409"/>
      <c r="D4" s="409"/>
      <c r="E4" s="409"/>
      <c r="F4" s="409"/>
      <c r="G4" s="409"/>
      <c r="H4" s="409"/>
      <c r="I4" s="409"/>
      <c r="J4" s="409"/>
      <c r="K4" s="409"/>
    </row>
    <row r="5" spans="1:12" x14ac:dyDescent="0.4">
      <c r="A5" s="409" t="s">
        <v>543</v>
      </c>
      <c r="B5" s="409"/>
      <c r="C5" s="409"/>
      <c r="D5" s="409"/>
      <c r="E5" s="409"/>
      <c r="F5" s="409"/>
      <c r="G5" s="409"/>
      <c r="H5" s="409"/>
      <c r="I5" s="409"/>
      <c r="J5" s="409"/>
      <c r="K5" s="409"/>
    </row>
    <row r="7" spans="1:12" x14ac:dyDescent="0.4">
      <c r="E7" s="10" t="s">
        <v>177</v>
      </c>
      <c r="G7" s="10" t="s">
        <v>32</v>
      </c>
      <c r="I7" s="10"/>
      <c r="K7" s="10" t="s">
        <v>179</v>
      </c>
      <c r="L7" s="8" t="s">
        <v>545</v>
      </c>
    </row>
    <row r="8" spans="1:12" x14ac:dyDescent="0.4">
      <c r="A8" s="8" t="s">
        <v>2620</v>
      </c>
    </row>
    <row r="9" spans="1:12" x14ac:dyDescent="0.4">
      <c r="B9" s="8" t="s">
        <v>2621</v>
      </c>
    </row>
    <row r="10" spans="1:12" x14ac:dyDescent="0.4">
      <c r="C10" s="8" t="s">
        <v>156</v>
      </c>
      <c r="E10" s="9">
        <f>2362512-7269</f>
        <v>2355243</v>
      </c>
      <c r="G10" s="9">
        <v>-138808.66</v>
      </c>
      <c r="I10" s="8" t="s">
        <v>220</v>
      </c>
    </row>
    <row r="11" spans="1:12" x14ac:dyDescent="0.4">
      <c r="G11" s="8">
        <f>-'Rev-Sewer'!S57</f>
        <v>-13532</v>
      </c>
      <c r="I11" s="8" t="s">
        <v>221</v>
      </c>
    </row>
    <row r="12" spans="1:12" x14ac:dyDescent="0.4">
      <c r="G12" s="8">
        <f>'Rev-Sewer'!BB26+'Rev-Sewer'!BB42</f>
        <v>644354.22828364</v>
      </c>
      <c r="I12" s="67" t="s">
        <v>222</v>
      </c>
    </row>
    <row r="13" spans="1:12" x14ac:dyDescent="0.4">
      <c r="G13" s="8">
        <f>'Rev-Sewer'!BB56</f>
        <v>-12304.567136035676</v>
      </c>
      <c r="I13" s="67" t="s">
        <v>291</v>
      </c>
      <c r="K13" s="9">
        <f>SUM(E10:G13)</f>
        <v>2834952.0011476041</v>
      </c>
    </row>
    <row r="14" spans="1:12" x14ac:dyDescent="0.4">
      <c r="C14" s="8" t="s">
        <v>157</v>
      </c>
      <c r="E14" s="10">
        <f>'Rev-Sewer'!S19</f>
        <v>7268.8319999999994</v>
      </c>
      <c r="G14" s="10"/>
      <c r="K14" s="10">
        <f>E14+G14</f>
        <v>7268.8319999999994</v>
      </c>
    </row>
    <row r="16" spans="1:12" x14ac:dyDescent="0.4">
      <c r="B16" s="8" t="s">
        <v>178</v>
      </c>
      <c r="E16" s="10">
        <f>SUM(E10:E15)</f>
        <v>2362511.8319999999</v>
      </c>
      <c r="G16" s="10">
        <f>SUM(G10:G15)</f>
        <v>479709.00114760431</v>
      </c>
      <c r="K16" s="10">
        <f>SUM(K10:K15)</f>
        <v>2842220.833147604</v>
      </c>
    </row>
    <row r="18" spans="1:12" x14ac:dyDescent="0.4">
      <c r="B18" s="8" t="s">
        <v>2617</v>
      </c>
    </row>
    <row r="19" spans="1:12" x14ac:dyDescent="0.4">
      <c r="C19" s="8" t="s">
        <v>318</v>
      </c>
      <c r="G19" s="8">
        <f>'Other Rev'!G18</f>
        <v>41746.018714095662</v>
      </c>
      <c r="I19" s="8" t="s">
        <v>297</v>
      </c>
      <c r="K19" s="8">
        <f>E19+G19</f>
        <v>41746.018714095662</v>
      </c>
    </row>
    <row r="20" spans="1:12" x14ac:dyDescent="0.4">
      <c r="C20" s="8" t="s">
        <v>232</v>
      </c>
      <c r="E20" s="10"/>
      <c r="G20" s="10">
        <f>-'Other Rev'!G37</f>
        <v>3242.4730215827335</v>
      </c>
      <c r="I20" s="8" t="s">
        <v>298</v>
      </c>
      <c r="K20" s="10">
        <f>E20+G20</f>
        <v>3242.4730215827335</v>
      </c>
    </row>
    <row r="21" spans="1:12" x14ac:dyDescent="0.4">
      <c r="E21" s="26"/>
      <c r="G21" s="26"/>
      <c r="K21" s="26"/>
    </row>
    <row r="22" spans="1:12" x14ac:dyDescent="0.4">
      <c r="B22" s="8" t="s">
        <v>190</v>
      </c>
      <c r="E22" s="10">
        <f>SUM(E19:E21)</f>
        <v>0</v>
      </c>
      <c r="G22" s="10">
        <f>SUM(G19:G21)</f>
        <v>44988.491735678399</v>
      </c>
      <c r="K22" s="10">
        <f>SUM(K19:K21)</f>
        <v>44988.491735678399</v>
      </c>
    </row>
    <row r="24" spans="1:12" x14ac:dyDescent="0.4">
      <c r="A24" s="8" t="s">
        <v>191</v>
      </c>
      <c r="E24" s="10">
        <f>E16+E22</f>
        <v>2362511.8319999999</v>
      </c>
      <c r="G24" s="10">
        <f>G16+G22</f>
        <v>524697.49288328271</v>
      </c>
      <c r="K24" s="10">
        <f>K16+K22</f>
        <v>2887209.3248832822</v>
      </c>
      <c r="L24" s="8">
        <v>2362512</v>
      </c>
    </row>
    <row r="26" spans="1:12" x14ac:dyDescent="0.4">
      <c r="A26" s="8" t="s">
        <v>2618</v>
      </c>
    </row>
    <row r="27" spans="1:12" x14ac:dyDescent="0.4">
      <c r="B27" s="8" t="s">
        <v>233</v>
      </c>
      <c r="E27" s="8">
        <v>427320</v>
      </c>
      <c r="G27" s="8">
        <v>-8705</v>
      </c>
      <c r="I27" s="8" t="s">
        <v>299</v>
      </c>
    </row>
    <row r="28" spans="1:12" x14ac:dyDescent="0.4">
      <c r="G28" s="8">
        <f>'Wages, Bene Pro forma, Temp Emp'!I21</f>
        <v>138551.79125787341</v>
      </c>
      <c r="I28" s="8" t="s">
        <v>308</v>
      </c>
      <c r="K28" s="8">
        <f>E27+G27+G28</f>
        <v>557166.79125787341</v>
      </c>
    </row>
    <row r="29" spans="1:12" x14ac:dyDescent="0.4">
      <c r="B29" s="8" t="s">
        <v>245</v>
      </c>
      <c r="G29" s="8">
        <f>'Wages, Bene Pro forma, Temp Emp'!I32</f>
        <v>3579.7254487856389</v>
      </c>
      <c r="I29" s="8" t="s">
        <v>315</v>
      </c>
      <c r="K29" s="8">
        <f>E29+G29</f>
        <v>3579.7254487856389</v>
      </c>
    </row>
    <row r="30" spans="1:12" x14ac:dyDescent="0.4">
      <c r="B30" s="8" t="s">
        <v>192</v>
      </c>
    </row>
    <row r="31" spans="1:12" x14ac:dyDescent="0.4">
      <c r="C31" s="8" t="s">
        <v>562</v>
      </c>
      <c r="E31" s="8">
        <v>143644</v>
      </c>
      <c r="G31" s="8">
        <f>'Wages, Bene Pro forma, Temp Emp'!AU207</f>
        <v>4673.5725477787491</v>
      </c>
      <c r="I31" s="8" t="s">
        <v>317</v>
      </c>
      <c r="K31" s="8">
        <f>+E31+G31</f>
        <v>148317.57254777875</v>
      </c>
    </row>
    <row r="32" spans="1:12" x14ac:dyDescent="0.4">
      <c r="C32" s="8" t="s">
        <v>563</v>
      </c>
      <c r="E32" s="26"/>
      <c r="F32" s="26"/>
      <c r="G32" s="26">
        <f>'Wages, Bene Pro forma, Temp Emp'!BI204</f>
        <v>105543.53988905248</v>
      </c>
      <c r="H32" s="26"/>
      <c r="I32" s="26" t="s">
        <v>455</v>
      </c>
      <c r="J32" s="26"/>
      <c r="K32" s="26">
        <f>E32+G32</f>
        <v>105543.53988905248</v>
      </c>
    </row>
    <row r="33" spans="2:11" x14ac:dyDescent="0.4">
      <c r="B33" s="8" t="s">
        <v>555</v>
      </c>
      <c r="G33" s="8">
        <f>'Purch Pow. Water Loss'!D32</f>
        <v>239034.88190826113</v>
      </c>
      <c r="I33" s="8" t="s">
        <v>456</v>
      </c>
      <c r="K33" s="8">
        <f>E33+G33</f>
        <v>239034.88190826113</v>
      </c>
    </row>
    <row r="34" spans="2:11" x14ac:dyDescent="0.4">
      <c r="B34" s="8" t="s">
        <v>556</v>
      </c>
      <c r="G34" s="8">
        <f>'Purch Pow. Water Loss'!O40</f>
        <v>1461.5081497445401</v>
      </c>
      <c r="I34" s="8" t="str">
        <f>I33</f>
        <v>(L)</v>
      </c>
      <c r="K34" s="8">
        <f>E34+G34</f>
        <v>1461.5081497445401</v>
      </c>
    </row>
    <row r="35" spans="2:11" x14ac:dyDescent="0.4">
      <c r="B35" s="8" t="s">
        <v>194</v>
      </c>
      <c r="E35" s="8">
        <v>38140</v>
      </c>
      <c r="K35" s="8">
        <f>E35+G35</f>
        <v>38140</v>
      </c>
    </row>
    <row r="36" spans="2:11" x14ac:dyDescent="0.4">
      <c r="B36" s="8" t="s">
        <v>234</v>
      </c>
    </row>
    <row r="37" spans="2:11" x14ac:dyDescent="0.4">
      <c r="C37" s="8" t="s">
        <v>235</v>
      </c>
      <c r="E37" s="8">
        <v>181302</v>
      </c>
      <c r="G37" s="8">
        <f>-G27</f>
        <v>8705</v>
      </c>
      <c r="I37" s="8" t="str">
        <f>I27</f>
        <v>(G)</v>
      </c>
    </row>
    <row r="38" spans="2:11" x14ac:dyDescent="0.4">
      <c r="G38" s="8">
        <v>-17699.43</v>
      </c>
      <c r="I38" s="8" t="s">
        <v>457</v>
      </c>
      <c r="K38" s="8">
        <f>E37+G37+G38</f>
        <v>172307.57</v>
      </c>
    </row>
    <row r="39" spans="2:11" x14ac:dyDescent="0.4">
      <c r="C39" s="8" t="s">
        <v>236</v>
      </c>
      <c r="E39" s="8">
        <v>60854</v>
      </c>
      <c r="K39" s="8">
        <f t="shared" ref="K39:K44" si="0">E39+G39</f>
        <v>60854</v>
      </c>
    </row>
    <row r="40" spans="2:11" x14ac:dyDescent="0.4">
      <c r="B40" s="8" t="s">
        <v>2865</v>
      </c>
      <c r="G40" s="8">
        <f>Transportaion!W27</f>
        <v>31716.872028589383</v>
      </c>
      <c r="I40" s="8" t="s">
        <v>2719</v>
      </c>
      <c r="K40" s="8">
        <f t="shared" si="0"/>
        <v>31716.872028589383</v>
      </c>
    </row>
    <row r="41" spans="2:11" x14ac:dyDescent="0.4">
      <c r="B41" s="8" t="s">
        <v>241</v>
      </c>
      <c r="G41" s="8">
        <f>'Acct.RateCase,PSCFees,IntIn,Bad'!AE20</f>
        <v>9091.1900739176344</v>
      </c>
      <c r="I41" s="8" t="s">
        <v>2720</v>
      </c>
      <c r="K41" s="8">
        <f t="shared" si="0"/>
        <v>9091.1900739176344</v>
      </c>
    </row>
    <row r="42" spans="2:11" x14ac:dyDescent="0.4">
      <c r="B42" s="8" t="s">
        <v>3411</v>
      </c>
      <c r="G42" s="8">
        <f>'Wages, Bene Pro forma, Temp Emp'!AQ12</f>
        <v>7000.9567234930182</v>
      </c>
      <c r="I42" s="8" t="s">
        <v>2721</v>
      </c>
      <c r="K42" s="8">
        <f t="shared" si="0"/>
        <v>7000.9567234930182</v>
      </c>
    </row>
    <row r="43" spans="2:11" x14ac:dyDescent="0.4">
      <c r="B43" s="8" t="s">
        <v>3265</v>
      </c>
      <c r="G43" s="8">
        <f>'General &amp; Workers Comp Ins'!F8</f>
        <v>18184.170010559661</v>
      </c>
      <c r="I43" s="8" t="s">
        <v>2731</v>
      </c>
      <c r="K43" s="8">
        <f t="shared" si="0"/>
        <v>18184.170010559661</v>
      </c>
    </row>
    <row r="44" spans="2:11" x14ac:dyDescent="0.4">
      <c r="B44" s="8" t="s">
        <v>3266</v>
      </c>
      <c r="G44" s="8">
        <f>'General &amp; Workers Comp Ins'!V25</f>
        <v>10011.817049780351</v>
      </c>
      <c r="I44" s="8" t="s">
        <v>2734</v>
      </c>
      <c r="K44" s="8">
        <f t="shared" si="0"/>
        <v>10011.817049780351</v>
      </c>
    </row>
    <row r="45" spans="2:11" x14ac:dyDescent="0.4">
      <c r="B45" s="8" t="s">
        <v>2735</v>
      </c>
      <c r="G45" s="8">
        <f>'Acct.RateCase,PSCFees,IntIn,Bad'!H35</f>
        <v>8157.4163041182683</v>
      </c>
      <c r="I45" s="8" t="s">
        <v>2788</v>
      </c>
    </row>
    <row r="46" spans="2:11" x14ac:dyDescent="0.4">
      <c r="G46" s="8">
        <f>'Acct.RateCase,PSCFees,IntIn,Bad'!Q68</f>
        <v>1193.2418162618796</v>
      </c>
      <c r="I46" s="8" t="s">
        <v>2805</v>
      </c>
      <c r="K46" s="8">
        <f>SUM(E45:G46)</f>
        <v>9350.658120380147</v>
      </c>
    </row>
    <row r="47" spans="2:11" x14ac:dyDescent="0.4">
      <c r="B47" s="8" t="s">
        <v>199</v>
      </c>
      <c r="G47" s="8">
        <f>'Acct.RateCase,PSCFees,IntIn,Bad'!AA64</f>
        <v>6475.6400492198263</v>
      </c>
      <c r="I47" s="8" t="s">
        <v>2837</v>
      </c>
      <c r="K47" s="8">
        <f>E47+G47</f>
        <v>6475.6400492198263</v>
      </c>
    </row>
    <row r="48" spans="2:11" x14ac:dyDescent="0.4">
      <c r="B48" s="8" t="s">
        <v>2840</v>
      </c>
      <c r="E48" s="8">
        <v>2134</v>
      </c>
      <c r="G48" s="8">
        <f>'Acct.RateCase,PSCFees,IntIn,Bad'!AA30</f>
        <v>3809.7849138469828</v>
      </c>
      <c r="I48" s="8" t="s">
        <v>2838</v>
      </c>
    </row>
    <row r="49" spans="1:12" x14ac:dyDescent="0.4">
      <c r="G49" s="8">
        <f>Misc!F12</f>
        <v>47713.563885955649</v>
      </c>
      <c r="I49" s="8" t="s">
        <v>3257</v>
      </c>
      <c r="K49" s="8">
        <f>SUM(E48:G49)</f>
        <v>53657.348799802632</v>
      </c>
    </row>
    <row r="50" spans="1:12" x14ac:dyDescent="0.4">
      <c r="B50" s="8" t="s">
        <v>237</v>
      </c>
      <c r="E50" s="10">
        <v>6580</v>
      </c>
      <c r="G50" s="10"/>
      <c r="K50" s="10">
        <f>E50+G50</f>
        <v>6580</v>
      </c>
    </row>
    <row r="52" spans="1:12" x14ac:dyDescent="0.4">
      <c r="B52" s="8" t="s">
        <v>201</v>
      </c>
      <c r="E52" s="8">
        <f>SUM(E27:E51)</f>
        <v>859974</v>
      </c>
      <c r="G52" s="8">
        <f>SUM(G27:G51)</f>
        <v>618500.24205723859</v>
      </c>
      <c r="K52" s="8">
        <f>SUM(K28:K51)</f>
        <v>1478474.2420572389</v>
      </c>
    </row>
    <row r="53" spans="1:12" x14ac:dyDescent="0.4">
      <c r="B53" s="8" t="s">
        <v>202</v>
      </c>
      <c r="E53" s="8">
        <v>1263407</v>
      </c>
      <c r="G53" s="8">
        <f>'Depreciation Sewer'!Z20</f>
        <v>884.97149999999999</v>
      </c>
      <c r="I53" s="8" t="str">
        <f>I38</f>
        <v>(M)</v>
      </c>
    </row>
    <row r="54" spans="1:12" x14ac:dyDescent="0.4">
      <c r="G54" s="8">
        <f>'Depreciation Sewer'!Z14</f>
        <v>102086.2001380953</v>
      </c>
      <c r="I54" s="8" t="s">
        <v>3258</v>
      </c>
    </row>
    <row r="55" spans="1:12" x14ac:dyDescent="0.4">
      <c r="G55" s="8">
        <f>'Depreciation Water'!Y1114</f>
        <v>1635.9319447377684</v>
      </c>
      <c r="I55" s="8" t="s">
        <v>3259</v>
      </c>
      <c r="K55" s="8">
        <f>E53+G54+G55+G53</f>
        <v>1368014.103582833</v>
      </c>
    </row>
    <row r="56" spans="1:12" x14ac:dyDescent="0.4">
      <c r="B56" s="8" t="s">
        <v>203</v>
      </c>
      <c r="E56" s="10"/>
      <c r="G56" s="10">
        <f>'Wages, Bene Pro forma, Temp Emp'!BI230</f>
        <v>43362.410319616087</v>
      </c>
      <c r="I56" s="8" t="s">
        <v>3260</v>
      </c>
      <c r="K56" s="10">
        <f>E56+G56</f>
        <v>43362.410319616087</v>
      </c>
    </row>
    <row r="58" spans="1:12" x14ac:dyDescent="0.4">
      <c r="A58" s="8" t="s">
        <v>204</v>
      </c>
      <c r="E58" s="10">
        <f>SUM(E52:E57)</f>
        <v>2123381</v>
      </c>
      <c r="G58" s="10">
        <f>SUM(G52:G57)</f>
        <v>766469.75595968775</v>
      </c>
      <c r="K58" s="74">
        <f>SUM(K52:K57)</f>
        <v>2889850.7559596878</v>
      </c>
      <c r="L58" s="8">
        <v>2123381</v>
      </c>
    </row>
    <row r="60" spans="1:12" x14ac:dyDescent="0.4">
      <c r="A60" s="8" t="s">
        <v>205</v>
      </c>
      <c r="E60" s="8">
        <f>E24-E58</f>
        <v>239130.83199999994</v>
      </c>
      <c r="G60" s="8">
        <f>G24-G58</f>
        <v>-241772.26307640504</v>
      </c>
      <c r="K60" s="8">
        <f>K24-K58</f>
        <v>-2641.4310764055699</v>
      </c>
      <c r="L60" s="8">
        <f>L24-L58</f>
        <v>239131</v>
      </c>
    </row>
    <row r="62" spans="1:12" x14ac:dyDescent="0.4">
      <c r="A62" s="8" t="s">
        <v>3466</v>
      </c>
      <c r="G62" s="8">
        <f>-G11</f>
        <v>13532</v>
      </c>
      <c r="I62" s="8" t="str">
        <f>I11</f>
        <v>(B)</v>
      </c>
      <c r="K62" s="8">
        <f>E62+G62</f>
        <v>13532</v>
      </c>
    </row>
    <row r="63" spans="1:12" x14ac:dyDescent="0.4">
      <c r="A63" s="8" t="s">
        <v>206</v>
      </c>
      <c r="E63" s="10"/>
      <c r="G63" s="10">
        <f>'Acct.RateCase,PSCFees,IntIn,Bad'!AA40</f>
        <v>25048.04796237962</v>
      </c>
      <c r="I63" s="8" t="s">
        <v>3267</v>
      </c>
      <c r="K63" s="10">
        <f>E63+G63</f>
        <v>25048.04796237962</v>
      </c>
    </row>
    <row r="65" spans="1:12" ht="16.5" thickBot="1" x14ac:dyDescent="0.45">
      <c r="A65" s="8" t="s">
        <v>207</v>
      </c>
      <c r="E65" s="31">
        <f>SUM(E60:E63)</f>
        <v>239130.83199999994</v>
      </c>
      <c r="F65" s="9"/>
      <c r="G65" s="31">
        <f>SUM(G60:G63)</f>
        <v>-203192.21511402543</v>
      </c>
      <c r="H65" s="9"/>
      <c r="I65" s="9"/>
      <c r="J65" s="9"/>
      <c r="K65" s="31">
        <f>SUM(K60:K63)</f>
        <v>35938.61688597405</v>
      </c>
    </row>
    <row r="66" spans="1:12" ht="16.5" thickTop="1" x14ac:dyDescent="0.4"/>
    <row r="67" spans="1:12" x14ac:dyDescent="0.4">
      <c r="A67" s="409"/>
      <c r="B67" s="409"/>
      <c r="C67" s="409"/>
      <c r="D67" s="409"/>
      <c r="E67" s="409"/>
      <c r="F67" s="409"/>
      <c r="G67" s="409"/>
      <c r="H67" s="409"/>
      <c r="I67" s="409"/>
      <c r="J67" s="409"/>
      <c r="K67" s="409"/>
    </row>
    <row r="68" spans="1:12" x14ac:dyDescent="0.4">
      <c r="A68" s="409" t="s">
        <v>3414</v>
      </c>
      <c r="B68" s="409"/>
      <c r="C68" s="409"/>
      <c r="D68" s="409"/>
      <c r="E68" s="409"/>
      <c r="F68" s="409"/>
      <c r="G68" s="409"/>
      <c r="H68" s="409"/>
      <c r="I68" s="409"/>
      <c r="J68" s="409"/>
      <c r="K68" s="409"/>
      <c r="L68" s="359"/>
    </row>
    <row r="69" spans="1:12" x14ac:dyDescent="0.4">
      <c r="A69" s="409" t="s">
        <v>3413</v>
      </c>
      <c r="B69" s="409"/>
      <c r="C69" s="409"/>
      <c r="D69" s="409"/>
      <c r="E69" s="409"/>
      <c r="F69" s="409"/>
      <c r="G69" s="409"/>
      <c r="H69" s="409"/>
      <c r="I69" s="409"/>
      <c r="J69" s="409"/>
      <c r="K69" s="409"/>
      <c r="L69" s="359"/>
    </row>
    <row r="70" spans="1:12" x14ac:dyDescent="0.4">
      <c r="A70" s="409" t="s">
        <v>543</v>
      </c>
      <c r="B70" s="409"/>
      <c r="C70" s="409"/>
      <c r="D70" s="409"/>
      <c r="E70" s="409"/>
      <c r="F70" s="409"/>
      <c r="G70" s="409"/>
      <c r="H70" s="409"/>
      <c r="I70" s="409"/>
      <c r="J70" s="409"/>
      <c r="K70" s="409"/>
      <c r="L70" s="359"/>
    </row>
    <row r="72" spans="1:12" x14ac:dyDescent="0.4">
      <c r="A72" t="s">
        <v>215</v>
      </c>
      <c r="B72"/>
      <c r="K72" s="9">
        <f>K58</f>
        <v>2889850.7559596878</v>
      </c>
    </row>
    <row r="73" spans="1:12" x14ac:dyDescent="0.4">
      <c r="A73" t="s">
        <v>3535</v>
      </c>
      <c r="B73"/>
      <c r="C73" s="8" t="s">
        <v>3536</v>
      </c>
      <c r="K73" s="8">
        <f>'LTD-STD'!AB77</f>
        <v>388519.65197073302</v>
      </c>
    </row>
    <row r="74" spans="1:12" x14ac:dyDescent="0.4">
      <c r="A74"/>
      <c r="B74"/>
      <c r="C74" s="8" t="s">
        <v>238</v>
      </c>
      <c r="K74" s="26">
        <f>K73*0.2</f>
        <v>77703.930394146606</v>
      </c>
    </row>
    <row r="75" spans="1:12" x14ac:dyDescent="0.4">
      <c r="A75"/>
      <c r="C75" s="8" t="s">
        <v>3571</v>
      </c>
      <c r="K75" s="10">
        <f>'LTD-STD'!AB102</f>
        <v>18624.96</v>
      </c>
    </row>
    <row r="76" spans="1:12" x14ac:dyDescent="0.4">
      <c r="A76"/>
      <c r="B76"/>
    </row>
    <row r="77" spans="1:12" x14ac:dyDescent="0.4">
      <c r="A77" t="s">
        <v>216</v>
      </c>
      <c r="B77"/>
      <c r="K77" s="8">
        <f>SUM(K72:K76)</f>
        <v>3374699.2983245673</v>
      </c>
    </row>
    <row r="78" spans="1:12" x14ac:dyDescent="0.4">
      <c r="A78" t="s">
        <v>3542</v>
      </c>
      <c r="B78"/>
      <c r="C78" s="387" t="s">
        <v>3543</v>
      </c>
      <c r="K78" s="8">
        <f>-K14</f>
        <v>-7268.8319999999994</v>
      </c>
    </row>
    <row r="79" spans="1:12" x14ac:dyDescent="0.4">
      <c r="A79"/>
      <c r="B79"/>
      <c r="C79" s="387" t="s">
        <v>3487</v>
      </c>
      <c r="K79" s="8">
        <f>-K22</f>
        <v>-44988.491735678399</v>
      </c>
    </row>
    <row r="80" spans="1:12" x14ac:dyDescent="0.4">
      <c r="A80"/>
      <c r="B80"/>
      <c r="C80" s="387" t="s">
        <v>3541</v>
      </c>
      <c r="K80" s="8">
        <f>-K62</f>
        <v>-13532</v>
      </c>
    </row>
    <row r="81" spans="1:11" x14ac:dyDescent="0.4">
      <c r="A81"/>
      <c r="B81" t="s">
        <v>223</v>
      </c>
      <c r="K81" s="10">
        <f>-K63</f>
        <v>-25048.04796237962</v>
      </c>
    </row>
    <row r="82" spans="1:11" x14ac:dyDescent="0.4">
      <c r="A82"/>
      <c r="B82"/>
    </row>
    <row r="83" spans="1:11" x14ac:dyDescent="0.4">
      <c r="A83" t="s">
        <v>3329</v>
      </c>
      <c r="B83"/>
      <c r="K83" s="8">
        <f>SUM(K77:K82)</f>
        <v>3283861.9266265091</v>
      </c>
    </row>
    <row r="84" spans="1:11" x14ac:dyDescent="0.4">
      <c r="A84" t="s">
        <v>3544</v>
      </c>
      <c r="B84"/>
      <c r="K84" s="10">
        <f>-K13</f>
        <v>-2834952.0011476041</v>
      </c>
    </row>
    <row r="85" spans="1:11" x14ac:dyDescent="0.4">
      <c r="A85"/>
      <c r="B85"/>
    </row>
    <row r="86" spans="1:11" ht="16.5" thickBot="1" x14ac:dyDescent="0.45">
      <c r="A86" t="s">
        <v>3545</v>
      </c>
      <c r="B86"/>
      <c r="K86" s="31">
        <f>K83+K84</f>
        <v>448909.92547890497</v>
      </c>
    </row>
    <row r="87" spans="1:11" ht="17" thickTop="1" thickBot="1" x14ac:dyDescent="0.45">
      <c r="A87" t="s">
        <v>3546</v>
      </c>
      <c r="B87"/>
      <c r="K87" s="53">
        <f>K86/K84*-1</f>
        <v>0.15834833369213439</v>
      </c>
    </row>
    <row r="88" spans="1:11" ht="16.5" thickTop="1" x14ac:dyDescent="0.4"/>
    <row r="91" spans="1:11" x14ac:dyDescent="0.4">
      <c r="A91" s="8" t="s">
        <v>3531</v>
      </c>
    </row>
  </sheetData>
  <mergeCells count="9">
    <mergeCell ref="A68:K68"/>
    <mergeCell ref="A69:K69"/>
    <mergeCell ref="A70:K70"/>
    <mergeCell ref="A67:K67"/>
    <mergeCell ref="A1:K1"/>
    <mergeCell ref="A2:K2"/>
    <mergeCell ref="A3:K3"/>
    <mergeCell ref="A4:K4"/>
    <mergeCell ref="A5:K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B00F-43FD-42E2-AAC2-D3A1FFECCEA0}">
  <sheetPr>
    <pageSetUpPr fitToPage="1"/>
  </sheetPr>
  <dimension ref="A1:BD101"/>
  <sheetViews>
    <sheetView showGridLines="0" topLeftCell="A27" workbookViewId="0">
      <selection activeCell="BH20" sqref="BH20"/>
    </sheetView>
  </sheetViews>
  <sheetFormatPr defaultRowHeight="16" x14ac:dyDescent="0.4"/>
  <cols>
    <col min="1" max="1" width="12.1640625" customWidth="1"/>
    <col min="4" max="4" width="12.9140625" customWidth="1"/>
    <col min="5" max="5" width="9.58203125" bestFit="1" customWidth="1"/>
    <col min="6" max="6" width="9.58203125" customWidth="1"/>
    <col min="7" max="18" width="12.58203125" bestFit="1" customWidth="1"/>
    <col min="19" max="20" width="13.1640625" bestFit="1" customWidth="1"/>
    <col min="21" max="21" width="11.58203125" bestFit="1" customWidth="1"/>
    <col min="22" max="22" width="13.1640625" bestFit="1" customWidth="1"/>
    <col min="23" max="23" width="9.5" bestFit="1" customWidth="1"/>
    <col min="24" max="24" width="13.1640625" bestFit="1" customWidth="1"/>
    <col min="25" max="27" width="13.1640625" customWidth="1"/>
    <col min="28" max="28" width="12.9140625" customWidth="1"/>
    <col min="29" max="29" width="11.1640625" customWidth="1"/>
    <col min="30" max="30" width="11" bestFit="1" customWidth="1"/>
    <col min="31" max="31" width="0.9140625" customWidth="1"/>
    <col min="32" max="32" width="11.83203125" customWidth="1"/>
    <col min="33" max="33" width="0.9140625" customWidth="1"/>
    <col min="34" max="34" width="7.4140625" bestFit="1" customWidth="1"/>
    <col min="35" max="35" width="0.9140625" customWidth="1"/>
    <col min="36" max="36" width="11" bestFit="1" customWidth="1"/>
    <col min="37" max="37" width="0.9140625" customWidth="1"/>
    <col min="38" max="38" width="11" bestFit="1" customWidth="1"/>
    <col min="39" max="39" width="0.9140625" customWidth="1"/>
    <col min="41" max="41" width="0.9140625" customWidth="1"/>
    <col min="42" max="42" width="11" bestFit="1" customWidth="1"/>
    <col min="44" max="44" width="10.1640625" bestFit="1" customWidth="1"/>
    <col min="49" max="49" width="4" customWidth="1"/>
    <col min="50" max="50" width="20" customWidth="1"/>
    <col min="51" max="51" width="1.83203125" customWidth="1"/>
    <col min="52" max="52" width="16.1640625" customWidth="1"/>
    <col min="53" max="53" width="0.9140625" customWidth="1"/>
    <col min="54" max="54" width="14.4140625" bestFit="1" customWidth="1"/>
    <col min="56" max="56" width="10" bestFit="1" customWidth="1"/>
  </cols>
  <sheetData>
    <row r="1" spans="1:54" x14ac:dyDescent="0.4">
      <c r="AF1" t="s">
        <v>18</v>
      </c>
      <c r="AZ1" s="2"/>
    </row>
    <row r="3" spans="1:54" x14ac:dyDescent="0.4">
      <c r="G3" t="s">
        <v>123</v>
      </c>
      <c r="H3" t="s">
        <v>124</v>
      </c>
      <c r="I3" t="s">
        <v>125</v>
      </c>
      <c r="J3" t="s">
        <v>126</v>
      </c>
      <c r="K3" t="s">
        <v>9</v>
      </c>
      <c r="L3" t="s">
        <v>10</v>
      </c>
      <c r="M3" t="s">
        <v>11</v>
      </c>
      <c r="N3" t="s">
        <v>127</v>
      </c>
      <c r="O3" t="s">
        <v>128</v>
      </c>
      <c r="P3" t="s">
        <v>129</v>
      </c>
      <c r="Q3" t="s">
        <v>130</v>
      </c>
      <c r="R3" t="s">
        <v>131</v>
      </c>
      <c r="AD3" s="2" t="s">
        <v>28</v>
      </c>
      <c r="AF3" s="413" t="s">
        <v>151</v>
      </c>
      <c r="AG3" s="413"/>
      <c r="AH3" s="413"/>
      <c r="AJ3" s="2" t="s">
        <v>29</v>
      </c>
      <c r="AL3" s="413" t="s">
        <v>153</v>
      </c>
      <c r="AM3" s="413"/>
      <c r="AN3" s="413"/>
      <c r="AP3" s="2" t="s">
        <v>30</v>
      </c>
      <c r="AX3" s="2" t="s">
        <v>177</v>
      </c>
      <c r="AZ3" s="2" t="s">
        <v>180</v>
      </c>
      <c r="BB3" s="2" t="s">
        <v>179</v>
      </c>
    </row>
    <row r="4" spans="1:54" x14ac:dyDescent="0.4">
      <c r="AD4" s="43" t="s">
        <v>27</v>
      </c>
      <c r="AF4" s="413" t="s">
        <v>152</v>
      </c>
      <c r="AG4" s="413"/>
      <c r="AH4" s="413"/>
      <c r="AJ4" s="43" t="s">
        <v>27</v>
      </c>
      <c r="AL4" s="413" t="s">
        <v>152</v>
      </c>
      <c r="AM4" s="413"/>
      <c r="AN4" s="413"/>
      <c r="AP4" s="43" t="s">
        <v>27</v>
      </c>
      <c r="AR4" s="2" t="s">
        <v>25</v>
      </c>
      <c r="AU4" s="49"/>
      <c r="AX4" s="2" t="s">
        <v>407</v>
      </c>
      <c r="AZ4" s="2" t="s">
        <v>151</v>
      </c>
      <c r="BB4" s="2" t="s">
        <v>328</v>
      </c>
    </row>
    <row r="5" spans="1:54" x14ac:dyDescent="0.4">
      <c r="AD5" s="2" t="s">
        <v>150</v>
      </c>
      <c r="AF5" s="400" t="s">
        <v>29</v>
      </c>
      <c r="AG5" s="400"/>
      <c r="AH5" s="400"/>
      <c r="AI5" s="2"/>
      <c r="AJ5" s="2" t="s">
        <v>150</v>
      </c>
      <c r="AL5" s="400" t="s">
        <v>30</v>
      </c>
      <c r="AM5" s="400"/>
      <c r="AN5" s="400"/>
      <c r="AP5" s="2" t="s">
        <v>150</v>
      </c>
      <c r="AR5" s="2" t="s">
        <v>26</v>
      </c>
      <c r="AX5" s="21" t="s">
        <v>329</v>
      </c>
      <c r="AZ5" s="21" t="s">
        <v>27</v>
      </c>
      <c r="BB5" s="21" t="s">
        <v>140</v>
      </c>
    </row>
    <row r="6" spans="1:54" x14ac:dyDescent="0.4">
      <c r="AD6" s="45">
        <v>45230</v>
      </c>
      <c r="AF6" s="21" t="s">
        <v>22</v>
      </c>
      <c r="AG6" s="2"/>
      <c r="AH6" s="21" t="s">
        <v>23</v>
      </c>
      <c r="AI6" s="2"/>
      <c r="AJ6" s="46">
        <v>45596</v>
      </c>
      <c r="AK6" s="2"/>
      <c r="AL6" s="21" t="s">
        <v>22</v>
      </c>
      <c r="AM6" s="2"/>
      <c r="AN6" s="21" t="s">
        <v>23</v>
      </c>
      <c r="AO6" s="2"/>
      <c r="AP6" s="46">
        <v>45961</v>
      </c>
      <c r="AR6" s="2" t="s">
        <v>21</v>
      </c>
      <c r="AT6" s="49" t="s">
        <v>154</v>
      </c>
    </row>
    <row r="7" spans="1:54" x14ac:dyDescent="0.4">
      <c r="AT7" t="s">
        <v>184</v>
      </c>
    </row>
    <row r="8" spans="1:54" x14ac:dyDescent="0.4">
      <c r="B8" t="s">
        <v>132</v>
      </c>
      <c r="G8">
        <f>G13-G11-G10</f>
        <v>2121</v>
      </c>
      <c r="H8">
        <f t="shared" ref="H8:R8" si="0">H13-H11-H10</f>
        <v>2120</v>
      </c>
      <c r="I8">
        <f t="shared" si="0"/>
        <v>2133</v>
      </c>
      <c r="J8">
        <f t="shared" si="0"/>
        <v>2125</v>
      </c>
      <c r="K8">
        <f t="shared" si="0"/>
        <v>2141</v>
      </c>
      <c r="L8">
        <f t="shared" si="0"/>
        <v>2145</v>
      </c>
      <c r="M8">
        <f t="shared" si="0"/>
        <v>2146</v>
      </c>
      <c r="N8">
        <f t="shared" si="0"/>
        <v>2150</v>
      </c>
      <c r="O8">
        <f t="shared" si="0"/>
        <v>2149</v>
      </c>
      <c r="P8">
        <f t="shared" si="0"/>
        <v>2131</v>
      </c>
      <c r="Q8">
        <f t="shared" si="0"/>
        <v>2124</v>
      </c>
      <c r="R8">
        <f t="shared" si="0"/>
        <v>2115</v>
      </c>
      <c r="AB8" t="s">
        <v>19</v>
      </c>
      <c r="AD8" s="6">
        <v>44.32</v>
      </c>
      <c r="AE8" s="6"/>
      <c r="AF8" s="6">
        <f>AJ8-AD8</f>
        <v>6.6700000000000017</v>
      </c>
      <c r="AG8" s="6"/>
      <c r="AH8" s="44">
        <f>AF8/AD8</f>
        <v>0.15049638989169678</v>
      </c>
      <c r="AI8" s="44"/>
      <c r="AJ8" s="6">
        <v>50.99</v>
      </c>
      <c r="AK8" s="6"/>
      <c r="AL8" s="6">
        <f>AP8-AJ8</f>
        <v>6.7100000000000009</v>
      </c>
      <c r="AM8" s="6"/>
      <c r="AN8" s="44">
        <f>AL8/AJ8</f>
        <v>0.13159443028044715</v>
      </c>
      <c r="AO8" s="44"/>
      <c r="AP8" s="6">
        <v>57.7</v>
      </c>
      <c r="AR8" s="5">
        <f>AN8+AH8</f>
        <v>0.28209082017214393</v>
      </c>
      <c r="AT8" t="s">
        <v>183</v>
      </c>
      <c r="AX8" s="9">
        <f>S54</f>
        <v>1064788</v>
      </c>
      <c r="AZ8" s="51">
        <f>1+AH8</f>
        <v>1.1504963898916967</v>
      </c>
      <c r="BB8" s="50">
        <f>AX8*AZ8</f>
        <v>1225034.75</v>
      </c>
    </row>
    <row r="9" spans="1:54" x14ac:dyDescent="0.4">
      <c r="AB9" t="s">
        <v>24</v>
      </c>
      <c r="AD9" s="48">
        <v>1.9050000000000001E-2</v>
      </c>
      <c r="AE9" s="48"/>
      <c r="AF9" s="48">
        <f>AJ9-AD9</f>
        <v>2.9299999999999986E-3</v>
      </c>
      <c r="AG9" s="7"/>
      <c r="AH9" s="44">
        <f>AF9/AD9</f>
        <v>0.15380577427821515</v>
      </c>
      <c r="AI9" s="44"/>
      <c r="AJ9" s="48">
        <v>2.198E-2</v>
      </c>
      <c r="AK9" s="48"/>
      <c r="AL9" s="48">
        <f>AP9-AJ9</f>
        <v>2.9600000000000008E-3</v>
      </c>
      <c r="AM9" s="7"/>
      <c r="AN9" s="44">
        <f>AL9/AJ9</f>
        <v>0.13466787989080986</v>
      </c>
      <c r="AO9" s="44"/>
      <c r="AP9" s="48">
        <v>2.494E-2</v>
      </c>
      <c r="AR9" s="5">
        <f>AN9+AH9</f>
        <v>0.28847365416902504</v>
      </c>
      <c r="AT9" t="s">
        <v>185</v>
      </c>
      <c r="AX9" s="8">
        <f>S55</f>
        <v>833960.10800000012</v>
      </c>
      <c r="AZ9" s="51">
        <f>1+AH9</f>
        <v>1.1538057742782151</v>
      </c>
      <c r="BB9" s="8">
        <f t="shared" ref="BB9:BB10" si="1">AX9*AZ9</f>
        <v>962227.98812808399</v>
      </c>
    </row>
    <row r="10" spans="1:54" x14ac:dyDescent="0.4">
      <c r="A10" t="s">
        <v>325</v>
      </c>
      <c r="B10" t="s">
        <v>326</v>
      </c>
      <c r="G10">
        <v>33</v>
      </c>
      <c r="H10">
        <v>33</v>
      </c>
      <c r="I10">
        <v>33</v>
      </c>
      <c r="J10">
        <f t="shared" ref="J10:O10" si="2">I10</f>
        <v>33</v>
      </c>
      <c r="K10">
        <v>34</v>
      </c>
      <c r="L10">
        <v>35</v>
      </c>
      <c r="M10">
        <v>33</v>
      </c>
      <c r="N10">
        <v>32</v>
      </c>
      <c r="O10">
        <f t="shared" si="2"/>
        <v>32</v>
      </c>
      <c r="P10">
        <v>33</v>
      </c>
      <c r="Q10">
        <v>34</v>
      </c>
      <c r="R10">
        <v>33</v>
      </c>
      <c r="AH10" s="44"/>
      <c r="AI10" s="44"/>
      <c r="AN10" s="44"/>
      <c r="AO10" s="44"/>
      <c r="AR10" s="5"/>
      <c r="AT10" t="s">
        <v>20</v>
      </c>
      <c r="AX10" s="10">
        <f>S56</f>
        <v>138795.28000000003</v>
      </c>
      <c r="AZ10" s="51">
        <f>1+AH11</f>
        <v>1.0652754185877213</v>
      </c>
      <c r="BB10" s="10">
        <f t="shared" si="1"/>
        <v>147855.20000000001</v>
      </c>
    </row>
    <row r="11" spans="1:54" x14ac:dyDescent="0.4">
      <c r="A11" t="s">
        <v>174</v>
      </c>
      <c r="B11" t="s">
        <v>122</v>
      </c>
      <c r="E11">
        <v>147</v>
      </c>
      <c r="G11">
        <f>E11</f>
        <v>147</v>
      </c>
      <c r="H11">
        <f>G11</f>
        <v>147</v>
      </c>
      <c r="I11">
        <f t="shared" ref="I11:R11" si="3">H11</f>
        <v>147</v>
      </c>
      <c r="J11">
        <f t="shared" si="3"/>
        <v>147</v>
      </c>
      <c r="K11">
        <f t="shared" si="3"/>
        <v>147</v>
      </c>
      <c r="L11">
        <f t="shared" si="3"/>
        <v>147</v>
      </c>
      <c r="M11">
        <f t="shared" si="3"/>
        <v>147</v>
      </c>
      <c r="N11">
        <f t="shared" si="3"/>
        <v>147</v>
      </c>
      <c r="O11">
        <f t="shared" si="3"/>
        <v>147</v>
      </c>
      <c r="P11">
        <f t="shared" si="3"/>
        <v>147</v>
      </c>
      <c r="Q11">
        <f t="shared" si="3"/>
        <v>147</v>
      </c>
      <c r="R11">
        <f t="shared" si="3"/>
        <v>147</v>
      </c>
      <c r="AB11" t="s">
        <v>20</v>
      </c>
      <c r="AD11" s="6">
        <v>82.42</v>
      </c>
      <c r="AE11" s="6"/>
      <c r="AF11" s="6">
        <f>AJ11-AD11</f>
        <v>5.3799999999999955</v>
      </c>
      <c r="AG11" s="6"/>
      <c r="AH11" s="44">
        <f>AF11/AD11</f>
        <v>6.5275418587721373E-2</v>
      </c>
      <c r="AI11" s="44"/>
      <c r="AJ11" s="6">
        <v>87.8</v>
      </c>
      <c r="AK11" s="6"/>
      <c r="AL11" s="6">
        <f>AP11-AJ11</f>
        <v>19.78</v>
      </c>
      <c r="AM11" s="6"/>
      <c r="AN11" s="44">
        <f>AL11/AJ11</f>
        <v>0.2252847380410023</v>
      </c>
      <c r="AO11" s="44"/>
      <c r="AP11" s="6">
        <v>107.58</v>
      </c>
      <c r="AR11" s="5">
        <f>AN11+AH11</f>
        <v>0.2905601566287237</v>
      </c>
      <c r="AX11" s="8"/>
      <c r="BB11" s="8"/>
    </row>
    <row r="12" spans="1:54" x14ac:dyDescent="0.4">
      <c r="AR12" s="5"/>
      <c r="AT12" t="s">
        <v>188</v>
      </c>
      <c r="AX12" s="10">
        <f>SUM(AX8:AX11)</f>
        <v>2037543.388</v>
      </c>
      <c r="BB12" s="10">
        <f>SUM(BB8:BB11)</f>
        <v>2335117.9381280839</v>
      </c>
    </row>
    <row r="13" spans="1:54" x14ac:dyDescent="0.4">
      <c r="G13">
        <v>2301</v>
      </c>
      <c r="H13">
        <v>2300</v>
      </c>
      <c r="I13">
        <v>2313</v>
      </c>
      <c r="J13">
        <v>2305</v>
      </c>
      <c r="K13">
        <v>2322</v>
      </c>
      <c r="L13">
        <v>2327</v>
      </c>
      <c r="M13">
        <v>2326</v>
      </c>
      <c r="N13">
        <v>2329</v>
      </c>
      <c r="O13">
        <v>2328</v>
      </c>
      <c r="P13">
        <v>2311</v>
      </c>
      <c r="Q13">
        <v>2305</v>
      </c>
      <c r="R13">
        <v>2295</v>
      </c>
      <c r="AX13" s="8"/>
      <c r="BB13" s="8"/>
    </row>
    <row r="14" spans="1:54" x14ac:dyDescent="0.4">
      <c r="AX14" s="2" t="s">
        <v>330</v>
      </c>
      <c r="BB14" s="8"/>
    </row>
    <row r="15" spans="1:54" x14ac:dyDescent="0.4">
      <c r="B15" t="s">
        <v>142</v>
      </c>
      <c r="AT15" s="49" t="s">
        <v>186</v>
      </c>
      <c r="AX15" s="21" t="s">
        <v>327</v>
      </c>
    </row>
    <row r="16" spans="1:54" x14ac:dyDescent="0.4">
      <c r="C16" t="s">
        <v>148</v>
      </c>
      <c r="G16" s="8">
        <v>211800</v>
      </c>
      <c r="H16" s="8">
        <v>248200</v>
      </c>
      <c r="I16" s="8">
        <v>232000</v>
      </c>
      <c r="J16" s="8">
        <v>122600</v>
      </c>
      <c r="K16" s="8">
        <v>152700</v>
      </c>
      <c r="L16" s="8">
        <v>138900</v>
      </c>
      <c r="M16" s="8">
        <v>153100</v>
      </c>
      <c r="N16" s="8">
        <v>128100</v>
      </c>
      <c r="O16" s="8">
        <v>166500</v>
      </c>
      <c r="P16" s="8">
        <v>142100</v>
      </c>
      <c r="Q16" s="8">
        <v>158900</v>
      </c>
      <c r="R16" s="8">
        <v>175500</v>
      </c>
      <c r="AT16" t="s">
        <v>184</v>
      </c>
    </row>
    <row r="17" spans="3:54" x14ac:dyDescent="0.4">
      <c r="C17" t="s">
        <v>133</v>
      </c>
      <c r="G17" s="3">
        <v>3.58</v>
      </c>
      <c r="H17" s="3">
        <f>G17</f>
        <v>3.58</v>
      </c>
      <c r="I17" s="3">
        <f t="shared" ref="I17:R17" si="4">H17</f>
        <v>3.58</v>
      </c>
      <c r="J17" s="3">
        <f t="shared" si="4"/>
        <v>3.58</v>
      </c>
      <c r="K17" s="3">
        <f t="shared" si="4"/>
        <v>3.58</v>
      </c>
      <c r="L17" s="3">
        <f t="shared" si="4"/>
        <v>3.58</v>
      </c>
      <c r="M17" s="3">
        <f t="shared" si="4"/>
        <v>3.58</v>
      </c>
      <c r="N17" s="3">
        <f t="shared" si="4"/>
        <v>3.58</v>
      </c>
      <c r="O17" s="3">
        <f t="shared" si="4"/>
        <v>3.58</v>
      </c>
      <c r="P17" s="3">
        <f t="shared" si="4"/>
        <v>3.58</v>
      </c>
      <c r="Q17" s="3">
        <f t="shared" si="4"/>
        <v>3.58</v>
      </c>
      <c r="R17" s="3">
        <f t="shared" si="4"/>
        <v>3.58</v>
      </c>
      <c r="AT17" t="s">
        <v>183</v>
      </c>
      <c r="AX17" s="8">
        <f>AC70</f>
        <v>72813.72</v>
      </c>
      <c r="BB17" s="8">
        <f>AX17</f>
        <v>72813.72</v>
      </c>
    </row>
    <row r="18" spans="3:54" x14ac:dyDescent="0.4">
      <c r="AT18" t="s">
        <v>185</v>
      </c>
      <c r="AX18" s="8">
        <f>AC71</f>
        <v>85520.949999999983</v>
      </c>
      <c r="BB18" s="8">
        <f>AX18</f>
        <v>85520.949999999983</v>
      </c>
    </row>
    <row r="19" spans="3:54" x14ac:dyDescent="0.4">
      <c r="G19" s="3">
        <f>G16*G17/1000</f>
        <v>758.24400000000003</v>
      </c>
      <c r="H19" s="3">
        <f t="shared" ref="H19:R19" si="5">H16*H17/1000</f>
        <v>888.55600000000004</v>
      </c>
      <c r="I19" s="3">
        <f t="shared" si="5"/>
        <v>830.56</v>
      </c>
      <c r="J19" s="3">
        <f t="shared" si="5"/>
        <v>438.90800000000002</v>
      </c>
      <c r="K19" s="3">
        <f t="shared" si="5"/>
        <v>546.66600000000005</v>
      </c>
      <c r="L19" s="3">
        <f t="shared" si="5"/>
        <v>497.262</v>
      </c>
      <c r="M19" s="3">
        <f t="shared" si="5"/>
        <v>548.09799999999996</v>
      </c>
      <c r="N19" s="3">
        <f t="shared" si="5"/>
        <v>458.59800000000001</v>
      </c>
      <c r="O19" s="3">
        <f t="shared" si="5"/>
        <v>596.07000000000005</v>
      </c>
      <c r="P19" s="3">
        <f t="shared" si="5"/>
        <v>508.71800000000002</v>
      </c>
      <c r="Q19" s="3">
        <f t="shared" si="5"/>
        <v>568.86199999999997</v>
      </c>
      <c r="R19" s="3">
        <f t="shared" si="5"/>
        <v>628.29</v>
      </c>
      <c r="S19" s="66">
        <f>SUM(G19:R19)</f>
        <v>7268.8319999999994</v>
      </c>
      <c r="AT19" t="s">
        <v>20</v>
      </c>
      <c r="AX19" s="10">
        <f>AC72</f>
        <v>7024</v>
      </c>
      <c r="BB19" s="10">
        <f>AX19</f>
        <v>7024</v>
      </c>
    </row>
    <row r="20" spans="3:54" x14ac:dyDescent="0.4">
      <c r="AX20" s="8"/>
      <c r="BB20" s="8"/>
    </row>
    <row r="21" spans="3:54" x14ac:dyDescent="0.4">
      <c r="AT21" t="s">
        <v>189</v>
      </c>
      <c r="AX21" s="10">
        <f>SUM(AX17:AX20)</f>
        <v>165358.66999999998</v>
      </c>
      <c r="BB21" s="10">
        <f>SUM(BB17:BB20)</f>
        <v>165358.66999999998</v>
      </c>
    </row>
    <row r="22" spans="3:54" x14ac:dyDescent="0.4">
      <c r="BB22" s="50"/>
    </row>
    <row r="23" spans="3:54" ht="16.5" thickBot="1" x14ac:dyDescent="0.45">
      <c r="AT23" t="s">
        <v>25</v>
      </c>
      <c r="AX23" s="52">
        <f>AX12+AX21</f>
        <v>2202902.0580000002</v>
      </c>
      <c r="BB23" s="8">
        <f>BB12+BB21</f>
        <v>2500476.6081280839</v>
      </c>
    </row>
    <row r="24" spans="3:54" ht="16.5" thickTop="1" x14ac:dyDescent="0.4">
      <c r="C24" s="415" t="s">
        <v>36</v>
      </c>
      <c r="D24" s="411"/>
      <c r="E24" s="411"/>
      <c r="F24" s="411"/>
      <c r="G24" s="411"/>
      <c r="H24" s="411"/>
      <c r="I24" s="411"/>
      <c r="J24" s="411"/>
      <c r="K24" s="411"/>
      <c r="L24" s="411"/>
      <c r="M24" s="411"/>
      <c r="N24" s="411"/>
      <c r="O24" s="411"/>
      <c r="P24" s="411"/>
      <c r="Q24" s="411"/>
      <c r="R24" s="411"/>
      <c r="S24" s="411"/>
      <c r="T24" s="411"/>
      <c r="U24" s="411"/>
      <c r="V24" s="411"/>
      <c r="W24" s="411"/>
      <c r="X24" s="416"/>
      <c r="Y24" s="2"/>
      <c r="Z24" s="2"/>
      <c r="AA24" s="2"/>
      <c r="AT24" t="s">
        <v>181</v>
      </c>
      <c r="BB24" s="10">
        <f>-AX23</f>
        <v>-2202902.0580000002</v>
      </c>
    </row>
    <row r="25" spans="3:54" x14ac:dyDescent="0.4">
      <c r="C25" s="36"/>
      <c r="G25" t="s">
        <v>123</v>
      </c>
      <c r="H25" t="s">
        <v>124</v>
      </c>
      <c r="I25" t="s">
        <v>125</v>
      </c>
      <c r="J25" t="s">
        <v>126</v>
      </c>
      <c r="K25" t="s">
        <v>9</v>
      </c>
      <c r="L25" t="s">
        <v>10</v>
      </c>
      <c r="M25" t="s">
        <v>11</v>
      </c>
      <c r="N25" t="s">
        <v>127</v>
      </c>
      <c r="O25" t="s">
        <v>128</v>
      </c>
      <c r="P25" t="s">
        <v>129</v>
      </c>
      <c r="Q25" t="s">
        <v>130</v>
      </c>
      <c r="R25" t="s">
        <v>131</v>
      </c>
      <c r="W25" t="s">
        <v>137</v>
      </c>
      <c r="X25" s="37"/>
    </row>
    <row r="26" spans="3:54" ht="16.5" thickBot="1" x14ac:dyDescent="0.45">
      <c r="C26" s="36"/>
      <c r="X26" s="37"/>
      <c r="AT26" t="s">
        <v>182</v>
      </c>
      <c r="BB26" s="52">
        <f>BB23+BB24</f>
        <v>297574.55012808368</v>
      </c>
    </row>
    <row r="27" spans="3:54" ht="16.5" thickTop="1" x14ac:dyDescent="0.4">
      <c r="C27" s="36" t="s">
        <v>134</v>
      </c>
      <c r="G27" s="38">
        <v>156626</v>
      </c>
      <c r="H27" s="38">
        <v>156397.64000000001</v>
      </c>
      <c r="I27" s="38">
        <v>145635.38</v>
      </c>
      <c r="J27" s="38">
        <v>159325.01999999999</v>
      </c>
      <c r="K27" s="38">
        <v>151490.72</v>
      </c>
      <c r="L27" s="38">
        <v>153479.76</v>
      </c>
      <c r="M27" s="38">
        <v>149198.5</v>
      </c>
      <c r="N27" s="38">
        <v>156896.74</v>
      </c>
      <c r="O27" s="38">
        <v>161046.98000000001</v>
      </c>
      <c r="P27" s="38">
        <v>153350.9</v>
      </c>
      <c r="Q27" s="38">
        <v>152480.59</v>
      </c>
      <c r="R27" s="38">
        <v>184819.82</v>
      </c>
      <c r="S27" s="38">
        <f>SUM(G27:R27)</f>
        <v>1880748.05</v>
      </c>
      <c r="T27" s="38"/>
      <c r="U27" t="s">
        <v>136</v>
      </c>
      <c r="W27" t="s">
        <v>138</v>
      </c>
      <c r="X27" s="37"/>
    </row>
    <row r="28" spans="3:54" x14ac:dyDescent="0.4">
      <c r="C28" s="36" t="s">
        <v>32</v>
      </c>
      <c r="G28" s="38">
        <v>5383.48</v>
      </c>
      <c r="H28" s="38">
        <v>6766.9</v>
      </c>
      <c r="I28" s="38">
        <v>8057.02</v>
      </c>
      <c r="J28" s="38">
        <v>10.9</v>
      </c>
      <c r="K28" s="38">
        <v>22226.23</v>
      </c>
      <c r="L28" s="38">
        <v>4774.2299999999996</v>
      </c>
      <c r="M28" s="38"/>
      <c r="N28" s="38">
        <v>8100.6</v>
      </c>
      <c r="O28" s="38">
        <v>10743.42</v>
      </c>
      <c r="P28" s="38">
        <v>3311.81</v>
      </c>
      <c r="Q28" s="38">
        <v>3068.98</v>
      </c>
      <c r="R28" s="38">
        <v>2997.58</v>
      </c>
      <c r="S28" s="38">
        <f>SUM(G28:R29)</f>
        <v>82010.329999999987</v>
      </c>
      <c r="T28" s="38">
        <f>S27-S28</f>
        <v>1798737.72</v>
      </c>
      <c r="U28" s="38">
        <v>138808.66</v>
      </c>
      <c r="V28" s="35">
        <f>T28+U28</f>
        <v>1937546.38</v>
      </c>
      <c r="W28" s="35">
        <f>M28</f>
        <v>0</v>
      </c>
      <c r="X28" s="39">
        <f>V28+W28</f>
        <v>1937546.38</v>
      </c>
      <c r="Y28" s="35"/>
      <c r="Z28" s="35"/>
      <c r="AA28" s="35"/>
    </row>
    <row r="29" spans="3:54" x14ac:dyDescent="0.4">
      <c r="C29" s="36"/>
      <c r="G29" s="38"/>
      <c r="H29" s="38"/>
      <c r="I29" s="38"/>
      <c r="J29" s="38"/>
      <c r="K29" s="38"/>
      <c r="L29" s="38"/>
      <c r="M29" s="38">
        <v>6569.18</v>
      </c>
      <c r="N29" s="38"/>
      <c r="O29" s="38"/>
      <c r="P29" s="38"/>
      <c r="Q29" s="38"/>
      <c r="R29" s="38"/>
      <c r="S29" s="38"/>
      <c r="T29" s="38"/>
      <c r="X29" s="37"/>
    </row>
    <row r="30" spans="3:54" x14ac:dyDescent="0.4">
      <c r="C30" s="36" t="s">
        <v>135</v>
      </c>
      <c r="G30" s="38">
        <v>45115.24</v>
      </c>
      <c r="H30" s="38">
        <v>33492.49</v>
      </c>
      <c r="I30" s="38">
        <v>34676.129999999997</v>
      </c>
      <c r="J30" s="38">
        <v>38124.74</v>
      </c>
      <c r="K30" s="38">
        <v>38117.21</v>
      </c>
      <c r="L30" s="38">
        <v>37903.25</v>
      </c>
      <c r="M30" s="38">
        <v>34873.160000000003</v>
      </c>
      <c r="N30" s="38">
        <v>35818.26</v>
      </c>
      <c r="O30" s="38">
        <v>35611.14</v>
      </c>
      <c r="P30" s="38">
        <v>35136.79</v>
      </c>
      <c r="Q30" s="38">
        <v>21773.51</v>
      </c>
      <c r="R30" s="38">
        <v>52952.99</v>
      </c>
      <c r="S30" s="38">
        <f>SUM(G30:R30)</f>
        <v>443594.91</v>
      </c>
      <c r="T30" s="38"/>
      <c r="X30" s="37"/>
      <c r="AX30" s="2" t="s">
        <v>179</v>
      </c>
      <c r="AZ30" s="2" t="s">
        <v>180</v>
      </c>
      <c r="BB30" s="2" t="s">
        <v>179</v>
      </c>
    </row>
    <row r="31" spans="3:54" x14ac:dyDescent="0.4">
      <c r="C31" s="36" t="s">
        <v>32</v>
      </c>
      <c r="G31" s="38">
        <v>11718.3</v>
      </c>
      <c r="H31" s="38">
        <v>201.49</v>
      </c>
      <c r="I31" s="38">
        <v>1162.81</v>
      </c>
      <c r="J31" s="38">
        <v>1890.59</v>
      </c>
      <c r="K31" s="38">
        <v>183.1</v>
      </c>
      <c r="L31" s="38">
        <v>533.79999999999995</v>
      </c>
      <c r="M31" s="38">
        <v>405.64</v>
      </c>
      <c r="N31" s="38">
        <v>923.23</v>
      </c>
      <c r="O31" s="38">
        <v>401.59</v>
      </c>
      <c r="P31" s="38">
        <v>807.36</v>
      </c>
      <c r="Q31" s="38">
        <v>88.64</v>
      </c>
      <c r="R31" s="38">
        <v>313.19</v>
      </c>
      <c r="S31" s="35">
        <f>SUM(G31:R31)</f>
        <v>18629.739999999998</v>
      </c>
      <c r="T31" s="35">
        <f>S30-S31</f>
        <v>424965.17</v>
      </c>
      <c r="X31" s="39">
        <f>S30-S31</f>
        <v>424965.17</v>
      </c>
      <c r="Y31" s="35"/>
      <c r="Z31" s="35"/>
      <c r="AA31" s="35"/>
      <c r="AU31" s="49"/>
      <c r="AX31" s="2" t="s">
        <v>187</v>
      </c>
      <c r="AZ31" s="2" t="s">
        <v>153</v>
      </c>
      <c r="BB31" s="2" t="s">
        <v>166</v>
      </c>
    </row>
    <row r="32" spans="3:54" x14ac:dyDescent="0.4">
      <c r="C32" s="36"/>
      <c r="G32" s="38"/>
      <c r="H32" s="38"/>
      <c r="I32" s="38"/>
      <c r="J32" s="38"/>
      <c r="K32" s="38"/>
      <c r="L32" s="38"/>
      <c r="M32" s="38"/>
      <c r="N32" s="38"/>
      <c r="O32" s="38"/>
      <c r="P32" s="38"/>
      <c r="Q32" s="38"/>
      <c r="R32" s="38"/>
      <c r="S32" s="35"/>
      <c r="X32" s="39"/>
      <c r="Y32" s="35"/>
      <c r="Z32" s="35"/>
      <c r="AA32" s="35"/>
      <c r="AX32" s="21" t="s">
        <v>167</v>
      </c>
      <c r="AZ32" s="21" t="s">
        <v>27</v>
      </c>
      <c r="BB32" s="21" t="s">
        <v>168</v>
      </c>
    </row>
    <row r="33" spans="3:56" x14ac:dyDescent="0.4">
      <c r="C33" s="36"/>
      <c r="G33" s="38"/>
      <c r="H33" s="38"/>
      <c r="I33" s="38"/>
      <c r="J33" s="38"/>
      <c r="K33" s="38"/>
      <c r="L33" s="38"/>
      <c r="M33" s="38"/>
      <c r="N33" s="38"/>
      <c r="O33" s="38"/>
      <c r="P33" s="38"/>
      <c r="Q33" s="38"/>
      <c r="R33" s="38"/>
      <c r="S33" s="35"/>
      <c r="T33" s="35">
        <f>SUM(T28:T32)</f>
        <v>2223702.89</v>
      </c>
      <c r="X33" s="39">
        <f>SUM(X28:X32)</f>
        <v>2362511.5499999998</v>
      </c>
      <c r="Y33" s="35"/>
      <c r="Z33" s="35"/>
      <c r="AA33" s="35"/>
      <c r="AT33" s="49" t="s">
        <v>186</v>
      </c>
    </row>
    <row r="34" spans="3:56" x14ac:dyDescent="0.4">
      <c r="C34" s="36"/>
      <c r="G34" s="38"/>
      <c r="H34" s="38"/>
      <c r="I34" s="38"/>
      <c r="J34" s="38"/>
      <c r="K34" s="38"/>
      <c r="L34" s="38"/>
      <c r="M34" s="38"/>
      <c r="N34" s="38"/>
      <c r="O34" s="38"/>
      <c r="P34" s="38"/>
      <c r="Q34" s="38"/>
      <c r="R34" s="38"/>
      <c r="S34" s="35"/>
      <c r="X34" s="37"/>
      <c r="AT34" t="s">
        <v>184</v>
      </c>
    </row>
    <row r="35" spans="3:56" x14ac:dyDescent="0.4">
      <c r="C35" s="36"/>
      <c r="G35" s="38">
        <f>G27-G28-G29+G30-G31</f>
        <v>184639.46</v>
      </c>
      <c r="H35" s="38">
        <f t="shared" ref="H35:Q35" si="6">H27-H28-H29+H30-H31</f>
        <v>182921.74000000002</v>
      </c>
      <c r="I35" s="38">
        <f t="shared" si="6"/>
        <v>171091.68000000002</v>
      </c>
      <c r="J35" s="38">
        <f t="shared" si="6"/>
        <v>195548.27</v>
      </c>
      <c r="K35" s="38">
        <f t="shared" si="6"/>
        <v>167198.6</v>
      </c>
      <c r="L35" s="38">
        <f t="shared" si="6"/>
        <v>186074.98</v>
      </c>
      <c r="M35" s="38">
        <f>M27-M28-M29+M30-M31</f>
        <v>177096.84</v>
      </c>
      <c r="N35" s="38">
        <f t="shared" si="6"/>
        <v>183691.16999999998</v>
      </c>
      <c r="O35" s="38">
        <f t="shared" si="6"/>
        <v>185513.11000000002</v>
      </c>
      <c r="P35" s="38">
        <f t="shared" si="6"/>
        <v>184368.52000000002</v>
      </c>
      <c r="Q35" s="38">
        <f t="shared" si="6"/>
        <v>171096.47999999998</v>
      </c>
      <c r="R35" s="38">
        <f>R27-R28-R29+R30-R31</f>
        <v>234462.04</v>
      </c>
      <c r="S35" s="38">
        <f>SUM(G35:R35)</f>
        <v>2223702.89</v>
      </c>
      <c r="T35" s="35"/>
      <c r="X35" s="39"/>
      <c r="Y35" s="35"/>
      <c r="Z35" s="35"/>
      <c r="AA35" s="35"/>
      <c r="AT35" t="s">
        <v>183</v>
      </c>
      <c r="AX35" s="9">
        <f>BB8+BB17</f>
        <v>1297848.47</v>
      </c>
      <c r="AZ35" s="51">
        <f>1+AN8</f>
        <v>1.131594430280447</v>
      </c>
      <c r="BB35" s="50">
        <f>AX35*AZ35</f>
        <v>1468638.0999999999</v>
      </c>
    </row>
    <row r="36" spans="3:56" x14ac:dyDescent="0.4">
      <c r="C36" s="36"/>
      <c r="X36" s="37"/>
      <c r="AT36" t="s">
        <v>185</v>
      </c>
      <c r="AX36" s="8">
        <f>BB9+BB18</f>
        <v>1047748.9381280839</v>
      </c>
      <c r="AZ36" s="51">
        <f>1+AN9</f>
        <v>1.1346678798908099</v>
      </c>
      <c r="BB36" s="8">
        <f>AX36*AZ36</f>
        <v>1188847.0662836402</v>
      </c>
    </row>
    <row r="37" spans="3:56" x14ac:dyDescent="0.4">
      <c r="C37" s="40"/>
      <c r="D37" s="41"/>
      <c r="E37" s="41"/>
      <c r="F37" s="41"/>
      <c r="G37" s="41"/>
      <c r="H37" s="41"/>
      <c r="I37" s="41"/>
      <c r="J37" s="41"/>
      <c r="K37" s="41"/>
      <c r="L37" s="41"/>
      <c r="M37" s="41"/>
      <c r="N37" s="41"/>
      <c r="O37" s="41"/>
      <c r="P37" s="41"/>
      <c r="Q37" s="41"/>
      <c r="R37" s="41"/>
      <c r="S37" s="41"/>
      <c r="T37" s="41"/>
      <c r="U37" s="41"/>
      <c r="V37" s="41"/>
      <c r="W37" s="41"/>
      <c r="X37" s="42"/>
      <c r="Y37" s="35"/>
      <c r="Z37" s="35"/>
      <c r="AA37" s="35"/>
      <c r="AT37" t="s">
        <v>20</v>
      </c>
      <c r="AX37" s="10">
        <f>BB10+BB19</f>
        <v>154879.20000000001</v>
      </c>
      <c r="AZ37" s="51">
        <f>1+AN11</f>
        <v>1.2252847380410024</v>
      </c>
      <c r="BB37" s="10">
        <f>AX37*AZ37</f>
        <v>189771.12000000002</v>
      </c>
    </row>
    <row r="38" spans="3:56" x14ac:dyDescent="0.4">
      <c r="AX38" s="8"/>
      <c r="BB38" s="8"/>
    </row>
    <row r="39" spans="3:56" ht="16.5" thickBot="1" x14ac:dyDescent="0.45">
      <c r="G39" t="s">
        <v>123</v>
      </c>
      <c r="H39" t="s">
        <v>124</v>
      </c>
      <c r="I39" t="s">
        <v>125</v>
      </c>
      <c r="J39" t="s">
        <v>126</v>
      </c>
      <c r="K39" t="s">
        <v>9</v>
      </c>
      <c r="L39" t="s">
        <v>10</v>
      </c>
      <c r="M39" t="s">
        <v>11</v>
      </c>
      <c r="N39" t="s">
        <v>127</v>
      </c>
      <c r="O39" t="s">
        <v>128</v>
      </c>
      <c r="P39" t="s">
        <v>129</v>
      </c>
      <c r="Q39" t="s">
        <v>130</v>
      </c>
      <c r="R39" t="s">
        <v>131</v>
      </c>
      <c r="AT39" t="s">
        <v>25</v>
      </c>
      <c r="AX39" s="31">
        <f>SUM(AX35:AX38)</f>
        <v>2500476.6081280839</v>
      </c>
      <c r="BB39" s="26">
        <f>SUM(BB35:BB38)</f>
        <v>2847256.2862836402</v>
      </c>
    </row>
    <row r="40" spans="3:56" ht="16.5" thickTop="1" x14ac:dyDescent="0.4">
      <c r="C40" t="s">
        <v>36</v>
      </c>
      <c r="G40" s="35">
        <f>G35</f>
        <v>184639.46</v>
      </c>
      <c r="H40" s="35">
        <f t="shared" ref="H40:R40" si="7">H35</f>
        <v>182921.74000000002</v>
      </c>
      <c r="I40" s="35">
        <f t="shared" si="7"/>
        <v>171091.68000000002</v>
      </c>
      <c r="J40" s="35">
        <f t="shared" si="7"/>
        <v>195548.27</v>
      </c>
      <c r="K40" s="35">
        <f t="shared" si="7"/>
        <v>167198.6</v>
      </c>
      <c r="L40" s="35">
        <f t="shared" si="7"/>
        <v>186074.98</v>
      </c>
      <c r="M40" s="35">
        <f>M35</f>
        <v>177096.84</v>
      </c>
      <c r="N40" s="35">
        <f t="shared" si="7"/>
        <v>183691.16999999998</v>
      </c>
      <c r="O40" s="35">
        <f t="shared" si="7"/>
        <v>185513.11000000002</v>
      </c>
      <c r="P40" s="35">
        <f t="shared" si="7"/>
        <v>184368.52000000002</v>
      </c>
      <c r="Q40" s="35">
        <f t="shared" si="7"/>
        <v>171096.47999999998</v>
      </c>
      <c r="R40" s="35">
        <f t="shared" si="7"/>
        <v>234462.04</v>
      </c>
      <c r="AT40" t="s">
        <v>333</v>
      </c>
      <c r="AX40" s="8"/>
      <c r="BB40" s="10">
        <f>-AX39</f>
        <v>-2500476.6081280839</v>
      </c>
    </row>
    <row r="41" spans="3:56" x14ac:dyDescent="0.4">
      <c r="C41" t="s">
        <v>147</v>
      </c>
      <c r="G41" s="35">
        <f>-G19</f>
        <v>-758.24400000000003</v>
      </c>
      <c r="H41" s="35">
        <f t="shared" ref="H41:R41" si="8">-H19</f>
        <v>-888.55600000000004</v>
      </c>
      <c r="I41" s="35">
        <f t="shared" si="8"/>
        <v>-830.56</v>
      </c>
      <c r="J41" s="35">
        <f t="shared" si="8"/>
        <v>-438.90800000000002</v>
      </c>
      <c r="K41" s="35">
        <f t="shared" si="8"/>
        <v>-546.66600000000005</v>
      </c>
      <c r="L41" s="35">
        <f t="shared" si="8"/>
        <v>-497.262</v>
      </c>
      <c r="M41" s="35">
        <f t="shared" si="8"/>
        <v>-548.09799999999996</v>
      </c>
      <c r="N41" s="35">
        <f t="shared" si="8"/>
        <v>-458.59800000000001</v>
      </c>
      <c r="O41" s="35">
        <f t="shared" si="8"/>
        <v>-596.07000000000005</v>
      </c>
      <c r="P41" s="35">
        <f t="shared" si="8"/>
        <v>-508.71800000000002</v>
      </c>
      <c r="Q41" s="35">
        <f t="shared" si="8"/>
        <v>-568.86199999999997</v>
      </c>
      <c r="R41" s="35">
        <f t="shared" si="8"/>
        <v>-628.29</v>
      </c>
      <c r="S41" s="35">
        <f>SUM(G41:R41)</f>
        <v>-7268.8319999999994</v>
      </c>
      <c r="AT41" s="49"/>
      <c r="AX41" s="8"/>
      <c r="BB41" s="8"/>
    </row>
    <row r="42" spans="3:56" ht="16.5" thickBot="1" x14ac:dyDescent="0.45">
      <c r="G42" s="35"/>
      <c r="H42" s="35"/>
      <c r="I42" s="35"/>
      <c r="J42" s="35"/>
      <c r="K42" s="35"/>
      <c r="L42" s="35"/>
      <c r="M42" s="35"/>
      <c r="N42" s="35"/>
      <c r="O42" s="35"/>
      <c r="P42" s="35"/>
      <c r="Q42" s="35"/>
      <c r="R42" s="35"/>
      <c r="AT42" t="s">
        <v>182</v>
      </c>
      <c r="AX42" s="8"/>
      <c r="BB42" s="31">
        <f>SUM(BB39:BB41)</f>
        <v>346779.67815555632</v>
      </c>
      <c r="BD42" s="50">
        <f>BB26+BB42</f>
        <v>644354.22828364</v>
      </c>
    </row>
    <row r="43" spans="3:56" ht="16.5" thickTop="1" x14ac:dyDescent="0.4">
      <c r="C43" t="s">
        <v>149</v>
      </c>
      <c r="G43" s="35">
        <f>G40+G41</f>
        <v>183881.21599999999</v>
      </c>
      <c r="H43" s="35">
        <f t="shared" ref="H43:R43" si="9">H40+H41</f>
        <v>182033.18400000001</v>
      </c>
      <c r="I43" s="35">
        <f t="shared" si="9"/>
        <v>170261.12000000002</v>
      </c>
      <c r="J43" s="35">
        <f t="shared" si="9"/>
        <v>195109.36199999999</v>
      </c>
      <c r="K43" s="35">
        <f t="shared" si="9"/>
        <v>166651.93400000001</v>
      </c>
      <c r="L43" s="35">
        <f t="shared" si="9"/>
        <v>185577.71800000002</v>
      </c>
      <c r="M43" s="35">
        <f t="shared" si="9"/>
        <v>176548.742</v>
      </c>
      <c r="N43" s="35">
        <f t="shared" si="9"/>
        <v>183232.57199999999</v>
      </c>
      <c r="O43" s="35">
        <f t="shared" si="9"/>
        <v>184917.04</v>
      </c>
      <c r="P43" s="35">
        <f t="shared" si="9"/>
        <v>183859.80200000003</v>
      </c>
      <c r="Q43" s="35">
        <f t="shared" si="9"/>
        <v>170527.61799999999</v>
      </c>
      <c r="R43" s="35">
        <f t="shared" si="9"/>
        <v>233833.75</v>
      </c>
      <c r="S43" s="47">
        <f>SUM(G43:R43)</f>
        <v>2216434.0580000002</v>
      </c>
    </row>
    <row r="44" spans="3:56" x14ac:dyDescent="0.4">
      <c r="C44" t="s">
        <v>144</v>
      </c>
      <c r="R44" s="1">
        <v>3374.28</v>
      </c>
    </row>
    <row r="45" spans="3:56" x14ac:dyDescent="0.4">
      <c r="C45" t="s">
        <v>143</v>
      </c>
      <c r="R45" s="1">
        <v>65100.800000000003</v>
      </c>
    </row>
    <row r="46" spans="3:56" x14ac:dyDescent="0.4">
      <c r="AV46" t="s">
        <v>408</v>
      </c>
      <c r="BB46" s="50">
        <f>BB26</f>
        <v>297574.55012808368</v>
      </c>
    </row>
    <row r="47" spans="3:56" x14ac:dyDescent="0.4">
      <c r="C47" t="s">
        <v>145</v>
      </c>
      <c r="G47" s="35">
        <f>G43</f>
        <v>183881.21599999999</v>
      </c>
      <c r="H47" s="35">
        <f t="shared" ref="H47:N47" si="10">H43</f>
        <v>182033.18400000001</v>
      </c>
      <c r="I47" s="35">
        <f t="shared" si="10"/>
        <v>170261.12000000002</v>
      </c>
      <c r="J47" s="35">
        <f t="shared" si="10"/>
        <v>195109.36199999999</v>
      </c>
      <c r="K47" s="35">
        <f t="shared" si="10"/>
        <v>166651.93400000001</v>
      </c>
      <c r="L47" s="35">
        <f t="shared" si="10"/>
        <v>185577.71800000002</v>
      </c>
      <c r="M47" s="35">
        <f t="shared" si="10"/>
        <v>176548.742</v>
      </c>
      <c r="N47" s="35">
        <f t="shared" si="10"/>
        <v>183232.57199999999</v>
      </c>
      <c r="O47" s="35">
        <f>O43</f>
        <v>184917.04</v>
      </c>
      <c r="P47" s="35">
        <f>P43</f>
        <v>183859.80200000003</v>
      </c>
      <c r="Q47" s="35">
        <f>Q43</f>
        <v>170527.61799999999</v>
      </c>
      <c r="R47" s="35">
        <f>R44+R45</f>
        <v>68475.08</v>
      </c>
      <c r="AV47" t="s">
        <v>409</v>
      </c>
      <c r="BB47" s="10">
        <f>BB42</f>
        <v>346779.67815555632</v>
      </c>
    </row>
    <row r="48" spans="3:56" x14ac:dyDescent="0.4">
      <c r="C48" t="s">
        <v>146</v>
      </c>
      <c r="R48" s="35">
        <f>R43-R47</f>
        <v>165358.66999999998</v>
      </c>
    </row>
    <row r="49" spans="3:54" ht="16.5" thickBot="1" x14ac:dyDescent="0.45">
      <c r="AV49" t="s">
        <v>410</v>
      </c>
      <c r="BB49" s="52">
        <f>SUM(BB46:BB48)</f>
        <v>644354.22828364</v>
      </c>
    </row>
    <row r="50" spans="3:54" ht="16.5" thickTop="1" x14ac:dyDescent="0.4">
      <c r="C50" s="113"/>
      <c r="D50" s="113"/>
      <c r="E50" s="113"/>
      <c r="F50" s="113"/>
      <c r="G50" s="113"/>
      <c r="H50" s="113"/>
      <c r="I50" s="113"/>
      <c r="J50" s="113"/>
      <c r="K50" s="113"/>
      <c r="L50" s="113"/>
      <c r="M50" s="113"/>
      <c r="N50" s="113"/>
      <c r="O50" s="113"/>
      <c r="P50" s="113"/>
      <c r="Q50" s="113"/>
      <c r="R50" s="113"/>
      <c r="S50" s="113"/>
      <c r="T50" s="114" t="s">
        <v>162</v>
      </c>
      <c r="U50" s="113"/>
      <c r="V50" s="114" t="s">
        <v>165</v>
      </c>
      <c r="W50" s="113"/>
      <c r="X50" s="113" t="s">
        <v>176</v>
      </c>
      <c r="Y50" s="114"/>
      <c r="Z50" s="114"/>
      <c r="AA50" s="114" t="s">
        <v>162</v>
      </c>
      <c r="AB50" s="113"/>
      <c r="AC50" s="113" t="s">
        <v>165</v>
      </c>
    </row>
    <row r="51" spans="3:54" x14ac:dyDescent="0.4">
      <c r="C51" s="113"/>
      <c r="D51" s="113"/>
      <c r="E51" s="113"/>
      <c r="F51" s="113"/>
      <c r="G51" s="113"/>
      <c r="H51" s="113"/>
      <c r="I51" s="113"/>
      <c r="J51" s="113"/>
      <c r="K51" s="113"/>
      <c r="L51" s="113"/>
      <c r="M51" s="113"/>
      <c r="N51" s="113"/>
      <c r="O51" s="113"/>
      <c r="P51" s="113"/>
      <c r="Q51" s="113"/>
      <c r="R51" s="113"/>
      <c r="S51" s="113"/>
      <c r="T51" s="114" t="s">
        <v>163</v>
      </c>
      <c r="U51" s="113"/>
      <c r="V51" s="114" t="s">
        <v>166</v>
      </c>
      <c r="W51" s="113"/>
      <c r="X51" s="113" t="s">
        <v>146</v>
      </c>
      <c r="Y51" s="114"/>
      <c r="Z51" s="114"/>
      <c r="AA51" s="114" t="s">
        <v>163</v>
      </c>
      <c r="AB51" s="113"/>
      <c r="AC51" s="113" t="s">
        <v>166</v>
      </c>
    </row>
    <row r="52" spans="3:54" x14ac:dyDescent="0.4">
      <c r="C52" s="113" t="s">
        <v>154</v>
      </c>
      <c r="D52" s="113"/>
      <c r="E52" s="113"/>
      <c r="F52" s="113"/>
      <c r="G52" s="113"/>
      <c r="H52" s="113"/>
      <c r="I52" s="113"/>
      <c r="J52" s="113"/>
      <c r="K52" s="113"/>
      <c r="L52" s="113"/>
      <c r="M52" s="113"/>
      <c r="N52" s="113"/>
      <c r="O52" s="113"/>
      <c r="P52" s="113"/>
      <c r="Q52" s="113"/>
      <c r="R52" s="113"/>
      <c r="S52" s="113"/>
      <c r="T52" s="114" t="s">
        <v>164</v>
      </c>
      <c r="U52" s="113"/>
      <c r="V52" s="114" t="s">
        <v>167</v>
      </c>
      <c r="W52" s="113"/>
      <c r="X52" s="113"/>
      <c r="Y52" s="114"/>
      <c r="Z52" s="114"/>
      <c r="AA52" s="114" t="s">
        <v>167</v>
      </c>
      <c r="AB52" s="113"/>
      <c r="AC52" s="113" t="s">
        <v>168</v>
      </c>
    </row>
    <row r="53" spans="3:54" x14ac:dyDescent="0.4">
      <c r="C53" s="113"/>
      <c r="D53" s="113"/>
      <c r="E53" s="113"/>
      <c r="F53" s="113"/>
      <c r="G53" s="113"/>
      <c r="H53" s="113"/>
      <c r="I53" s="113"/>
      <c r="J53" s="113"/>
      <c r="K53" s="113"/>
      <c r="L53" s="113"/>
      <c r="M53" s="113"/>
      <c r="N53" s="113"/>
      <c r="O53" s="113"/>
      <c r="P53" s="113"/>
      <c r="Q53" s="113"/>
      <c r="R53" s="113"/>
      <c r="S53" s="113"/>
      <c r="T53" s="114"/>
      <c r="U53" s="113"/>
      <c r="V53" s="114"/>
      <c r="W53" s="113"/>
      <c r="X53" s="113"/>
      <c r="Y53" s="114"/>
      <c r="Z53" s="114"/>
      <c r="AA53" s="114"/>
      <c r="AB53" s="113"/>
      <c r="AC53" s="113"/>
      <c r="AV53" t="s">
        <v>411</v>
      </c>
      <c r="BB53" s="50">
        <f>BB36</f>
        <v>1188847.0662836402</v>
      </c>
    </row>
    <row r="54" spans="3:54" x14ac:dyDescent="0.4">
      <c r="C54" s="113" t="s">
        <v>159</v>
      </c>
      <c r="D54" s="113"/>
      <c r="E54" s="113"/>
      <c r="F54" s="113"/>
      <c r="G54" s="115">
        <f t="shared" ref="G54:R54" si="11">44.32*G68</f>
        <v>94002.72</v>
      </c>
      <c r="H54" s="115">
        <f t="shared" si="11"/>
        <v>93958.399999999994</v>
      </c>
      <c r="I54" s="115">
        <f t="shared" si="11"/>
        <v>94534.56</v>
      </c>
      <c r="J54" s="115">
        <f t="shared" si="11"/>
        <v>94180</v>
      </c>
      <c r="K54" s="115">
        <f t="shared" si="11"/>
        <v>94889.12</v>
      </c>
      <c r="L54" s="115">
        <f t="shared" si="11"/>
        <v>95066.4</v>
      </c>
      <c r="M54" s="115">
        <f t="shared" si="11"/>
        <v>95110.720000000001</v>
      </c>
      <c r="N54" s="115">
        <f t="shared" si="11"/>
        <v>95288</v>
      </c>
      <c r="O54" s="115">
        <f t="shared" si="11"/>
        <v>95243.680000000008</v>
      </c>
      <c r="P54" s="115">
        <f t="shared" si="11"/>
        <v>94445.92</v>
      </c>
      <c r="Q54" s="115">
        <f t="shared" si="11"/>
        <v>94135.680000000008</v>
      </c>
      <c r="R54" s="115">
        <f t="shared" si="11"/>
        <v>23932.799999999999</v>
      </c>
      <c r="S54" s="115">
        <f>SUM(G54:R54)</f>
        <v>1064788</v>
      </c>
      <c r="T54" s="116">
        <v>1.1505000000000001</v>
      </c>
      <c r="U54" s="113"/>
      <c r="V54" s="47">
        <f>S54*T54</f>
        <v>1225038.594</v>
      </c>
      <c r="W54" s="113"/>
      <c r="X54" s="113">
        <f>AC70</f>
        <v>72813.72</v>
      </c>
      <c r="Y54" s="47">
        <f>V54+X54</f>
        <v>1297852.314</v>
      </c>
      <c r="Z54" s="113"/>
      <c r="AA54" s="116">
        <v>1.1315999999999999</v>
      </c>
      <c r="AB54" s="113"/>
      <c r="AC54" s="117">
        <f>Y54*AA54</f>
        <v>1468649.6785223999</v>
      </c>
      <c r="AV54" t="s">
        <v>412</v>
      </c>
      <c r="AX54" s="50"/>
      <c r="BB54" s="119">
        <v>-1.035E-2</v>
      </c>
    </row>
    <row r="55" spans="3:54" x14ac:dyDescent="0.4">
      <c r="C55" s="113" t="s">
        <v>160</v>
      </c>
      <c r="D55" s="113"/>
      <c r="E55" s="113"/>
      <c r="F55" s="113"/>
      <c r="G55" s="115">
        <f>G47-G56-G54-G57</f>
        <v>76640.755999999994</v>
      </c>
      <c r="H55" s="115">
        <f t="shared" ref="H55:Q55" si="12">H47-H56-H54-H57</f>
        <v>74837.044000000024</v>
      </c>
      <c r="I55" s="115">
        <f t="shared" si="12"/>
        <v>62488.820000000036</v>
      </c>
      <c r="J55" s="115">
        <f t="shared" si="12"/>
        <v>87691.622000000003</v>
      </c>
      <c r="K55" s="115">
        <f t="shared" si="12"/>
        <v>58491.074000000022</v>
      </c>
      <c r="L55" s="115">
        <f t="shared" si="12"/>
        <v>77205.578000000038</v>
      </c>
      <c r="M55" s="115">
        <f t="shared" si="12"/>
        <v>68200.282000000007</v>
      </c>
      <c r="N55" s="115">
        <f t="shared" si="12"/>
        <v>74740.831999999995</v>
      </c>
      <c r="O55" s="115">
        <f t="shared" si="12"/>
        <v>76469.62000000001</v>
      </c>
      <c r="P55" s="115">
        <f t="shared" si="12"/>
        <v>76176.142000000036</v>
      </c>
      <c r="Q55" s="115">
        <f t="shared" si="12"/>
        <v>63120.197999999989</v>
      </c>
      <c r="R55" s="115">
        <f>R47-R56-R54-R57</f>
        <v>37898.14</v>
      </c>
      <c r="S55" s="115">
        <f>SUM(G55:R55)</f>
        <v>833960.10800000012</v>
      </c>
      <c r="T55" s="116">
        <v>1.1537999999999999</v>
      </c>
      <c r="U55" s="113"/>
      <c r="V55" s="47">
        <f>S55*T55</f>
        <v>962223.17261040013</v>
      </c>
      <c r="W55" s="113"/>
      <c r="X55" s="47">
        <f>AC71</f>
        <v>85520.949999999983</v>
      </c>
      <c r="Y55" s="47">
        <f t="shared" ref="Y55:Y56" si="13">V55+X55</f>
        <v>1047744.1226104001</v>
      </c>
      <c r="Z55" s="113"/>
      <c r="AA55" s="116">
        <v>1.1347</v>
      </c>
      <c r="AB55" s="113"/>
      <c r="AC55" s="117">
        <f t="shared" ref="AC55:AC56" si="14">Y55*AA55</f>
        <v>1188875.2559260209</v>
      </c>
      <c r="BB55" s="26"/>
    </row>
    <row r="56" spans="3:54" ht="16.5" thickBot="1" x14ac:dyDescent="0.45">
      <c r="C56" s="113" t="s">
        <v>20</v>
      </c>
      <c r="D56" s="113"/>
      <c r="E56" s="113"/>
      <c r="F56" s="113"/>
      <c r="G56" s="115">
        <f t="shared" ref="G56:Q56" si="15">82.42*$I$78</f>
        <v>12115.74</v>
      </c>
      <c r="H56" s="115">
        <f t="shared" si="15"/>
        <v>12115.74</v>
      </c>
      <c r="I56" s="115">
        <f t="shared" si="15"/>
        <v>12115.74</v>
      </c>
      <c r="J56" s="115">
        <f t="shared" si="15"/>
        <v>12115.74</v>
      </c>
      <c r="K56" s="115">
        <f t="shared" si="15"/>
        <v>12115.74</v>
      </c>
      <c r="L56" s="115">
        <f t="shared" si="15"/>
        <v>12115.74</v>
      </c>
      <c r="M56" s="115">
        <f t="shared" si="15"/>
        <v>12115.74</v>
      </c>
      <c r="N56" s="115">
        <f t="shared" si="15"/>
        <v>12115.74</v>
      </c>
      <c r="O56" s="115">
        <f t="shared" si="15"/>
        <v>12115.74</v>
      </c>
      <c r="P56" s="115">
        <f t="shared" si="15"/>
        <v>12115.74</v>
      </c>
      <c r="Q56" s="115">
        <f t="shared" si="15"/>
        <v>12115.74</v>
      </c>
      <c r="R56" s="115">
        <f>82.42*H78</f>
        <v>5522.14</v>
      </c>
      <c r="S56" s="115">
        <f>SUM(G56:R56)</f>
        <v>138795.28000000003</v>
      </c>
      <c r="T56" s="116">
        <v>1.0652999999999999</v>
      </c>
      <c r="U56" s="113"/>
      <c r="V56" s="47">
        <f>S56*T56</f>
        <v>147858.61178400001</v>
      </c>
      <c r="W56" s="113"/>
      <c r="X56" s="113">
        <f>AC72</f>
        <v>7024</v>
      </c>
      <c r="Y56" s="47">
        <f t="shared" si="13"/>
        <v>154882.61178400001</v>
      </c>
      <c r="Z56" s="113"/>
      <c r="AA56" s="116">
        <v>1.2253000000000001</v>
      </c>
      <c r="AB56" s="113"/>
      <c r="AC56" s="117">
        <f t="shared" si="14"/>
        <v>189777.66421893521</v>
      </c>
      <c r="AV56" t="s">
        <v>182</v>
      </c>
      <c r="BB56" s="52">
        <f>BB53*BB54</f>
        <v>-12304.567136035676</v>
      </c>
    </row>
    <row r="57" spans="3:54" ht="16.5" thickTop="1" x14ac:dyDescent="0.4">
      <c r="C57" s="113" t="s">
        <v>331</v>
      </c>
      <c r="D57" s="113"/>
      <c r="E57" s="113"/>
      <c r="F57" s="113"/>
      <c r="G57" s="115">
        <f>G10*34</f>
        <v>1122</v>
      </c>
      <c r="H57" s="115">
        <f t="shared" ref="H57:Q57" si="16">H10*34</f>
        <v>1122</v>
      </c>
      <c r="I57" s="115">
        <f t="shared" si="16"/>
        <v>1122</v>
      </c>
      <c r="J57" s="115">
        <f t="shared" si="16"/>
        <v>1122</v>
      </c>
      <c r="K57" s="115">
        <f t="shared" si="16"/>
        <v>1156</v>
      </c>
      <c r="L57" s="115">
        <f t="shared" si="16"/>
        <v>1190</v>
      </c>
      <c r="M57" s="115">
        <f t="shared" si="16"/>
        <v>1122</v>
      </c>
      <c r="N57" s="115">
        <f t="shared" si="16"/>
        <v>1088</v>
      </c>
      <c r="O57" s="115">
        <f t="shared" si="16"/>
        <v>1088</v>
      </c>
      <c r="P57" s="115">
        <f t="shared" si="16"/>
        <v>1122</v>
      </c>
      <c r="Q57" s="115">
        <f t="shared" si="16"/>
        <v>1156</v>
      </c>
      <c r="R57" s="115">
        <f>R10*34</f>
        <v>1122</v>
      </c>
      <c r="S57" s="115">
        <f>SUM(G57:R57)</f>
        <v>13532</v>
      </c>
      <c r="T57" s="116"/>
      <c r="U57" s="113"/>
      <c r="V57" s="47"/>
      <c r="W57" s="113"/>
      <c r="X57" s="113"/>
      <c r="Y57" s="47"/>
      <c r="Z57" s="113"/>
      <c r="AA57" s="116"/>
      <c r="AB57" s="113"/>
      <c r="AC57" s="117"/>
    </row>
    <row r="58" spans="3:54" x14ac:dyDescent="0.4">
      <c r="C58" s="113"/>
      <c r="D58" s="113"/>
      <c r="E58" s="113"/>
      <c r="F58" s="113"/>
      <c r="G58" s="115"/>
      <c r="H58" s="115"/>
      <c r="I58" s="115"/>
      <c r="J58" s="115"/>
      <c r="K58" s="115"/>
      <c r="L58" s="115"/>
      <c r="M58" s="115"/>
      <c r="N58" s="115"/>
      <c r="O58" s="115"/>
      <c r="P58" s="115"/>
      <c r="Q58" s="115"/>
      <c r="R58" s="115"/>
      <c r="S58" s="115"/>
      <c r="T58" s="113"/>
      <c r="U58" s="113"/>
      <c r="V58" s="113"/>
      <c r="W58" s="113"/>
      <c r="X58" s="113"/>
      <c r="Y58" s="113"/>
      <c r="Z58" s="113"/>
      <c r="AA58" s="113"/>
      <c r="AB58" s="113"/>
      <c r="AC58" s="117"/>
    </row>
    <row r="59" spans="3:54" x14ac:dyDescent="0.4">
      <c r="C59" s="113" t="s">
        <v>146</v>
      </c>
      <c r="D59" s="113"/>
      <c r="E59" s="113"/>
      <c r="F59" s="113"/>
      <c r="G59" s="113"/>
      <c r="H59" s="113"/>
      <c r="I59" s="113"/>
      <c r="J59" s="113"/>
      <c r="K59" s="113"/>
      <c r="L59" s="113"/>
      <c r="M59" s="113"/>
      <c r="N59" s="113"/>
      <c r="O59" s="113"/>
      <c r="P59" s="113"/>
      <c r="Q59" s="113"/>
      <c r="R59" s="117">
        <f>SUM(S54:S56)</f>
        <v>2037543.388</v>
      </c>
      <c r="S59" s="47">
        <f>R48</f>
        <v>165358.66999999998</v>
      </c>
      <c r="T59" s="113"/>
      <c r="U59" s="113"/>
      <c r="V59" s="47">
        <f>S59</f>
        <v>165358.66999999998</v>
      </c>
      <c r="W59" s="113"/>
      <c r="X59" s="113"/>
      <c r="Y59" s="113"/>
      <c r="Z59" s="113"/>
      <c r="AA59" s="113"/>
      <c r="AB59" s="113"/>
      <c r="AC59" s="117">
        <f>SUM(AC54:AC58)</f>
        <v>2847302.5986673562</v>
      </c>
    </row>
    <row r="60" spans="3:54" x14ac:dyDescent="0.4">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7"/>
    </row>
    <row r="61" spans="3:54" x14ac:dyDescent="0.4">
      <c r="C61" s="113"/>
      <c r="D61" s="113"/>
      <c r="E61" s="113"/>
      <c r="F61" s="113"/>
      <c r="G61" s="113"/>
      <c r="H61" s="113"/>
      <c r="I61" s="113"/>
      <c r="J61" s="113"/>
      <c r="K61" s="113"/>
      <c r="L61" s="113"/>
      <c r="M61" s="113"/>
      <c r="N61" s="113"/>
      <c r="O61" s="113"/>
      <c r="P61" s="113"/>
      <c r="Q61" s="113"/>
      <c r="R61" s="113"/>
      <c r="S61" s="47">
        <f>SUM(S54:S60)</f>
        <v>2216434.0580000002</v>
      </c>
      <c r="T61" s="113"/>
      <c r="U61" s="113"/>
      <c r="V61" s="47">
        <f>SUM(V54:V60)</f>
        <v>2500479.0483944002</v>
      </c>
      <c r="W61" s="113"/>
      <c r="X61" s="113"/>
      <c r="Y61" s="113"/>
      <c r="Z61" s="113"/>
      <c r="AA61" s="113"/>
      <c r="AB61" s="113"/>
      <c r="AC61" s="117"/>
    </row>
    <row r="62" spans="3:54" x14ac:dyDescent="0.4">
      <c r="AC62" s="24"/>
    </row>
    <row r="63" spans="3:54" x14ac:dyDescent="0.4">
      <c r="AC63" s="24"/>
    </row>
    <row r="65" spans="3:32" x14ac:dyDescent="0.4">
      <c r="C65" t="s">
        <v>161</v>
      </c>
      <c r="G65">
        <v>2301</v>
      </c>
      <c r="H65">
        <v>2300</v>
      </c>
      <c r="I65">
        <v>2313</v>
      </c>
      <c r="J65">
        <v>2305</v>
      </c>
      <c r="K65">
        <v>2322</v>
      </c>
      <c r="L65">
        <v>2327</v>
      </c>
      <c r="M65">
        <v>2326</v>
      </c>
      <c r="N65">
        <v>2329</v>
      </c>
      <c r="O65">
        <v>2328</v>
      </c>
      <c r="P65">
        <v>2311</v>
      </c>
      <c r="Q65">
        <v>2305</v>
      </c>
      <c r="R65">
        <f>667+53</f>
        <v>720</v>
      </c>
      <c r="S65">
        <f>SUM(G65:R65)</f>
        <v>26187</v>
      </c>
    </row>
    <row r="66" spans="3:32" x14ac:dyDescent="0.4">
      <c r="C66" t="s">
        <v>122</v>
      </c>
      <c r="G66">
        <v>147</v>
      </c>
      <c r="H66">
        <f>G66</f>
        <v>147</v>
      </c>
      <c r="I66">
        <f t="shared" ref="I66:Q66" si="17">H66</f>
        <v>147</v>
      </c>
      <c r="J66">
        <f t="shared" si="17"/>
        <v>147</v>
      </c>
      <c r="K66">
        <f t="shared" si="17"/>
        <v>147</v>
      </c>
      <c r="L66">
        <f t="shared" si="17"/>
        <v>147</v>
      </c>
      <c r="M66">
        <f t="shared" si="17"/>
        <v>147</v>
      </c>
      <c r="N66">
        <f t="shared" si="17"/>
        <v>147</v>
      </c>
      <c r="O66">
        <f t="shared" si="17"/>
        <v>147</v>
      </c>
      <c r="P66">
        <f t="shared" si="17"/>
        <v>147</v>
      </c>
      <c r="Q66">
        <f t="shared" si="17"/>
        <v>147</v>
      </c>
      <c r="R66">
        <f>Q66</f>
        <v>147</v>
      </c>
    </row>
    <row r="67" spans="3:32" x14ac:dyDescent="0.4">
      <c r="C67" t="s">
        <v>332</v>
      </c>
      <c r="G67">
        <f>G10</f>
        <v>33</v>
      </c>
      <c r="H67">
        <f t="shared" ref="H67:Q67" si="18">H10</f>
        <v>33</v>
      </c>
      <c r="I67">
        <f t="shared" si="18"/>
        <v>33</v>
      </c>
      <c r="J67">
        <f t="shared" si="18"/>
        <v>33</v>
      </c>
      <c r="K67">
        <f t="shared" si="18"/>
        <v>34</v>
      </c>
      <c r="L67">
        <f t="shared" si="18"/>
        <v>35</v>
      </c>
      <c r="M67">
        <f t="shared" si="18"/>
        <v>33</v>
      </c>
      <c r="N67">
        <f t="shared" si="18"/>
        <v>32</v>
      </c>
      <c r="O67">
        <f t="shared" si="18"/>
        <v>32</v>
      </c>
      <c r="P67">
        <f t="shared" si="18"/>
        <v>33</v>
      </c>
      <c r="Q67">
        <f t="shared" si="18"/>
        <v>34</v>
      </c>
      <c r="R67">
        <f>R10</f>
        <v>33</v>
      </c>
    </row>
    <row r="68" spans="3:32" x14ac:dyDescent="0.4">
      <c r="C68" t="s">
        <v>158</v>
      </c>
      <c r="G68">
        <f>G65-G66-G67</f>
        <v>2121</v>
      </c>
      <c r="H68">
        <f t="shared" ref="H68:Q68" si="19">H65-H66-H67</f>
        <v>2120</v>
      </c>
      <c r="I68">
        <f t="shared" si="19"/>
        <v>2133</v>
      </c>
      <c r="J68">
        <f t="shared" si="19"/>
        <v>2125</v>
      </c>
      <c r="K68">
        <f t="shared" si="19"/>
        <v>2141</v>
      </c>
      <c r="L68">
        <f t="shared" si="19"/>
        <v>2145</v>
      </c>
      <c r="M68">
        <f t="shared" si="19"/>
        <v>2146</v>
      </c>
      <c r="N68">
        <f t="shared" si="19"/>
        <v>2150</v>
      </c>
      <c r="O68">
        <f t="shared" si="19"/>
        <v>2149</v>
      </c>
      <c r="P68">
        <f t="shared" si="19"/>
        <v>2131</v>
      </c>
      <c r="Q68">
        <f t="shared" si="19"/>
        <v>2124</v>
      </c>
      <c r="R68">
        <f>R65-R66-R67</f>
        <v>540</v>
      </c>
      <c r="AC68" s="35">
        <f>V59</f>
        <v>165358.66999999998</v>
      </c>
    </row>
    <row r="69" spans="3:32" x14ac:dyDescent="0.4">
      <c r="W69" t="s">
        <v>175</v>
      </c>
    </row>
    <row r="70" spans="3:32" x14ac:dyDescent="0.4">
      <c r="W70" t="s">
        <v>159</v>
      </c>
      <c r="AC70">
        <f>AD84*50.99</f>
        <v>72813.72</v>
      </c>
      <c r="AF70">
        <v>1481</v>
      </c>
    </row>
    <row r="71" spans="3:32" x14ac:dyDescent="0.4">
      <c r="C71" t="s">
        <v>139</v>
      </c>
      <c r="W71" t="s">
        <v>160</v>
      </c>
      <c r="AC71" s="35">
        <f>AC68-AC70-AC72</f>
        <v>85520.949999999983</v>
      </c>
    </row>
    <row r="72" spans="3:32" x14ac:dyDescent="0.4">
      <c r="R72" t="s">
        <v>140</v>
      </c>
      <c r="W72" t="s">
        <v>20</v>
      </c>
      <c r="AC72">
        <f>(E78+F78+G78)*87.8</f>
        <v>7024</v>
      </c>
    </row>
    <row r="73" spans="3:32" x14ac:dyDescent="0.4">
      <c r="R73" t="s">
        <v>141</v>
      </c>
    </row>
    <row r="74" spans="3:32" x14ac:dyDescent="0.4">
      <c r="AC74">
        <f>SUM(AC70:AC73)</f>
        <v>165358.66999999998</v>
      </c>
    </row>
    <row r="76" spans="3:32" x14ac:dyDescent="0.4">
      <c r="E76" s="400" t="s">
        <v>155</v>
      </c>
      <c r="F76" s="400"/>
      <c r="G76" s="400"/>
      <c r="H76" s="400"/>
    </row>
    <row r="77" spans="3:32" x14ac:dyDescent="0.4">
      <c r="E77" s="2">
        <v>1</v>
      </c>
      <c r="F77" s="2">
        <v>3</v>
      </c>
      <c r="G77" s="2">
        <v>5</v>
      </c>
      <c r="H77" s="2">
        <v>10</v>
      </c>
      <c r="I77" t="s">
        <v>25</v>
      </c>
    </row>
    <row r="78" spans="3:32" x14ac:dyDescent="0.4">
      <c r="C78" t="s">
        <v>20</v>
      </c>
      <c r="E78">
        <v>42</v>
      </c>
      <c r="F78">
        <v>24</v>
      </c>
      <c r="G78">
        <v>14</v>
      </c>
      <c r="H78">
        <v>67</v>
      </c>
      <c r="I78">
        <f>SUM(E78:H78)</f>
        <v>147</v>
      </c>
    </row>
    <row r="79" spans="3:32" x14ac:dyDescent="0.4">
      <c r="U79" t="s">
        <v>169</v>
      </c>
    </row>
    <row r="80" spans="3:32" x14ac:dyDescent="0.4">
      <c r="S80">
        <v>1</v>
      </c>
      <c r="T80">
        <v>2</v>
      </c>
      <c r="U80">
        <v>3</v>
      </c>
      <c r="V80">
        <v>5</v>
      </c>
      <c r="W80">
        <v>6</v>
      </c>
      <c r="X80">
        <v>7</v>
      </c>
      <c r="AB80">
        <v>8</v>
      </c>
      <c r="AC80">
        <v>9</v>
      </c>
      <c r="AD80" t="s">
        <v>25</v>
      </c>
    </row>
    <row r="81" spans="17:30" x14ac:dyDescent="0.4">
      <c r="Q81" t="s">
        <v>170</v>
      </c>
      <c r="S81">
        <v>598</v>
      </c>
      <c r="T81">
        <v>0</v>
      </c>
      <c r="U81">
        <v>510</v>
      </c>
      <c r="V81">
        <v>101</v>
      </c>
      <c r="W81">
        <v>67</v>
      </c>
      <c r="X81">
        <v>0</v>
      </c>
      <c r="AB81">
        <v>5</v>
      </c>
      <c r="AC81">
        <v>227</v>
      </c>
      <c r="AD81">
        <f>SUM(S81:AC81)</f>
        <v>1508</v>
      </c>
    </row>
    <row r="82" spans="17:30" x14ac:dyDescent="0.4">
      <c r="Q82" t="s">
        <v>171</v>
      </c>
      <c r="S82">
        <v>42</v>
      </c>
      <c r="U82">
        <v>24</v>
      </c>
      <c r="V82">
        <v>14</v>
      </c>
    </row>
    <row r="84" spans="17:30" x14ac:dyDescent="0.4">
      <c r="Q84" t="s">
        <v>173</v>
      </c>
      <c r="S84">
        <f>S81-S82</f>
        <v>556</v>
      </c>
      <c r="T84">
        <f t="shared" ref="T84:AC84" si="20">T81-T82</f>
        <v>0</v>
      </c>
      <c r="U84">
        <f t="shared" si="20"/>
        <v>486</v>
      </c>
      <c r="V84">
        <f t="shared" si="20"/>
        <v>87</v>
      </c>
      <c r="W84">
        <f t="shared" si="20"/>
        <v>67</v>
      </c>
      <c r="X84">
        <f t="shared" si="20"/>
        <v>0</v>
      </c>
      <c r="AB84">
        <f t="shared" si="20"/>
        <v>5</v>
      </c>
      <c r="AC84">
        <f t="shared" si="20"/>
        <v>227</v>
      </c>
      <c r="AD84">
        <f>SUM(S84:AC84)</f>
        <v>1428</v>
      </c>
    </row>
    <row r="85" spans="17:30" x14ac:dyDescent="0.4">
      <c r="Q85" t="s">
        <v>172</v>
      </c>
    </row>
    <row r="101" spans="4:4" x14ac:dyDescent="0.4">
      <c r="D101" t="s">
        <v>100</v>
      </c>
    </row>
  </sheetData>
  <mergeCells count="8">
    <mergeCell ref="E76:H76"/>
    <mergeCell ref="AF5:AH5"/>
    <mergeCell ref="AL5:AN5"/>
    <mergeCell ref="C24:X24"/>
    <mergeCell ref="AF3:AH3"/>
    <mergeCell ref="AF4:AH4"/>
    <mergeCell ref="AL3:AN3"/>
    <mergeCell ref="AL4:AN4"/>
  </mergeCells>
  <phoneticPr fontId="4" type="noConversion"/>
  <pageMargins left="0.7" right="0.7" top="0.75" bottom="0.75" header="0.3" footer="0.3"/>
  <pageSetup scale="6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B4D1A-72E8-4ED5-80F5-26EBEAA02435}">
  <dimension ref="A1:AD53"/>
  <sheetViews>
    <sheetView showGridLines="0" workbookViewId="0">
      <selection activeCell="O38" sqref="O38"/>
    </sheetView>
  </sheetViews>
  <sheetFormatPr defaultRowHeight="16" x14ac:dyDescent="0.4"/>
  <cols>
    <col min="3" max="3" width="4.9140625" customWidth="1"/>
    <col min="4" max="4" width="7.9140625" customWidth="1"/>
    <col min="5" max="5" width="14.6640625" bestFit="1" customWidth="1"/>
    <col min="6" max="6" width="0.9140625" customWidth="1"/>
    <col min="7" max="7" width="13.6640625" bestFit="1" customWidth="1"/>
    <col min="8" max="8" width="0.9140625" customWidth="1"/>
    <col min="9" max="9" width="13.6640625" bestFit="1" customWidth="1"/>
    <col min="29" max="29" width="10.08203125" bestFit="1" customWidth="1"/>
  </cols>
  <sheetData>
    <row r="1" spans="1:30" x14ac:dyDescent="0.4">
      <c r="A1" t="s">
        <v>318</v>
      </c>
    </row>
    <row r="2" spans="1:30" x14ac:dyDescent="0.4">
      <c r="E2" s="400" t="s">
        <v>323</v>
      </c>
      <c r="F2" s="400"/>
      <c r="G2" s="400"/>
      <c r="H2" s="400"/>
      <c r="I2" s="400"/>
    </row>
    <row r="3" spans="1:30" x14ac:dyDescent="0.4">
      <c r="E3" s="109" t="s">
        <v>17</v>
      </c>
      <c r="F3" s="2"/>
      <c r="G3" s="109" t="s">
        <v>49</v>
      </c>
      <c r="H3" s="2"/>
      <c r="I3" s="109" t="s">
        <v>25</v>
      </c>
    </row>
    <row r="5" spans="1:30" x14ac:dyDescent="0.4">
      <c r="A5" t="s">
        <v>319</v>
      </c>
      <c r="E5" s="9">
        <f>'Water Pro forma Rev Req'!F10</f>
        <v>10046503.880000001</v>
      </c>
      <c r="G5" s="9">
        <f>'Sewer Pro forma Rev Req'!E10</f>
        <v>2355243</v>
      </c>
    </row>
    <row r="6" spans="1:30" x14ac:dyDescent="0.4">
      <c r="A6" t="s">
        <v>320</v>
      </c>
      <c r="D6" s="2" t="str">
        <f>'Water Pro forma Rev Req'!J10</f>
        <v>(A)</v>
      </c>
      <c r="E6" s="8">
        <f>'Water Pro forma Rev Req'!H10</f>
        <v>43497.3</v>
      </c>
      <c r="F6" s="8"/>
    </row>
    <row r="7" spans="1:30" x14ac:dyDescent="0.4">
      <c r="D7" s="2" t="str">
        <f>'Water Pro forma Rev Req'!J11</f>
        <v>(B)</v>
      </c>
      <c r="E7" s="8">
        <f>'Water Pro forma Rev Req'!H11</f>
        <v>-10410.98</v>
      </c>
      <c r="F7" s="8"/>
      <c r="G7" s="8"/>
    </row>
    <row r="8" spans="1:30" x14ac:dyDescent="0.4">
      <c r="D8" s="2" t="str">
        <f>'Water Pro forma Rev Req'!J12</f>
        <v>(C)</v>
      </c>
      <c r="E8" s="8">
        <f>'Water Pro forma Rev Req'!H12</f>
        <v>-233892.79</v>
      </c>
      <c r="F8" s="8"/>
      <c r="G8" s="8">
        <f>'Sewer Pro forma Rev Req'!G10</f>
        <v>-138808.66</v>
      </c>
    </row>
    <row r="9" spans="1:30" x14ac:dyDescent="0.4">
      <c r="D9" s="2" t="str">
        <f>'Water Pro forma Rev Req'!J13</f>
        <v>(D)</v>
      </c>
      <c r="E9" s="8">
        <f>'Water Pro forma Rev Req'!H13</f>
        <v>-94982</v>
      </c>
      <c r="F9" s="8"/>
      <c r="G9" s="8"/>
    </row>
    <row r="10" spans="1:30" x14ac:dyDescent="0.4">
      <c r="A10" t="s">
        <v>321</v>
      </c>
      <c r="E10" s="10">
        <f>'Water Pro forma Rev Req'!L17</f>
        <v>-279453.81</v>
      </c>
      <c r="F10" s="8"/>
      <c r="G10" s="10"/>
      <c r="P10" t="s">
        <v>468</v>
      </c>
      <c r="T10" s="3">
        <v>14.5</v>
      </c>
      <c r="V10" t="s">
        <v>474</v>
      </c>
      <c r="AC10" s="1">
        <v>57243.25</v>
      </c>
    </row>
    <row r="11" spans="1:30" x14ac:dyDescent="0.4">
      <c r="E11" s="8"/>
      <c r="P11" t="s">
        <v>3547</v>
      </c>
      <c r="T11" s="1">
        <v>53</v>
      </c>
      <c r="V11" t="s">
        <v>475</v>
      </c>
      <c r="AC11" s="1">
        <v>-312.5</v>
      </c>
      <c r="AD11" t="s">
        <v>476</v>
      </c>
    </row>
    <row r="12" spans="1:30" x14ac:dyDescent="0.4">
      <c r="A12" t="s">
        <v>322</v>
      </c>
      <c r="E12" s="26">
        <f>SUM(E5:E11)</f>
        <v>9471261.6000000015</v>
      </c>
      <c r="G12" s="26">
        <f>SUM(G5:G11)</f>
        <v>2216434.34</v>
      </c>
      <c r="I12" s="26">
        <f>E12+G12</f>
        <v>11687695.940000001</v>
      </c>
      <c r="P12" t="s">
        <v>3548</v>
      </c>
      <c r="T12" s="1">
        <v>14.5</v>
      </c>
      <c r="AC12" s="1"/>
    </row>
    <row r="13" spans="1:30" x14ac:dyDescent="0.4">
      <c r="A13" t="s">
        <v>3299</v>
      </c>
      <c r="E13" s="112">
        <f>E12/I12</f>
        <v>0.81036173841462888</v>
      </c>
      <c r="F13" s="5"/>
      <c r="G13" s="112">
        <f>G12/I12</f>
        <v>0.18963826158537109</v>
      </c>
      <c r="H13" s="5"/>
      <c r="I13" s="112">
        <f>E13+G13</f>
        <v>1</v>
      </c>
      <c r="P13" t="s">
        <v>469</v>
      </c>
      <c r="T13" s="1">
        <v>14.5</v>
      </c>
      <c r="V13" t="s">
        <v>479</v>
      </c>
      <c r="AC13" s="1">
        <f>AC10+AC11</f>
        <v>56930.75</v>
      </c>
    </row>
    <row r="14" spans="1:30" x14ac:dyDescent="0.4">
      <c r="E14" s="105"/>
      <c r="F14" s="5"/>
      <c r="G14" s="105"/>
      <c r="H14" s="5"/>
      <c r="I14" s="105"/>
      <c r="P14" t="s">
        <v>470</v>
      </c>
      <c r="T14" s="1">
        <v>12.5</v>
      </c>
      <c r="AC14" s="1"/>
    </row>
    <row r="15" spans="1:30" x14ac:dyDescent="0.4">
      <c r="A15" t="s">
        <v>324</v>
      </c>
      <c r="E15" s="8">
        <f>I15*E13</f>
        <v>178388.98128590433</v>
      </c>
      <c r="F15" s="8"/>
      <c r="G15" s="8">
        <f>G13*I15</f>
        <v>41746.018714095662</v>
      </c>
      <c r="H15" s="8"/>
      <c r="I15" s="8">
        <f>'Water Pro forma Rev Req'!F27</f>
        <v>220135</v>
      </c>
      <c r="P15" t="s">
        <v>471</v>
      </c>
      <c r="T15" s="1">
        <v>14.5</v>
      </c>
    </row>
    <row r="16" spans="1:30" x14ac:dyDescent="0.4">
      <c r="A16" t="s">
        <v>181</v>
      </c>
      <c r="E16" s="10">
        <f>-'Water Pro forma Rev Req'!F27</f>
        <v>-220135</v>
      </c>
      <c r="F16" s="8"/>
      <c r="G16" s="10">
        <v>0</v>
      </c>
      <c r="H16" s="8"/>
      <c r="I16" s="10">
        <f>E16+G16</f>
        <v>-220135</v>
      </c>
      <c r="P16" t="s">
        <v>472</v>
      </c>
      <c r="T16" s="1">
        <v>1.5</v>
      </c>
    </row>
    <row r="17" spans="1:26" x14ac:dyDescent="0.4">
      <c r="P17" t="s">
        <v>473</v>
      </c>
      <c r="T17" s="1">
        <v>14.5</v>
      </c>
    </row>
    <row r="18" spans="1:26" ht="16.5" thickBot="1" x14ac:dyDescent="0.45">
      <c r="A18" t="s">
        <v>182</v>
      </c>
      <c r="E18" s="31">
        <f>E15+E16</f>
        <v>-41746.01871409567</v>
      </c>
      <c r="F18" s="50"/>
      <c r="G18" s="31">
        <f>G15+G16</f>
        <v>41746.018714095662</v>
      </c>
      <c r="H18" s="50"/>
      <c r="I18" s="31">
        <f>I15+I16</f>
        <v>0</v>
      </c>
    </row>
    <row r="19" spans="1:26" ht="16.5" thickTop="1" x14ac:dyDescent="0.4"/>
    <row r="22" spans="1:26" x14ac:dyDescent="0.4">
      <c r="P22" t="s">
        <v>477</v>
      </c>
      <c r="T22" s="3">
        <v>14.5</v>
      </c>
      <c r="V22" t="s">
        <v>480</v>
      </c>
      <c r="Z22">
        <v>90</v>
      </c>
    </row>
    <row r="23" spans="1:26" x14ac:dyDescent="0.4">
      <c r="P23" t="s">
        <v>478</v>
      </c>
      <c r="T23" s="1">
        <v>14.5</v>
      </c>
      <c r="Z23">
        <v>90</v>
      </c>
    </row>
    <row r="24" spans="1:26" x14ac:dyDescent="0.4">
      <c r="P24" t="s">
        <v>471</v>
      </c>
      <c r="T24" s="1">
        <v>14.5</v>
      </c>
      <c r="Z24">
        <v>947.37</v>
      </c>
    </row>
    <row r="25" spans="1:26" x14ac:dyDescent="0.4">
      <c r="P25" t="s">
        <v>472</v>
      </c>
      <c r="T25" s="1">
        <v>1.5</v>
      </c>
      <c r="Z25">
        <v>90</v>
      </c>
    </row>
    <row r="26" spans="1:26" x14ac:dyDescent="0.4">
      <c r="A26" t="s">
        <v>491</v>
      </c>
      <c r="Z26">
        <v>90</v>
      </c>
    </row>
    <row r="27" spans="1:26" x14ac:dyDescent="0.4">
      <c r="Z27">
        <v>210</v>
      </c>
    </row>
    <row r="28" spans="1:26" x14ac:dyDescent="0.4">
      <c r="A28" t="s">
        <v>495</v>
      </c>
      <c r="G28" s="9">
        <v>56931</v>
      </c>
      <c r="Z28">
        <v>60</v>
      </c>
    </row>
    <row r="29" spans="1:26" x14ac:dyDescent="0.4">
      <c r="A29" t="s">
        <v>492</v>
      </c>
      <c r="G29" s="10">
        <v>16680</v>
      </c>
      <c r="Z29">
        <v>30</v>
      </c>
    </row>
    <row r="30" spans="1:26" x14ac:dyDescent="0.4">
      <c r="G30" s="8"/>
      <c r="Z30">
        <v>150</v>
      </c>
    </row>
    <row r="31" spans="1:26" x14ac:dyDescent="0.4">
      <c r="A31" t="s">
        <v>496</v>
      </c>
      <c r="G31" s="1">
        <f>G28/G29</f>
        <v>3.4131294964028775</v>
      </c>
      <c r="Z31">
        <v>120</v>
      </c>
    </row>
    <row r="32" spans="1:26" x14ac:dyDescent="0.4">
      <c r="A32" t="s">
        <v>493</v>
      </c>
      <c r="G32" s="10">
        <v>1900</v>
      </c>
      <c r="Z32">
        <v>180</v>
      </c>
    </row>
    <row r="33" spans="1:26" x14ac:dyDescent="0.4">
      <c r="G33" s="8"/>
      <c r="Z33">
        <v>150</v>
      </c>
    </row>
    <row r="34" spans="1:26" x14ac:dyDescent="0.4">
      <c r="A34" t="s">
        <v>497</v>
      </c>
      <c r="G34" s="8">
        <f>G31*G32</f>
        <v>6484.946043165467</v>
      </c>
      <c r="Z34">
        <v>150</v>
      </c>
    </row>
    <row r="35" spans="1:26" x14ac:dyDescent="0.4">
      <c r="A35" t="s">
        <v>494</v>
      </c>
      <c r="G35" s="10">
        <v>2</v>
      </c>
      <c r="Z35">
        <v>180</v>
      </c>
    </row>
    <row r="36" spans="1:26" x14ac:dyDescent="0.4">
      <c r="Z36">
        <v>120</v>
      </c>
    </row>
    <row r="37" spans="1:26" ht="16.5" thickBot="1" x14ac:dyDescent="0.45">
      <c r="A37" t="s">
        <v>498</v>
      </c>
      <c r="G37" s="31">
        <f>G34/G35*-1</f>
        <v>-3242.4730215827335</v>
      </c>
      <c r="Z37">
        <v>60</v>
      </c>
    </row>
    <row r="38" spans="1:26" ht="16.5" thickTop="1" x14ac:dyDescent="0.4">
      <c r="Z38">
        <v>30</v>
      </c>
    </row>
    <row r="39" spans="1:26" x14ac:dyDescent="0.4">
      <c r="Z39">
        <f>SUM(Z22:Z38)</f>
        <v>2747.37</v>
      </c>
    </row>
    <row r="40" spans="1:26" x14ac:dyDescent="0.4">
      <c r="W40" t="s">
        <v>481</v>
      </c>
      <c r="Z40">
        <v>2134.0700000000002</v>
      </c>
    </row>
    <row r="41" spans="1:26" x14ac:dyDescent="0.4">
      <c r="W41" t="s">
        <v>482</v>
      </c>
      <c r="Z41">
        <f>Z39-Z40</f>
        <v>613.29999999999973</v>
      </c>
    </row>
    <row r="45" spans="1:26" x14ac:dyDescent="0.4">
      <c r="R45" t="s">
        <v>483</v>
      </c>
    </row>
    <row r="46" spans="1:26" x14ac:dyDescent="0.4">
      <c r="R46" t="s">
        <v>484</v>
      </c>
      <c r="U46">
        <v>213</v>
      </c>
      <c r="W46" t="s">
        <v>3297</v>
      </c>
    </row>
    <row r="47" spans="1:26" x14ac:dyDescent="0.4">
      <c r="R47" t="s">
        <v>485</v>
      </c>
    </row>
    <row r="48" spans="1:26" x14ac:dyDescent="0.4">
      <c r="R48" t="s">
        <v>486</v>
      </c>
    </row>
    <row r="49" spans="18:23" x14ac:dyDescent="0.4">
      <c r="R49" t="s">
        <v>487</v>
      </c>
    </row>
    <row r="50" spans="18:23" x14ac:dyDescent="0.4">
      <c r="R50" t="s">
        <v>488</v>
      </c>
    </row>
    <row r="51" spans="18:23" x14ac:dyDescent="0.4">
      <c r="R51" t="s">
        <v>489</v>
      </c>
      <c r="U51">
        <v>147</v>
      </c>
      <c r="W51" t="s">
        <v>490</v>
      </c>
    </row>
    <row r="53" spans="18:23" x14ac:dyDescent="0.4">
      <c r="R53" t="s">
        <v>25</v>
      </c>
      <c r="U53">
        <f>SUM(U46:U52)</f>
        <v>360</v>
      </c>
    </row>
  </sheetData>
  <mergeCells count="1">
    <mergeCell ref="E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BE381-6A64-4C5D-8328-9DF1C81D0995}">
  <dimension ref="A2:S47"/>
  <sheetViews>
    <sheetView workbookViewId="0"/>
  </sheetViews>
  <sheetFormatPr defaultRowHeight="16" x14ac:dyDescent="0.4"/>
  <cols>
    <col min="1" max="2" width="1.4140625" customWidth="1"/>
    <col min="3" max="3" width="1.83203125" customWidth="1"/>
    <col min="4" max="4" width="29.5" customWidth="1"/>
    <col min="5" max="5" width="13" bestFit="1" customWidth="1"/>
    <col min="6" max="6" width="0.9140625" customWidth="1"/>
    <col min="7" max="7" width="10.1640625" bestFit="1" customWidth="1"/>
    <col min="8" max="8" width="0.9140625" customWidth="1"/>
    <col min="9" max="9" width="11.9140625" bestFit="1" customWidth="1"/>
    <col min="10" max="10" width="0.9140625" customWidth="1"/>
    <col min="11" max="11" width="15" bestFit="1" customWidth="1"/>
    <col min="12" max="12" width="0.9140625" customWidth="1"/>
    <col min="13" max="13" width="13" bestFit="1" customWidth="1"/>
    <col min="14" max="14" width="0.9140625" customWidth="1"/>
    <col min="15" max="15" width="10.1640625" bestFit="1" customWidth="1"/>
    <col min="16" max="16" width="0.9140625" customWidth="1"/>
    <col min="17" max="17" width="11.9140625" bestFit="1" customWidth="1"/>
    <col min="19" max="19" width="11.9140625" bestFit="1" customWidth="1"/>
  </cols>
  <sheetData>
    <row r="2" spans="1:19" x14ac:dyDescent="0.4">
      <c r="A2" s="409" t="s">
        <v>3409</v>
      </c>
      <c r="B2" s="409"/>
      <c r="C2" s="409"/>
      <c r="D2" s="409"/>
      <c r="E2" s="409"/>
      <c r="F2" s="409"/>
      <c r="G2" s="409"/>
      <c r="H2" s="409"/>
      <c r="I2" s="409"/>
      <c r="J2" s="409"/>
      <c r="K2" s="409"/>
      <c r="L2" s="409"/>
      <c r="M2" s="409"/>
      <c r="N2" s="409"/>
      <c r="O2" s="409"/>
      <c r="P2" s="409"/>
      <c r="Q2" s="409"/>
    </row>
    <row r="3" spans="1:19" x14ac:dyDescent="0.4">
      <c r="A3" s="409" t="s">
        <v>3410</v>
      </c>
      <c r="B3" s="409"/>
      <c r="C3" s="409"/>
      <c r="D3" s="409"/>
      <c r="E3" s="409"/>
      <c r="F3" s="409"/>
      <c r="G3" s="409"/>
      <c r="H3" s="409"/>
      <c r="I3" s="409"/>
      <c r="J3" s="409"/>
      <c r="K3" s="409"/>
      <c r="L3" s="409"/>
      <c r="M3" s="409"/>
      <c r="N3" s="409"/>
      <c r="O3" s="409"/>
      <c r="P3" s="409"/>
      <c r="Q3" s="409"/>
    </row>
    <row r="4" spans="1:19" x14ac:dyDescent="0.4">
      <c r="A4" s="409" t="s">
        <v>542</v>
      </c>
      <c r="B4" s="409"/>
      <c r="C4" s="409"/>
      <c r="D4" s="409"/>
      <c r="E4" s="409"/>
      <c r="F4" s="409"/>
      <c r="G4" s="409"/>
      <c r="H4" s="409"/>
      <c r="I4" s="409"/>
      <c r="J4" s="409"/>
      <c r="K4" s="409"/>
      <c r="L4" s="409"/>
      <c r="M4" s="409"/>
      <c r="N4" s="409"/>
      <c r="O4" s="409"/>
      <c r="P4" s="409"/>
      <c r="Q4" s="409"/>
    </row>
    <row r="6" spans="1:19" x14ac:dyDescent="0.4">
      <c r="G6" s="23" t="s">
        <v>462</v>
      </c>
      <c r="H6" s="23"/>
      <c r="I6" s="23"/>
      <c r="J6" s="23"/>
      <c r="K6" s="23" t="s">
        <v>464</v>
      </c>
      <c r="L6" s="23"/>
      <c r="M6" s="23"/>
      <c r="N6" s="23"/>
      <c r="O6" s="23" t="s">
        <v>461</v>
      </c>
      <c r="P6" s="23"/>
      <c r="Q6" s="23"/>
      <c r="R6" s="8"/>
      <c r="S6" s="8"/>
    </row>
    <row r="7" spans="1:19" x14ac:dyDescent="0.4">
      <c r="E7" s="21" t="s">
        <v>25</v>
      </c>
      <c r="G7" s="22" t="s">
        <v>463</v>
      </c>
      <c r="H7" s="23"/>
      <c r="I7" s="22" t="s">
        <v>459</v>
      </c>
      <c r="J7" s="23"/>
      <c r="K7" s="22" t="s">
        <v>465</v>
      </c>
      <c r="L7" s="23"/>
      <c r="M7" s="22" t="s">
        <v>460</v>
      </c>
      <c r="N7" s="23"/>
      <c r="O7" s="22" t="s">
        <v>466</v>
      </c>
      <c r="P7" s="23"/>
      <c r="Q7" s="22" t="s">
        <v>2826</v>
      </c>
      <c r="R7" s="8"/>
      <c r="S7" s="101"/>
    </row>
    <row r="8" spans="1:19" x14ac:dyDescent="0.4">
      <c r="A8" s="8" t="s">
        <v>2618</v>
      </c>
      <c r="B8" s="8"/>
      <c r="C8" s="8"/>
      <c r="D8" s="8"/>
      <c r="E8" s="26"/>
      <c r="G8" s="8"/>
      <c r="H8" s="8"/>
      <c r="I8" s="8"/>
      <c r="J8" s="8"/>
      <c r="K8" s="8"/>
      <c r="L8" s="8"/>
      <c r="M8" s="8"/>
      <c r="N8" s="8"/>
      <c r="O8" s="8"/>
      <c r="P8" s="8"/>
      <c r="Q8" s="8"/>
      <c r="R8" s="8"/>
      <c r="S8" s="8"/>
    </row>
    <row r="9" spans="1:19" x14ac:dyDescent="0.4">
      <c r="A9" s="8"/>
      <c r="B9" s="8" t="s">
        <v>2619</v>
      </c>
      <c r="C9" s="8"/>
      <c r="D9" s="8"/>
      <c r="E9" s="8"/>
    </row>
    <row r="10" spans="1:19" x14ac:dyDescent="0.4">
      <c r="A10" s="8"/>
      <c r="B10" s="8"/>
      <c r="C10" s="8" t="s">
        <v>246</v>
      </c>
      <c r="D10" s="8"/>
      <c r="E10" s="9">
        <f>SUM(G10:Q10)</f>
        <v>2716842.4614402349</v>
      </c>
      <c r="F10" s="9"/>
      <c r="G10" s="9"/>
      <c r="H10" s="9"/>
      <c r="I10" s="9">
        <f>'Water Pro forma Rev Req'!R37</f>
        <v>359333.01429639547</v>
      </c>
      <c r="J10" s="9"/>
      <c r="K10" s="9">
        <f>'Water Pro forma Rev Req'!T37</f>
        <v>1423993.0371256422</v>
      </c>
      <c r="L10" s="9"/>
      <c r="M10" s="9">
        <f>'Water Pro forma Rev Req'!V37</f>
        <v>242876.3523538181</v>
      </c>
      <c r="N10" s="9"/>
      <c r="O10" s="9">
        <f>'Water Pro forma Rev Req'!X37</f>
        <v>189647.75033597415</v>
      </c>
      <c r="P10" s="9"/>
      <c r="Q10" s="9">
        <f>'Water Pro forma Rev Req'!Z37</f>
        <v>500992.30732840544</v>
      </c>
      <c r="S10" s="24">
        <f>SUM(G10:R10)</f>
        <v>2716842.4614402349</v>
      </c>
    </row>
    <row r="11" spans="1:19" x14ac:dyDescent="0.4">
      <c r="A11" s="8"/>
      <c r="B11" s="8"/>
      <c r="C11" s="8" t="s">
        <v>245</v>
      </c>
      <c r="D11" s="8"/>
      <c r="E11" s="8">
        <f>SUM(G11:Q11)</f>
        <v>26420.274551214363</v>
      </c>
      <c r="G11" s="8"/>
      <c r="H11" s="8"/>
      <c r="I11" s="8"/>
      <c r="J11" s="8"/>
      <c r="K11" s="8"/>
      <c r="L11" s="8"/>
      <c r="M11" s="8"/>
      <c r="N11" s="8"/>
      <c r="O11" s="8"/>
      <c r="P11" s="8"/>
      <c r="Q11" s="8">
        <f>'Water Pro forma Rev Req'!Z38</f>
        <v>26420.274551214363</v>
      </c>
      <c r="S11" s="24">
        <f t="shared" ref="S11:S37" si="0">SUM(G11:R11)</f>
        <v>26420.274551214363</v>
      </c>
    </row>
    <row r="12" spans="1:19" x14ac:dyDescent="0.4">
      <c r="A12" s="8"/>
      <c r="B12" s="8"/>
      <c r="C12" s="8" t="s">
        <v>247</v>
      </c>
      <c r="D12" s="8"/>
      <c r="E12" s="8">
        <f t="shared" ref="E12:E36" si="1">SUM(G12:Q12)</f>
        <v>1216113.8287201687</v>
      </c>
      <c r="G12" s="8"/>
      <c r="H12" s="8"/>
      <c r="I12" s="8">
        <f>'Water Pro forma Rev Req'!R40</f>
        <v>159615.35890427319</v>
      </c>
      <c r="J12" s="8"/>
      <c r="K12" s="8">
        <f>'Water Pro forma Rev Req'!T40</f>
        <v>641549.43144246691</v>
      </c>
      <c r="L12" s="8"/>
      <c r="M12" s="8">
        <f>'Water Pro forma Rev Req'!V40</f>
        <v>107885.4283017219</v>
      </c>
      <c r="N12" s="8"/>
      <c r="O12" s="8">
        <f>'Water Pro forma Rev Req'!X40</f>
        <v>84241.337508430966</v>
      </c>
      <c r="P12" s="8"/>
      <c r="Q12" s="8">
        <f>'Water Pro forma Rev Req'!Z40</f>
        <v>222822.27256327588</v>
      </c>
      <c r="S12" s="24">
        <f t="shared" si="0"/>
        <v>1216113.8287201687</v>
      </c>
    </row>
    <row r="13" spans="1:19" x14ac:dyDescent="0.4">
      <c r="A13" s="8"/>
      <c r="B13" s="8"/>
      <c r="C13" s="8" t="s">
        <v>2628</v>
      </c>
      <c r="D13" s="8"/>
      <c r="E13" s="8"/>
      <c r="G13" s="8"/>
      <c r="H13" s="8"/>
      <c r="I13" s="8"/>
      <c r="J13" s="8"/>
      <c r="K13" s="8"/>
      <c r="L13" s="8"/>
      <c r="M13" s="8"/>
      <c r="N13" s="8"/>
      <c r="O13" s="8"/>
      <c r="P13" s="8"/>
      <c r="Q13" s="8"/>
      <c r="S13" s="24">
        <f t="shared" si="0"/>
        <v>0</v>
      </c>
    </row>
    <row r="14" spans="1:19" x14ac:dyDescent="0.4">
      <c r="A14" s="8"/>
      <c r="B14" s="8"/>
      <c r="C14" s="8"/>
      <c r="D14" s="8" t="s">
        <v>557</v>
      </c>
      <c r="E14" s="8">
        <f t="shared" si="1"/>
        <v>10786.706167141117</v>
      </c>
      <c r="G14" s="8"/>
      <c r="H14" s="8"/>
      <c r="I14" s="8"/>
      <c r="J14" s="8"/>
      <c r="K14" s="8"/>
      <c r="L14" s="8"/>
      <c r="M14" s="8"/>
      <c r="N14" s="8"/>
      <c r="O14" s="8"/>
      <c r="P14" s="8"/>
      <c r="Q14" s="8">
        <f>'Water Pro forma Rev Req'!Z43</f>
        <v>10786.706167141117</v>
      </c>
      <c r="S14" s="24">
        <f t="shared" si="0"/>
        <v>10786.706167141117</v>
      </c>
    </row>
    <row r="15" spans="1:19" x14ac:dyDescent="0.4">
      <c r="A15" s="8"/>
      <c r="B15" s="8"/>
      <c r="C15" s="8"/>
      <c r="D15" s="8" t="s">
        <v>514</v>
      </c>
      <c r="E15" s="8">
        <f t="shared" si="1"/>
        <v>85400.731199999995</v>
      </c>
      <c r="G15" s="8"/>
      <c r="H15" s="8"/>
      <c r="I15" s="8">
        <f>'Water Pro forma Rev Req'!R44</f>
        <v>85400.731199999995</v>
      </c>
      <c r="J15" s="8"/>
      <c r="K15" s="8"/>
      <c r="L15" s="8"/>
      <c r="M15" s="8"/>
      <c r="N15" s="8"/>
      <c r="O15" s="8"/>
      <c r="P15" s="8"/>
      <c r="Q15" s="8"/>
      <c r="S15" s="24">
        <f t="shared" si="0"/>
        <v>85400.731199999995</v>
      </c>
    </row>
    <row r="16" spans="1:19" x14ac:dyDescent="0.4">
      <c r="A16" s="8"/>
      <c r="B16" s="8"/>
      <c r="C16" s="8"/>
      <c r="D16" s="8" t="s">
        <v>2629</v>
      </c>
      <c r="E16" s="8">
        <f t="shared" si="1"/>
        <v>1007159.5319000001</v>
      </c>
      <c r="G16" s="8"/>
      <c r="H16" s="8"/>
      <c r="I16" s="8"/>
      <c r="J16" s="8"/>
      <c r="K16" s="8">
        <f>'Water Pro forma Rev Req'!T45</f>
        <v>1007159.5319000001</v>
      </c>
      <c r="L16" s="8"/>
      <c r="M16" s="8"/>
      <c r="N16" s="8"/>
      <c r="O16" s="8"/>
      <c r="P16" s="8"/>
      <c r="Q16" s="8"/>
      <c r="S16" s="24">
        <f t="shared" si="0"/>
        <v>1007159.5319000001</v>
      </c>
    </row>
    <row r="17" spans="1:19" x14ac:dyDescent="0.4">
      <c r="A17" s="8"/>
      <c r="B17" s="8"/>
      <c r="C17" s="8" t="s">
        <v>214</v>
      </c>
      <c r="D17" s="8"/>
      <c r="E17" s="8">
        <f t="shared" si="1"/>
        <v>933458.71470000001</v>
      </c>
      <c r="G17" s="9">
        <f>'Water Pro forma Rev Req'!P46</f>
        <v>933458.71470000001</v>
      </c>
      <c r="H17" s="8"/>
      <c r="I17" s="8"/>
      <c r="J17" s="8"/>
      <c r="K17" s="8">
        <f>'Water Pro forma Rev Req'!T46</f>
        <v>0</v>
      </c>
      <c r="L17" s="8"/>
      <c r="M17" s="8"/>
      <c r="N17" s="8"/>
      <c r="O17" s="8"/>
      <c r="P17" s="8"/>
      <c r="Q17" s="8"/>
      <c r="S17" s="24">
        <f t="shared" si="0"/>
        <v>933458.71470000001</v>
      </c>
    </row>
    <row r="18" spans="1:19" x14ac:dyDescent="0.4">
      <c r="A18" s="8"/>
      <c r="B18" s="8"/>
      <c r="C18" s="8" t="s">
        <v>194</v>
      </c>
      <c r="D18" s="8"/>
      <c r="E18" s="8">
        <f t="shared" si="1"/>
        <v>176503.65830000001</v>
      </c>
      <c r="G18" s="8"/>
      <c r="H18" s="8"/>
      <c r="I18" s="8">
        <f>'Water Pro forma Rev Req'!R47</f>
        <v>176503.65830000001</v>
      </c>
      <c r="J18" s="8"/>
      <c r="K18" s="8">
        <f>'Water Pro forma Rev Req'!T47</f>
        <v>0</v>
      </c>
      <c r="L18" s="8"/>
      <c r="M18" s="8"/>
      <c r="N18" s="8"/>
      <c r="O18" s="8"/>
      <c r="P18" s="8"/>
      <c r="Q18" s="8"/>
      <c r="S18" s="24">
        <f t="shared" si="0"/>
        <v>176503.65830000001</v>
      </c>
    </row>
    <row r="19" spans="1:19" x14ac:dyDescent="0.4">
      <c r="A19" s="8"/>
      <c r="B19" s="8"/>
      <c r="C19" s="8" t="s">
        <v>195</v>
      </c>
      <c r="D19" s="8"/>
      <c r="E19" s="8">
        <f t="shared" si="1"/>
        <v>1187758.83</v>
      </c>
      <c r="G19" s="8"/>
      <c r="H19" s="8"/>
      <c r="I19" s="8">
        <f>'Water Pro forma Rev Req'!R48</f>
        <v>124215.00586680617</v>
      </c>
      <c r="J19" s="8"/>
      <c r="K19" s="8">
        <f>'Water Pro forma Rev Req'!T48</f>
        <v>931854.07128066127</v>
      </c>
      <c r="L19" s="8"/>
      <c r="M19" s="8">
        <f>'Water Pro forma Rev Req'!V48</f>
        <v>131689.75285253246</v>
      </c>
      <c r="N19" s="8"/>
      <c r="O19" s="8"/>
      <c r="P19" s="8"/>
      <c r="Q19" s="8"/>
      <c r="S19" s="24">
        <f t="shared" si="0"/>
        <v>1187758.83</v>
      </c>
    </row>
    <row r="20" spans="1:19" x14ac:dyDescent="0.4">
      <c r="A20" s="8"/>
      <c r="B20" s="8"/>
      <c r="C20" s="8" t="s">
        <v>240</v>
      </c>
      <c r="D20" s="8"/>
      <c r="E20" s="8"/>
      <c r="G20" s="8"/>
      <c r="H20" s="8"/>
      <c r="I20" s="8"/>
      <c r="J20" s="8"/>
      <c r="K20" s="8"/>
      <c r="L20" s="8"/>
      <c r="M20" s="8"/>
      <c r="N20" s="8"/>
      <c r="O20" s="8"/>
      <c r="P20" s="8"/>
      <c r="Q20" s="8"/>
      <c r="S20" s="24">
        <f t="shared" si="0"/>
        <v>0</v>
      </c>
    </row>
    <row r="21" spans="1:19" x14ac:dyDescent="0.4">
      <c r="A21" s="8"/>
      <c r="B21" s="8"/>
      <c r="C21" s="8" t="s">
        <v>241</v>
      </c>
      <c r="D21" s="8"/>
      <c r="E21" s="8">
        <f t="shared" si="1"/>
        <v>67097.809926082366</v>
      </c>
      <c r="G21" s="8"/>
      <c r="H21" s="8"/>
      <c r="I21" s="8"/>
      <c r="J21" s="8"/>
      <c r="K21" s="8"/>
      <c r="L21" s="8"/>
      <c r="M21" s="8"/>
      <c r="N21" s="8"/>
      <c r="O21" s="8"/>
      <c r="P21" s="8"/>
      <c r="Q21" s="8">
        <f>'Water Pro forma Rev Req'!Z50</f>
        <v>67097.809926082366</v>
      </c>
      <c r="S21" s="24">
        <f t="shared" si="0"/>
        <v>67097.809926082366</v>
      </c>
    </row>
    <row r="22" spans="1:19" x14ac:dyDescent="0.4">
      <c r="A22" s="8"/>
      <c r="B22" s="8"/>
      <c r="C22" s="8" t="s">
        <v>242</v>
      </c>
      <c r="D22" s="8"/>
      <c r="E22" s="8">
        <f t="shared" si="1"/>
        <v>10500.8</v>
      </c>
      <c r="G22" s="8"/>
      <c r="H22" s="8"/>
      <c r="I22" s="8"/>
      <c r="J22" s="8"/>
      <c r="K22" s="8"/>
      <c r="L22" s="8"/>
      <c r="M22" s="8"/>
      <c r="N22" s="8"/>
      <c r="O22" s="8"/>
      <c r="P22" s="8"/>
      <c r="Q22" s="8">
        <f>'Water Pro forma Rev Req'!Z51</f>
        <v>10500.8</v>
      </c>
      <c r="S22" s="24">
        <f t="shared" si="0"/>
        <v>10500.8</v>
      </c>
    </row>
    <row r="23" spans="1:19" x14ac:dyDescent="0.4">
      <c r="A23" s="8"/>
      <c r="B23" s="8"/>
      <c r="C23" s="8" t="s">
        <v>243</v>
      </c>
      <c r="D23" s="8"/>
      <c r="E23" s="8">
        <f t="shared" si="1"/>
        <v>65995</v>
      </c>
      <c r="G23" s="8"/>
      <c r="H23" s="8"/>
      <c r="I23" s="8">
        <f>'Water Pro forma Rev Req'!R52</f>
        <v>65995</v>
      </c>
      <c r="J23" s="8"/>
      <c r="K23" s="8"/>
      <c r="L23" s="8"/>
      <c r="M23" s="8"/>
      <c r="N23" s="8"/>
      <c r="O23" s="8"/>
      <c r="P23" s="8"/>
      <c r="Q23" s="8"/>
      <c r="S23" s="24">
        <f t="shared" si="0"/>
        <v>65995</v>
      </c>
    </row>
    <row r="24" spans="1:19" x14ac:dyDescent="0.4">
      <c r="A24" s="8"/>
      <c r="B24" s="8"/>
      <c r="C24" s="8" t="s">
        <v>244</v>
      </c>
      <c r="D24" s="8"/>
      <c r="E24" s="8">
        <f t="shared" si="1"/>
        <v>104636.04327650699</v>
      </c>
      <c r="G24" s="8"/>
      <c r="H24" s="8"/>
      <c r="I24" s="8">
        <f>'Water Pro forma Rev Req'!R53</f>
        <v>2533.0151650261159</v>
      </c>
      <c r="J24" s="8"/>
      <c r="K24" s="8">
        <f>'Water Pro forma Rev Req'!T53</f>
        <v>37150.012891996063</v>
      </c>
      <c r="L24" s="8"/>
      <c r="M24" s="8">
        <f>'Water Pro forma Rev Req'!V53</f>
        <v>17301.11</v>
      </c>
      <c r="N24" s="8"/>
      <c r="O24" s="8">
        <f>'Water Pro forma Rev Req'!X53</f>
        <v>13576.928556338029</v>
      </c>
      <c r="P24" s="8"/>
      <c r="Q24" s="8">
        <f>'Water Pro forma Rev Req'!Z53</f>
        <v>34074.976663146779</v>
      </c>
      <c r="S24" s="24">
        <f t="shared" si="0"/>
        <v>104636.04327650699</v>
      </c>
    </row>
    <row r="25" spans="1:19" x14ac:dyDescent="0.4">
      <c r="A25" s="8"/>
      <c r="B25" s="8"/>
      <c r="C25" s="8" t="s">
        <v>196</v>
      </c>
      <c r="D25" s="8"/>
      <c r="E25" s="8">
        <f t="shared" si="1"/>
        <v>166436.12797141063</v>
      </c>
      <c r="G25" s="8"/>
      <c r="H25" s="8"/>
      <c r="I25" s="8">
        <f>'Water Pro forma Rev Req'!R54</f>
        <v>10448.396234325015</v>
      </c>
      <c r="J25" s="8"/>
      <c r="K25" s="8">
        <f>'Water Pro forma Rev Req'!T54</f>
        <v>112015.87154136662</v>
      </c>
      <c r="L25" s="8"/>
      <c r="M25" s="8">
        <f>'Water Pro forma Rev Req'!V54</f>
        <v>36388.038180441676</v>
      </c>
      <c r="N25" s="8"/>
      <c r="O25" s="8"/>
      <c r="P25" s="8"/>
      <c r="Q25" s="8">
        <f>'Water Pro forma Rev Req'!Z54</f>
        <v>7583.8220152773092</v>
      </c>
      <c r="S25" s="24">
        <f t="shared" si="0"/>
        <v>166436.12797141063</v>
      </c>
    </row>
    <row r="26" spans="1:19" x14ac:dyDescent="0.4">
      <c r="A26" s="8"/>
      <c r="B26" s="8"/>
      <c r="C26" s="8" t="s">
        <v>197</v>
      </c>
      <c r="D26" s="8"/>
      <c r="E26" s="8">
        <f t="shared" si="1"/>
        <v>134208.82998944033</v>
      </c>
      <c r="G26" s="8"/>
      <c r="H26" s="8"/>
      <c r="I26" s="8">
        <f>'Water Pro forma Rev Req'!R55</f>
        <v>11992.420306264825</v>
      </c>
      <c r="J26" s="8"/>
      <c r="K26" s="8">
        <f>'Water Pro forma Rev Req'!T55</f>
        <v>103499.16181858879</v>
      </c>
      <c r="L26" s="8"/>
      <c r="M26" s="8">
        <f>'Water Pro forma Rev Req'!V55</f>
        <v>17760.809665746121</v>
      </c>
      <c r="N26" s="8"/>
      <c r="O26" s="8">
        <f>'Water Pro forma Rev Req'!X55</f>
        <v>56.752069812842507</v>
      </c>
      <c r="P26" s="8"/>
      <c r="Q26" s="8">
        <f>'Water Pro forma Rev Req'!Z55</f>
        <v>899.68612902774282</v>
      </c>
      <c r="S26" s="24">
        <f t="shared" si="0"/>
        <v>134208.82998944033</v>
      </c>
    </row>
    <row r="27" spans="1:19" x14ac:dyDescent="0.4">
      <c r="A27" s="8"/>
      <c r="B27" s="8"/>
      <c r="C27" s="8" t="s">
        <v>239</v>
      </c>
      <c r="D27" s="8"/>
      <c r="E27" s="8">
        <f t="shared" si="1"/>
        <v>48842.182950219649</v>
      </c>
      <c r="G27" s="8"/>
      <c r="H27" s="8"/>
      <c r="I27" s="8">
        <f>'Water Pro forma Rev Req'!R56</f>
        <v>6346.8472462944146</v>
      </c>
      <c r="J27" s="8"/>
      <c r="K27" s="8">
        <f>'Water Pro forma Rev Req'!T56</f>
        <v>26006.769887349554</v>
      </c>
      <c r="L27" s="8"/>
      <c r="M27" s="8">
        <f>'Water Pro forma Rev Req'!V56</f>
        <v>4289.8900095368317</v>
      </c>
      <c r="N27" s="8"/>
      <c r="O27" s="8">
        <f>'Water Pro forma Rev Req'!X56</f>
        <v>3349.7208831275552</v>
      </c>
      <c r="P27" s="8"/>
      <c r="Q27" s="8">
        <f>'Water Pro forma Rev Req'!Z56</f>
        <v>8848.9549239112912</v>
      </c>
      <c r="S27" s="24">
        <f t="shared" si="0"/>
        <v>48842.182950219649</v>
      </c>
    </row>
    <row r="28" spans="1:19" x14ac:dyDescent="0.4">
      <c r="A28" s="8"/>
      <c r="B28" s="8"/>
      <c r="C28" s="8" t="s">
        <v>2736</v>
      </c>
      <c r="D28" s="8"/>
      <c r="E28" s="8">
        <f t="shared" si="1"/>
        <v>79012.821879619849</v>
      </c>
      <c r="G28" s="8"/>
      <c r="H28" s="8"/>
      <c r="I28" s="8"/>
      <c r="J28" s="8"/>
      <c r="K28" s="8"/>
      <c r="L28" s="8"/>
      <c r="M28" s="8"/>
      <c r="N28" s="8"/>
      <c r="O28" s="8"/>
      <c r="P28" s="8"/>
      <c r="Q28" s="8">
        <f>'Water Pro forma Rev Req'!Z58</f>
        <v>79012.821879619849</v>
      </c>
      <c r="S28" s="24">
        <f t="shared" si="0"/>
        <v>79012.821879619849</v>
      </c>
    </row>
    <row r="29" spans="1:19" x14ac:dyDescent="0.4">
      <c r="A29" s="8"/>
      <c r="B29" s="8"/>
      <c r="C29" s="8" t="s">
        <v>198</v>
      </c>
      <c r="D29" s="8"/>
      <c r="E29" s="8">
        <f t="shared" si="1"/>
        <v>3268</v>
      </c>
      <c r="G29" s="8"/>
      <c r="H29" s="8"/>
      <c r="I29" s="8"/>
      <c r="J29" s="8"/>
      <c r="K29" s="8"/>
      <c r="L29" s="8"/>
      <c r="M29" s="8"/>
      <c r="N29" s="8"/>
      <c r="O29" s="8"/>
      <c r="P29" s="8"/>
      <c r="Q29" s="8">
        <f>'Water Pro forma Rev Req'!Z59</f>
        <v>3268</v>
      </c>
      <c r="S29" s="24">
        <f t="shared" si="0"/>
        <v>3268</v>
      </c>
    </row>
    <row r="30" spans="1:19" x14ac:dyDescent="0.4">
      <c r="A30" s="8"/>
      <c r="B30" s="8"/>
      <c r="C30" s="8" t="s">
        <v>199</v>
      </c>
      <c r="D30" s="8"/>
      <c r="E30" s="8">
        <f t="shared" si="1"/>
        <v>28942.359950780174</v>
      </c>
      <c r="G30" s="8"/>
      <c r="H30" s="8"/>
      <c r="I30" s="8"/>
      <c r="J30" s="8"/>
      <c r="K30" s="8"/>
      <c r="L30" s="8"/>
      <c r="M30" s="8"/>
      <c r="N30" s="8"/>
      <c r="O30" s="8">
        <f>'Water Pro forma Rev Req'!X60</f>
        <v>28942.359950780174</v>
      </c>
      <c r="P30" s="8"/>
      <c r="Q30" s="8">
        <f>'Water Pro forma Rev Req'!Z60</f>
        <v>0</v>
      </c>
      <c r="S30" s="24">
        <f t="shared" si="0"/>
        <v>28942.359950780174</v>
      </c>
    </row>
    <row r="31" spans="1:19" x14ac:dyDescent="0.4">
      <c r="A31" s="8"/>
      <c r="B31" s="8"/>
      <c r="C31" s="8" t="s">
        <v>200</v>
      </c>
      <c r="D31" s="8"/>
      <c r="E31" s="10">
        <f>SUM(G31:Q31)</f>
        <v>386550.90120019729</v>
      </c>
      <c r="G31" s="10"/>
      <c r="H31" s="8"/>
      <c r="I31" s="10"/>
      <c r="J31" s="8"/>
      <c r="K31" s="10">
        <f>'Water Pro forma Rev Req'!T63</f>
        <v>22721.27</v>
      </c>
      <c r="L31" s="8"/>
      <c r="M31" s="10"/>
      <c r="N31" s="8"/>
      <c r="O31" s="10">
        <f>'Water Pro forma Rev Req'!X63</f>
        <v>255034.02956705386</v>
      </c>
      <c r="P31" s="8"/>
      <c r="Q31" s="10">
        <f>'Water Pro forma Rev Req'!Z63</f>
        <v>108795.60163314347</v>
      </c>
      <c r="S31" s="24">
        <f t="shared" si="0"/>
        <v>386550.90120019729</v>
      </c>
    </row>
    <row r="32" spans="1:19" x14ac:dyDescent="0.4">
      <c r="A32" s="8"/>
      <c r="B32" s="8"/>
      <c r="C32" s="8"/>
      <c r="D32" s="8"/>
      <c r="E32" s="8"/>
      <c r="G32" s="8"/>
      <c r="H32" s="8"/>
      <c r="I32" s="8"/>
      <c r="J32" s="8"/>
      <c r="K32" s="8"/>
      <c r="L32" s="8"/>
      <c r="M32" s="8"/>
      <c r="N32" s="8"/>
      <c r="O32" s="8"/>
      <c r="P32" s="8"/>
      <c r="Q32" s="8"/>
      <c r="S32" s="24">
        <f t="shared" si="0"/>
        <v>0</v>
      </c>
    </row>
    <row r="33" spans="1:19" x14ac:dyDescent="0.4">
      <c r="A33" s="8"/>
      <c r="B33" s="8" t="s">
        <v>201</v>
      </c>
      <c r="C33" s="8"/>
      <c r="D33" s="8"/>
      <c r="E33" s="8">
        <f>SUM(E10:E32)</f>
        <v>8455935.6141230166</v>
      </c>
      <c r="G33" s="8">
        <f>SUM(G10:G32)</f>
        <v>933458.71470000001</v>
      </c>
      <c r="H33" s="8"/>
      <c r="I33" s="8">
        <f>SUM(I10:I32)</f>
        <v>1002383.447519385</v>
      </c>
      <c r="J33" s="8"/>
      <c r="K33" s="8">
        <f>SUM(K10:K32)</f>
        <v>4305949.1578880707</v>
      </c>
      <c r="L33" s="8"/>
      <c r="M33" s="8">
        <f>SUM(M10:M32)</f>
        <v>558191.38136379723</v>
      </c>
      <c r="N33" s="8"/>
      <c r="O33" s="8">
        <f>SUM(O10:O32)</f>
        <v>574848.87887151749</v>
      </c>
      <c r="P33" s="8"/>
      <c r="Q33" s="8">
        <f>SUM(Q10:Q32)</f>
        <v>1081104.0337802456</v>
      </c>
      <c r="S33" s="24">
        <f t="shared" si="0"/>
        <v>8455935.6141230166</v>
      </c>
    </row>
    <row r="34" spans="1:19" x14ac:dyDescent="0.4">
      <c r="A34" s="8"/>
      <c r="B34" s="8"/>
      <c r="C34" s="8"/>
      <c r="D34" s="8"/>
      <c r="E34" s="8"/>
      <c r="G34" s="8"/>
      <c r="H34" s="8"/>
      <c r="I34" s="8"/>
      <c r="J34" s="8"/>
      <c r="K34" s="8"/>
      <c r="L34" s="8"/>
      <c r="M34" s="8"/>
      <c r="N34" s="8"/>
      <c r="O34" s="8"/>
      <c r="P34" s="8"/>
      <c r="Q34" s="8"/>
      <c r="S34" s="24">
        <f t="shared" si="0"/>
        <v>0</v>
      </c>
    </row>
    <row r="35" spans="1:19" x14ac:dyDescent="0.4">
      <c r="A35" s="8"/>
      <c r="B35" s="8" t="s">
        <v>202</v>
      </c>
      <c r="C35" s="8"/>
      <c r="D35" s="8"/>
      <c r="E35" s="8">
        <f t="shared" si="1"/>
        <v>2875308.1082060547</v>
      </c>
      <c r="G35" s="8"/>
      <c r="H35" s="8"/>
      <c r="I35" s="8">
        <f>'Water Pro forma Rev Req'!R72</f>
        <v>265561.18956382904</v>
      </c>
      <c r="J35" s="8"/>
      <c r="K35" s="8">
        <f>'Water Pro forma Rev Req'!T72</f>
        <v>2049282.4536570762</v>
      </c>
      <c r="L35" s="8"/>
      <c r="M35" s="8">
        <f>'Water Pro forma Rev Req'!V72</f>
        <v>531264.16884129564</v>
      </c>
      <c r="N35" s="8"/>
      <c r="O35" s="8">
        <f>'Water Pro forma Rev Req'!X72</f>
        <v>8857.4076114044346</v>
      </c>
      <c r="P35" s="8"/>
      <c r="Q35" s="8">
        <f>'Water Pro forma Rev Req'!Z72</f>
        <v>20342.888532449204</v>
      </c>
      <c r="S35" s="24">
        <f t="shared" si="0"/>
        <v>2875308.1082060547</v>
      </c>
    </row>
    <row r="36" spans="1:19" x14ac:dyDescent="0.4">
      <c r="A36" s="8"/>
      <c r="B36" s="8" t="s">
        <v>203</v>
      </c>
      <c r="C36" s="8"/>
      <c r="D36" s="8"/>
      <c r="E36" s="10">
        <f t="shared" si="1"/>
        <v>211541.49815788394</v>
      </c>
      <c r="G36" s="10"/>
      <c r="H36" s="8"/>
      <c r="I36" s="10">
        <f>'Water Pro forma Rev Req'!R73</f>
        <v>27488.975593674251</v>
      </c>
      <c r="J36" s="8"/>
      <c r="K36" s="10">
        <f>'Water Pro forma Rev Req'!T73</f>
        <v>112638.51719781755</v>
      </c>
      <c r="L36" s="8"/>
      <c r="M36" s="10">
        <f>'Water Pro forma Rev Req'!V73</f>
        <v>18580.040955067085</v>
      </c>
      <c r="N36" s="8"/>
      <c r="O36" s="10">
        <f>'Water Pro forma Rev Req'!X73</f>
        <v>14508.052900702023</v>
      </c>
      <c r="P36" s="8"/>
      <c r="Q36" s="10">
        <f>'Water Pro forma Rev Req'!Z73</f>
        <v>38325.911510623017</v>
      </c>
      <c r="S36" s="24">
        <f t="shared" si="0"/>
        <v>211541.49815788394</v>
      </c>
    </row>
    <row r="37" spans="1:19" x14ac:dyDescent="0.4">
      <c r="A37" s="8"/>
      <c r="B37" s="8"/>
      <c r="C37" s="8"/>
      <c r="D37" s="8"/>
      <c r="E37" s="8"/>
      <c r="G37" s="8"/>
      <c r="H37" s="8"/>
      <c r="I37" s="8"/>
      <c r="J37" s="8"/>
      <c r="K37" s="8"/>
      <c r="L37" s="8"/>
      <c r="M37" s="8"/>
      <c r="N37" s="8"/>
      <c r="O37" s="8"/>
      <c r="P37" s="8"/>
      <c r="Q37" s="8"/>
      <c r="S37" s="24">
        <f t="shared" si="0"/>
        <v>0</v>
      </c>
    </row>
    <row r="38" spans="1:19" ht="16.5" thickBot="1" x14ac:dyDescent="0.45">
      <c r="A38" s="8" t="s">
        <v>204</v>
      </c>
      <c r="B38" s="8"/>
      <c r="C38" s="8"/>
      <c r="D38" s="8"/>
      <c r="E38" s="31">
        <f>SUM(E33:F37)</f>
        <v>11542785.220486954</v>
      </c>
      <c r="G38" s="31">
        <f>SUM(G33:H37)</f>
        <v>933458.71470000001</v>
      </c>
      <c r="H38" s="8"/>
      <c r="I38" s="31">
        <f>SUM(I33:J37)</f>
        <v>1295433.6126768882</v>
      </c>
      <c r="J38" s="8"/>
      <c r="K38" s="31">
        <f>SUM(K33:L37)</f>
        <v>6467870.1287429649</v>
      </c>
      <c r="L38" s="8"/>
      <c r="M38" s="31">
        <f>SUM(M33:N37)</f>
        <v>1108035.59116016</v>
      </c>
      <c r="N38" s="8"/>
      <c r="O38" s="31">
        <f>SUM(O33:P37)</f>
        <v>598214.33938362391</v>
      </c>
      <c r="P38" s="8"/>
      <c r="Q38" s="31">
        <f>SUM(Q33:R37)</f>
        <v>1139772.8338233179</v>
      </c>
      <c r="S38" s="24">
        <f>SUM(G38:R38)</f>
        <v>11542785.220486956</v>
      </c>
    </row>
    <row r="39" spans="1:19" ht="16.5" thickTop="1" x14ac:dyDescent="0.4">
      <c r="E39" s="8"/>
      <c r="G39" s="8"/>
      <c r="H39" s="8"/>
      <c r="I39" s="8"/>
      <c r="J39" s="8"/>
      <c r="K39" s="8"/>
      <c r="L39" s="8"/>
      <c r="M39" s="8"/>
      <c r="N39" s="8"/>
      <c r="O39" s="8"/>
      <c r="P39" s="8"/>
      <c r="Q39" s="8"/>
    </row>
    <row r="40" spans="1:19" x14ac:dyDescent="0.4">
      <c r="G40" s="8"/>
      <c r="H40" s="8"/>
      <c r="I40" s="8"/>
      <c r="J40" s="8"/>
      <c r="K40" s="8"/>
      <c r="L40" s="8"/>
      <c r="M40" s="8"/>
      <c r="N40" s="8"/>
      <c r="O40" s="8"/>
      <c r="P40" s="8"/>
      <c r="Q40" s="8"/>
    </row>
    <row r="41" spans="1:19" x14ac:dyDescent="0.4">
      <c r="G41" s="8"/>
      <c r="H41" s="8"/>
      <c r="I41" s="8"/>
      <c r="J41" s="8"/>
      <c r="K41" s="8"/>
      <c r="L41" s="8"/>
      <c r="M41" s="8"/>
      <c r="N41" s="8"/>
      <c r="O41" s="8"/>
      <c r="P41" s="8"/>
      <c r="Q41" s="8"/>
    </row>
    <row r="42" spans="1:19" x14ac:dyDescent="0.4">
      <c r="G42" s="8"/>
      <c r="H42" s="8"/>
      <c r="I42" s="8"/>
      <c r="J42" s="8"/>
      <c r="K42" s="8"/>
      <c r="L42" s="8"/>
      <c r="M42" s="8"/>
      <c r="N42" s="8"/>
      <c r="O42" s="8"/>
      <c r="P42" s="8"/>
      <c r="Q42" s="8"/>
    </row>
    <row r="43" spans="1:19" x14ac:dyDescent="0.4">
      <c r="G43" s="8"/>
      <c r="H43" s="8"/>
      <c r="I43" s="8"/>
      <c r="J43" s="8"/>
      <c r="K43" s="8"/>
      <c r="L43" s="8"/>
      <c r="M43" s="8"/>
      <c r="N43" s="8"/>
      <c r="O43" s="8"/>
      <c r="P43" s="8"/>
      <c r="Q43" s="8"/>
    </row>
    <row r="44" spans="1:19" x14ac:dyDescent="0.4">
      <c r="G44" s="8"/>
      <c r="H44" s="8"/>
      <c r="I44" s="8"/>
      <c r="J44" s="8"/>
      <c r="K44" s="8"/>
      <c r="L44" s="8"/>
      <c r="M44" s="8"/>
      <c r="N44" s="8"/>
      <c r="O44" s="8"/>
      <c r="P44" s="8"/>
      <c r="Q44" s="8"/>
    </row>
    <row r="45" spans="1:19" x14ac:dyDescent="0.4">
      <c r="G45" s="8"/>
      <c r="H45" s="8"/>
      <c r="I45" s="8"/>
      <c r="J45" s="8"/>
      <c r="K45" s="8"/>
      <c r="L45" s="8"/>
      <c r="M45" s="8"/>
      <c r="N45" s="8"/>
      <c r="O45" s="8"/>
      <c r="P45" s="8"/>
      <c r="Q45" s="8"/>
    </row>
    <row r="46" spans="1:19" x14ac:dyDescent="0.4">
      <c r="G46" s="8"/>
      <c r="H46" s="8"/>
      <c r="I46" s="8"/>
      <c r="J46" s="8"/>
      <c r="K46" s="8"/>
      <c r="L46" s="8"/>
      <c r="M46" s="8"/>
      <c r="N46" s="8"/>
      <c r="O46" s="8"/>
      <c r="P46" s="8"/>
      <c r="Q46" s="8"/>
    </row>
    <row r="47" spans="1:19" x14ac:dyDescent="0.4">
      <c r="G47" s="8"/>
      <c r="H47" s="8"/>
      <c r="I47" s="8"/>
      <c r="J47" s="8"/>
      <c r="K47" s="8"/>
      <c r="L47" s="8"/>
      <c r="M47" s="8"/>
      <c r="N47" s="8"/>
      <c r="O47" s="8"/>
      <c r="P47" s="8"/>
      <c r="Q47" s="8"/>
    </row>
  </sheetData>
  <mergeCells count="3">
    <mergeCell ref="A2:Q2"/>
    <mergeCell ref="A3:Q3"/>
    <mergeCell ref="A4:Q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A6CF-5B91-442F-938D-D71A95D8C337}">
  <dimension ref="A1:BM290"/>
  <sheetViews>
    <sheetView showGridLines="0" workbookViewId="0">
      <selection activeCell="L290" sqref="L290"/>
    </sheetView>
  </sheetViews>
  <sheetFormatPr defaultRowHeight="16" x14ac:dyDescent="0.4"/>
  <cols>
    <col min="1" max="1" width="4.83203125" customWidth="1"/>
    <col min="2" max="2" width="27.6640625" customWidth="1"/>
    <col min="4" max="4" width="9.33203125" customWidth="1"/>
    <col min="5" max="5" width="13.6640625" bestFit="1" customWidth="1"/>
    <col min="6" max="6" width="0.9140625" customWidth="1"/>
    <col min="7" max="7" width="13.6640625" bestFit="1" customWidth="1"/>
    <col min="8" max="8" width="0.9140625" customWidth="1"/>
    <col min="9" max="9" width="12.08203125" bestFit="1" customWidth="1"/>
    <col min="12" max="12" width="20.1640625" customWidth="1"/>
    <col min="13" max="13" width="63.33203125" style="27" customWidth="1"/>
    <col min="14" max="14" width="27.08203125" customWidth="1"/>
    <col min="15" max="15" width="25.08203125" customWidth="1"/>
    <col min="16" max="16" width="11.1640625" customWidth="1"/>
    <col min="17" max="17" width="9.58203125" style="30" customWidth="1"/>
    <col min="18" max="18" width="10.83203125" style="30" customWidth="1"/>
    <col min="19" max="19" width="14.83203125" style="30" customWidth="1"/>
    <col min="20" max="20" width="8.9140625" style="30" customWidth="1"/>
    <col min="21" max="21" width="13.58203125" style="201" customWidth="1"/>
    <col min="22" max="22" width="12.33203125" style="30" customWidth="1"/>
    <col min="23" max="23" width="10.9140625" style="30" customWidth="1"/>
    <col min="24" max="24" width="9.6640625" style="30" customWidth="1"/>
    <col min="25" max="25" width="10.33203125" style="8" customWidth="1"/>
    <col min="26" max="26" width="12.08203125" style="8" bestFit="1" customWidth="1"/>
    <col min="27" max="27" width="11.08203125" style="8" customWidth="1"/>
    <col min="28" max="28" width="11.6640625" style="8" customWidth="1"/>
    <col min="29" max="29" width="13.08203125" style="24" customWidth="1"/>
    <col min="30" max="30" width="5.1640625" customWidth="1"/>
    <col min="31" max="31" width="21.6640625" customWidth="1"/>
    <col min="32" max="32" width="1.5" customWidth="1"/>
    <col min="33" max="33" width="9.9140625" customWidth="1"/>
    <col min="34" max="34" width="2.08203125" customWidth="1"/>
    <col min="35" max="35" width="11.5" customWidth="1"/>
    <col min="36" max="36" width="1" customWidth="1"/>
    <col min="37" max="37" width="12.08203125" bestFit="1" customWidth="1"/>
    <col min="38" max="38" width="18.83203125" customWidth="1"/>
    <col min="39" max="39" width="12.08203125" bestFit="1" customWidth="1"/>
    <col min="40" max="40" width="0.9140625" customWidth="1"/>
    <col min="41" max="41" width="10.08203125" bestFit="1" customWidth="1"/>
    <col min="42" max="42" width="0.9140625" customWidth="1"/>
    <col min="43" max="43" width="14.4140625" customWidth="1"/>
    <col min="44" max="44" width="1" customWidth="1"/>
    <col min="45" max="45" width="15.08203125" customWidth="1"/>
    <col min="46" max="46" width="0.9140625" customWidth="1"/>
    <col min="47" max="47" width="10.58203125" customWidth="1"/>
    <col min="48" max="48" width="20.33203125" customWidth="1"/>
    <col min="49" max="49" width="18.1640625" customWidth="1"/>
    <col min="50" max="50" width="1.1640625" customWidth="1"/>
    <col min="51" max="51" width="14.08203125" bestFit="1" customWidth="1"/>
    <col min="52" max="52" width="0.9140625" customWidth="1"/>
    <col min="53" max="53" width="11.6640625" customWidth="1"/>
    <col min="54" max="54" width="0.9140625" customWidth="1"/>
    <col min="55" max="55" width="12" customWidth="1"/>
    <col min="56" max="56" width="0.9140625" customWidth="1"/>
    <col min="57" max="57" width="11.58203125" bestFit="1" customWidth="1"/>
    <col min="58" max="58" width="0.9140625" customWidth="1"/>
    <col min="59" max="59" width="10" customWidth="1"/>
    <col min="60" max="60" width="0.9140625" customWidth="1"/>
    <col min="61" max="61" width="12.58203125" bestFit="1" customWidth="1"/>
    <col min="62" max="62" width="0.9140625" customWidth="1"/>
    <col min="63" max="63" width="11.9140625" bestFit="1" customWidth="1"/>
  </cols>
  <sheetData>
    <row r="1" spans="1:59" x14ac:dyDescent="0.4">
      <c r="E1" s="2" t="s">
        <v>2668</v>
      </c>
      <c r="G1" s="413"/>
      <c r="H1" s="413"/>
      <c r="I1" s="413"/>
      <c r="N1" s="8"/>
      <c r="O1" s="8"/>
      <c r="P1" s="8"/>
      <c r="Q1" s="8"/>
      <c r="R1" s="8"/>
      <c r="S1" s="8"/>
      <c r="T1" s="8"/>
      <c r="U1" s="8"/>
      <c r="V1" s="8"/>
      <c r="W1" s="8"/>
      <c r="X1" s="8"/>
      <c r="Z1"/>
      <c r="AA1"/>
      <c r="AB1" s="2"/>
      <c r="AC1"/>
      <c r="AD1" s="413"/>
      <c r="AE1" s="413"/>
      <c r="AF1" s="413"/>
      <c r="AI1" s="8" t="s">
        <v>3462</v>
      </c>
      <c r="AM1" s="2"/>
      <c r="AN1" s="2"/>
      <c r="AO1" s="2"/>
      <c r="AP1" s="2"/>
      <c r="AQ1" s="2"/>
    </row>
    <row r="2" spans="1:59" x14ac:dyDescent="0.4">
      <c r="E2" s="21" t="s">
        <v>2669</v>
      </c>
      <c r="G2" s="21" t="s">
        <v>17</v>
      </c>
      <c r="H2" s="2"/>
      <c r="I2" s="21" t="s">
        <v>49</v>
      </c>
      <c r="O2" s="8"/>
      <c r="P2" s="8"/>
      <c r="Q2" s="8"/>
      <c r="R2" s="8"/>
      <c r="S2" s="8"/>
      <c r="T2" s="8"/>
      <c r="U2" s="8"/>
      <c r="V2" s="8"/>
      <c r="W2" s="8"/>
      <c r="X2" s="8"/>
      <c r="Z2"/>
      <c r="AA2"/>
      <c r="AB2" s="2"/>
      <c r="AC2" s="2"/>
      <c r="AD2" s="2"/>
      <c r="AE2" s="2"/>
      <c r="AF2" s="2"/>
      <c r="AM2" s="24"/>
      <c r="AO2" s="432" t="s">
        <v>3454</v>
      </c>
      <c r="AP2" s="432"/>
      <c r="AQ2" s="432"/>
      <c r="AW2" s="2"/>
      <c r="AX2" s="2"/>
      <c r="AY2" s="2" t="s">
        <v>464</v>
      </c>
      <c r="AZ2" s="2"/>
      <c r="BA2" s="2" t="s">
        <v>3385</v>
      </c>
      <c r="BB2" s="2"/>
      <c r="BC2" s="2" t="s">
        <v>461</v>
      </c>
      <c r="BD2" s="2"/>
      <c r="BE2" s="2"/>
      <c r="BF2" s="2"/>
      <c r="BG2" s="2"/>
    </row>
    <row r="3" spans="1:59" x14ac:dyDescent="0.4">
      <c r="A3" t="s">
        <v>2695</v>
      </c>
      <c r="E3" s="9">
        <f>SUM(G3:I3)</f>
        <v>3012627</v>
      </c>
      <c r="F3" s="9"/>
      <c r="G3" s="9">
        <v>2585307</v>
      </c>
      <c r="H3" s="9"/>
      <c r="I3" s="9">
        <v>427320</v>
      </c>
      <c r="N3" s="8"/>
      <c r="O3" s="8"/>
      <c r="P3" s="8"/>
      <c r="Q3" s="8"/>
      <c r="R3" s="8"/>
      <c r="S3" s="8"/>
      <c r="T3" s="8"/>
      <c r="U3" s="8"/>
      <c r="V3" s="8"/>
      <c r="W3" s="5"/>
      <c r="X3" s="8"/>
      <c r="Z3"/>
      <c r="AA3"/>
      <c r="AB3" s="24"/>
      <c r="AC3"/>
      <c r="AD3" s="24"/>
      <c r="AF3" s="24"/>
      <c r="AM3" s="278" t="s">
        <v>25</v>
      </c>
      <c r="AO3" s="361" t="s">
        <v>23</v>
      </c>
      <c r="AP3" s="340"/>
      <c r="AQ3" s="361" t="s">
        <v>22</v>
      </c>
      <c r="AW3" s="21" t="s">
        <v>459</v>
      </c>
      <c r="AX3" s="2"/>
      <c r="AY3" s="21" t="s">
        <v>465</v>
      </c>
      <c r="AZ3" s="2"/>
      <c r="BA3" s="21" t="s">
        <v>2590</v>
      </c>
      <c r="BB3" s="2"/>
      <c r="BC3" s="21" t="s">
        <v>466</v>
      </c>
      <c r="BD3" s="2"/>
      <c r="BE3" s="21" t="s">
        <v>467</v>
      </c>
      <c r="BF3" s="2"/>
      <c r="BG3" s="21" t="s">
        <v>25</v>
      </c>
    </row>
    <row r="4" spans="1:59" x14ac:dyDescent="0.4">
      <c r="A4" t="s">
        <v>2696</v>
      </c>
      <c r="E4" s="10">
        <f>SUM(G4:I4)</f>
        <v>-50153</v>
      </c>
      <c r="F4" s="8"/>
      <c r="G4" s="10">
        <v>-41448</v>
      </c>
      <c r="H4" s="8"/>
      <c r="I4" s="10">
        <v>-8705</v>
      </c>
      <c r="N4" s="8"/>
      <c r="P4" s="8"/>
      <c r="Q4" s="8"/>
      <c r="R4" s="8"/>
      <c r="S4" s="8"/>
      <c r="T4" s="8"/>
      <c r="U4" s="8"/>
      <c r="V4" s="8"/>
      <c r="W4" s="8"/>
      <c r="X4" s="8"/>
      <c r="Z4"/>
      <c r="AA4"/>
      <c r="AB4" s="281"/>
      <c r="AC4"/>
      <c r="AD4" s="281"/>
      <c r="AF4" s="281"/>
      <c r="AJ4" t="s">
        <v>3458</v>
      </c>
      <c r="AT4" t="s">
        <v>3463</v>
      </c>
    </row>
    <row r="5" spans="1:59" x14ac:dyDescent="0.4">
      <c r="N5" s="8"/>
      <c r="P5" s="8"/>
      <c r="Q5" s="8"/>
      <c r="R5" s="8"/>
      <c r="S5" s="8"/>
      <c r="T5" s="8"/>
      <c r="U5" s="8"/>
      <c r="V5" s="8"/>
      <c r="W5" s="8"/>
      <c r="X5" s="8"/>
      <c r="Z5"/>
      <c r="AA5"/>
      <c r="AB5" s="281"/>
      <c r="AC5"/>
      <c r="AD5" s="281"/>
      <c r="AF5" s="281"/>
      <c r="AK5" s="8" t="s">
        <v>3456</v>
      </c>
      <c r="AM5" s="9">
        <v>14707.62</v>
      </c>
      <c r="AN5" s="9"/>
      <c r="AO5" s="5">
        <f>AK19</f>
        <v>7.6877934272300483E-2</v>
      </c>
      <c r="AQ5" s="50">
        <f>AM5*AO5</f>
        <v>1130.691443661972</v>
      </c>
      <c r="AU5" s="8" t="s">
        <v>3456</v>
      </c>
      <c r="BC5" s="50">
        <f>AM5-AQ5</f>
        <v>13576.928556338029</v>
      </c>
      <c r="BG5" s="9">
        <f t="shared" ref="BG5:BG10" si="0">SUM(AW5:BE5)</f>
        <v>13576.928556338029</v>
      </c>
    </row>
    <row r="6" spans="1:59" ht="16.5" thickBot="1" x14ac:dyDescent="0.45">
      <c r="A6" t="s">
        <v>2697</v>
      </c>
      <c r="E6" s="31">
        <f>SUM(E3:E5)</f>
        <v>2962474</v>
      </c>
      <c r="F6" s="9"/>
      <c r="G6" s="31">
        <f>SUM(G3:G5)</f>
        <v>2543859</v>
      </c>
      <c r="H6" s="9"/>
      <c r="I6" s="31">
        <f>SUM(I3:I5)</f>
        <v>418615</v>
      </c>
      <c r="N6" s="8"/>
      <c r="P6" s="8"/>
      <c r="Q6" s="8"/>
      <c r="R6" s="8"/>
      <c r="S6" s="8"/>
      <c r="T6" s="8"/>
      <c r="U6" s="8"/>
      <c r="V6" s="8"/>
      <c r="W6" s="8"/>
      <c r="X6" s="8"/>
      <c r="AA6"/>
      <c r="AB6" s="25"/>
      <c r="AC6" s="26"/>
      <c r="AD6" s="25"/>
      <c r="AE6" s="26"/>
      <c r="AF6" s="25"/>
      <c r="AK6" s="8" t="s">
        <v>3457</v>
      </c>
      <c r="AM6" s="8">
        <v>26691.85</v>
      </c>
      <c r="AN6" s="8"/>
      <c r="AO6" s="281">
        <f>Z212</f>
        <v>0.11932418162618796</v>
      </c>
      <c r="AQ6" s="8">
        <f t="shared" ref="AQ6:AQ10" si="1">AM6*AO6</f>
        <v>3184.9831573389652</v>
      </c>
      <c r="AU6" s="8" t="s">
        <v>3457</v>
      </c>
      <c r="BE6" s="9">
        <f>AM6-AQ6</f>
        <v>23506.866842661035</v>
      </c>
      <c r="BG6" s="8">
        <f t="shared" si="0"/>
        <v>23506.866842661035</v>
      </c>
    </row>
    <row r="7" spans="1:59" ht="16.5" thickTop="1" x14ac:dyDescent="0.4">
      <c r="N7" s="8"/>
      <c r="P7" s="8"/>
      <c r="Q7" s="8"/>
      <c r="R7" s="8"/>
      <c r="S7" s="8"/>
      <c r="T7" s="8"/>
      <c r="U7" s="8"/>
      <c r="V7" s="8"/>
      <c r="W7" s="8"/>
      <c r="X7"/>
      <c r="Z7"/>
      <c r="AA7"/>
      <c r="AB7"/>
      <c r="AC7"/>
      <c r="AD7" s="24"/>
      <c r="AF7" s="24"/>
      <c r="AK7" s="8" t="s">
        <v>3455</v>
      </c>
      <c r="AM7" s="8">
        <v>10504.09</v>
      </c>
      <c r="AN7" s="8"/>
      <c r="AO7" s="281">
        <f>Z212</f>
        <v>0.11932418162618796</v>
      </c>
      <c r="AQ7" s="8">
        <f t="shared" si="1"/>
        <v>1253.3919429778248</v>
      </c>
      <c r="AU7" s="8" t="s">
        <v>3455</v>
      </c>
      <c r="AW7" s="9">
        <f>(AM7-AQ7)*(U171/U201)</f>
        <v>2533.0151650261159</v>
      </c>
      <c r="AY7" s="9">
        <f>(AM7-AQ7)*U173/U201</f>
        <v>6717.6828919960599</v>
      </c>
      <c r="BG7" s="8">
        <f t="shared" si="0"/>
        <v>9250.6980570221749</v>
      </c>
    </row>
    <row r="8" spans="1:59" x14ac:dyDescent="0.4">
      <c r="N8" s="8"/>
      <c r="P8" s="8"/>
      <c r="Q8" s="8"/>
      <c r="R8" s="8"/>
      <c r="S8" s="8"/>
      <c r="T8" s="8"/>
      <c r="U8" s="8"/>
      <c r="V8" s="8"/>
      <c r="W8" s="8"/>
      <c r="X8" s="8"/>
      <c r="Z8"/>
      <c r="AA8"/>
      <c r="AB8"/>
      <c r="AC8"/>
      <c r="AD8" s="24"/>
      <c r="AF8" s="24"/>
      <c r="AK8" s="8" t="s">
        <v>3460</v>
      </c>
      <c r="AM8" s="8">
        <v>17301.11</v>
      </c>
      <c r="AN8" s="8"/>
      <c r="AO8" s="12">
        <f>0</f>
        <v>0</v>
      </c>
      <c r="AQ8" s="8">
        <f t="shared" si="1"/>
        <v>0</v>
      </c>
      <c r="AU8" s="8" t="s">
        <v>3460</v>
      </c>
      <c r="BA8" s="9">
        <f>AM8</f>
        <v>17301.11</v>
      </c>
      <c r="BG8" s="8">
        <f t="shared" si="0"/>
        <v>17301.11</v>
      </c>
    </row>
    <row r="9" spans="1:59" x14ac:dyDescent="0.4">
      <c r="N9" s="8"/>
      <c r="O9" s="8"/>
      <c r="P9" s="8"/>
      <c r="Q9" s="8"/>
      <c r="R9" s="8"/>
      <c r="S9" s="8"/>
      <c r="T9" s="8"/>
      <c r="U9" s="8"/>
      <c r="V9" s="8"/>
      <c r="W9" s="8"/>
      <c r="X9" s="8"/>
      <c r="Z9"/>
      <c r="AA9"/>
      <c r="AB9"/>
      <c r="AC9"/>
      <c r="AK9" s="8" t="s">
        <v>3461</v>
      </c>
      <c r="AM9" s="8">
        <v>30432.33</v>
      </c>
      <c r="AN9" s="8"/>
      <c r="AO9" s="12">
        <v>0</v>
      </c>
      <c r="AQ9" s="8">
        <f t="shared" si="1"/>
        <v>0</v>
      </c>
      <c r="AU9" s="8" t="s">
        <v>3461</v>
      </c>
      <c r="AY9" s="24">
        <f>AM9</f>
        <v>30432.33</v>
      </c>
      <c r="BG9" s="8">
        <f t="shared" si="0"/>
        <v>30432.33</v>
      </c>
    </row>
    <row r="10" spans="1:59" x14ac:dyDescent="0.4">
      <c r="N10" s="8"/>
      <c r="O10" s="8"/>
      <c r="P10" s="8"/>
      <c r="Q10" s="8"/>
      <c r="R10" s="8"/>
      <c r="S10" s="8"/>
      <c r="T10" s="8"/>
      <c r="U10" s="8"/>
      <c r="V10" s="8"/>
      <c r="W10" s="8"/>
      <c r="X10" s="8"/>
      <c r="AC10" s="8"/>
      <c r="AD10" s="8"/>
      <c r="AE10" s="8"/>
      <c r="AF10" s="8"/>
      <c r="AJ10" t="s">
        <v>3459</v>
      </c>
      <c r="AM10" s="10">
        <v>12000</v>
      </c>
      <c r="AN10" s="26"/>
      <c r="AO10" s="281">
        <f>Z212</f>
        <v>0.11932418162618796</v>
      </c>
      <c r="AQ10" s="10">
        <f t="shared" si="1"/>
        <v>1431.8901795142556</v>
      </c>
      <c r="AT10" t="s">
        <v>3459</v>
      </c>
      <c r="AW10" s="41"/>
      <c r="AY10" s="41"/>
      <c r="BA10" s="41"/>
      <c r="BC10" s="41"/>
      <c r="BE10" s="217">
        <f>AM10-AQ10</f>
        <v>10568.109820485744</v>
      </c>
      <c r="BG10" s="10">
        <f t="shared" si="0"/>
        <v>10568.109820485744</v>
      </c>
    </row>
    <row r="11" spans="1:59" x14ac:dyDescent="0.4">
      <c r="N11" s="8"/>
      <c r="O11" s="8"/>
      <c r="P11" s="8"/>
      <c r="Q11" s="8"/>
      <c r="R11" s="8"/>
      <c r="S11" s="8"/>
      <c r="T11" s="8"/>
      <c r="U11" s="8"/>
      <c r="V11" s="8"/>
      <c r="W11" s="8"/>
      <c r="X11" s="8"/>
      <c r="AC11" s="8"/>
      <c r="AD11" s="8"/>
      <c r="AE11" s="8"/>
      <c r="AF11" s="8"/>
      <c r="AQ11" s="66"/>
      <c r="BG11" s="8"/>
    </row>
    <row r="12" spans="1:59" ht="16.5" thickBot="1" x14ac:dyDescent="0.45">
      <c r="E12" s="2" t="s">
        <v>2668</v>
      </c>
      <c r="G12" s="413"/>
      <c r="H12" s="413"/>
      <c r="I12" s="413"/>
      <c r="N12" s="8"/>
      <c r="O12" s="8"/>
      <c r="P12" s="8"/>
      <c r="Q12" s="8"/>
      <c r="R12" s="8"/>
      <c r="S12" s="8"/>
      <c r="T12" s="8"/>
      <c r="U12" s="8"/>
      <c r="V12" s="8"/>
      <c r="W12" s="8"/>
      <c r="X12" s="8"/>
      <c r="AC12" s="8"/>
      <c r="AD12" s="23"/>
      <c r="AE12" s="23"/>
      <c r="AF12" s="23"/>
      <c r="AJ12" s="8" t="s">
        <v>25</v>
      </c>
      <c r="AM12" s="52">
        <f>SUM(AM5:AM11)</f>
        <v>111637</v>
      </c>
      <c r="AN12" s="50"/>
      <c r="AQ12" s="52">
        <f>SUM(AQ5:AQ11)</f>
        <v>7000.9567234930182</v>
      </c>
      <c r="AT12" s="8" t="s">
        <v>25</v>
      </c>
      <c r="AW12" s="31">
        <f>SUM(AW5:AW11)</f>
        <v>2533.0151650261159</v>
      </c>
      <c r="AX12" s="9"/>
      <c r="AY12" s="31">
        <f>SUM(AY5:AY11)</f>
        <v>37150.012891996063</v>
      </c>
      <c r="AZ12" s="9"/>
      <c r="BA12" s="31">
        <f>SUM(BA5:BA11)</f>
        <v>17301.11</v>
      </c>
      <c r="BB12" s="9"/>
      <c r="BC12" s="31">
        <f>SUM(BC5:BC11)</f>
        <v>13576.928556338029</v>
      </c>
      <c r="BD12" s="9"/>
      <c r="BE12" s="31">
        <f>SUM(BE5:BE11)</f>
        <v>34074.976663146779</v>
      </c>
      <c r="BG12" s="31">
        <f>SUM(BG5:BG11)</f>
        <v>104636.04327650699</v>
      </c>
    </row>
    <row r="13" spans="1:59" ht="16.5" thickTop="1" x14ac:dyDescent="0.4">
      <c r="E13" s="21" t="s">
        <v>2669</v>
      </c>
      <c r="G13" s="21" t="s">
        <v>17</v>
      </c>
      <c r="H13" s="2"/>
      <c r="I13" s="21" t="s">
        <v>49</v>
      </c>
      <c r="N13" s="8"/>
      <c r="O13" s="8"/>
      <c r="P13" s="8"/>
      <c r="Q13" s="8"/>
      <c r="R13" s="8"/>
      <c r="S13" s="8"/>
      <c r="T13" s="8"/>
      <c r="U13" s="8"/>
      <c r="V13" s="8"/>
      <c r="W13" s="8"/>
      <c r="X13" s="8"/>
      <c r="AC13" s="8"/>
      <c r="AD13" s="23"/>
      <c r="AE13" s="23"/>
      <c r="AF13" s="23"/>
    </row>
    <row r="14" spans="1:59" x14ac:dyDescent="0.4">
      <c r="N14" s="8"/>
      <c r="O14" s="8"/>
      <c r="P14" s="8"/>
      <c r="Q14" s="8"/>
      <c r="R14" s="8"/>
      <c r="S14" s="8"/>
      <c r="T14" s="8"/>
      <c r="U14" s="8"/>
      <c r="V14" s="8"/>
      <c r="W14" s="8"/>
      <c r="X14" s="8"/>
      <c r="AC14" s="8"/>
      <c r="AD14" s="8"/>
      <c r="AE14" s="8"/>
      <c r="AF14" s="8"/>
      <c r="BG14" s="50">
        <f>SUM(AW12:BE12)</f>
        <v>104636.04327650699</v>
      </c>
    </row>
    <row r="15" spans="1:59" x14ac:dyDescent="0.4">
      <c r="A15" t="s">
        <v>2674</v>
      </c>
      <c r="E15" s="9">
        <f>X148</f>
        <v>3332077.2350000003</v>
      </c>
      <c r="F15" s="24"/>
      <c r="G15" s="9">
        <f>Z202-Q173</f>
        <v>2765248.3419331228</v>
      </c>
      <c r="I15" s="9">
        <f>AA203-Q187</f>
        <v>566828.89306687692</v>
      </c>
      <c r="N15" s="8"/>
      <c r="O15" s="8"/>
      <c r="P15" s="8"/>
      <c r="Q15" s="8"/>
      <c r="R15" s="8"/>
      <c r="S15" s="8"/>
      <c r="T15" s="8"/>
      <c r="U15" s="8"/>
      <c r="V15" s="8"/>
      <c r="W15" s="8"/>
      <c r="X15" s="8"/>
      <c r="AB15" s="5"/>
      <c r="AC15" s="5"/>
      <c r="AD15" s="5"/>
      <c r="AE15" s="5"/>
      <c r="AF15" s="5"/>
      <c r="AU15" t="s">
        <v>3464</v>
      </c>
      <c r="BG15" s="10">
        <f>AQ12</f>
        <v>7000.9567234930182</v>
      </c>
    </row>
    <row r="16" spans="1:59" x14ac:dyDescent="0.4">
      <c r="A16" t="s">
        <v>2670</v>
      </c>
      <c r="B16" t="s">
        <v>2671</v>
      </c>
      <c r="E16" s="217">
        <f>Q201</f>
        <v>-58068.242301891318</v>
      </c>
      <c r="F16" s="24"/>
      <c r="G16" s="217">
        <f>Q173</f>
        <v>-48405.880492887853</v>
      </c>
      <c r="I16" s="217">
        <f>Q187</f>
        <v>-9662.3618090034633</v>
      </c>
      <c r="N16" s="8"/>
      <c r="O16" s="8"/>
      <c r="P16" s="8"/>
      <c r="Q16" s="8"/>
      <c r="R16" s="8"/>
      <c r="S16" s="8"/>
      <c r="T16" s="8"/>
      <c r="U16" s="8"/>
      <c r="V16" s="8"/>
      <c r="W16" s="8"/>
      <c r="X16" s="8"/>
      <c r="AC16" s="8"/>
      <c r="AD16" s="8"/>
      <c r="AE16" s="8"/>
      <c r="AF16" s="8"/>
      <c r="AK16" s="50">
        <f>AK253</f>
        <v>15793.93216402582</v>
      </c>
    </row>
    <row r="17" spans="1:59" ht="16.5" thickBot="1" x14ac:dyDescent="0.45">
      <c r="N17" s="8"/>
      <c r="O17" s="8"/>
      <c r="P17" s="8"/>
      <c r="Q17" s="8"/>
      <c r="R17" s="8"/>
      <c r="S17" s="8"/>
      <c r="T17" s="8"/>
      <c r="U17" s="8"/>
      <c r="V17" s="8"/>
      <c r="W17" s="8"/>
      <c r="X17" s="8"/>
      <c r="AC17" s="8"/>
      <c r="AD17" s="8"/>
      <c r="AE17" s="8"/>
      <c r="AF17" s="8"/>
      <c r="AK17" s="50">
        <f>AL253</f>
        <v>205441.68249999997</v>
      </c>
      <c r="AU17" t="s">
        <v>3465</v>
      </c>
      <c r="BG17" s="52">
        <f>BG12+BG15</f>
        <v>111637</v>
      </c>
    </row>
    <row r="18" spans="1:59" ht="16.5" thickTop="1" x14ac:dyDescent="0.4">
      <c r="A18" t="s">
        <v>2672</v>
      </c>
      <c r="E18" s="24">
        <f>SUM(E15:E17)</f>
        <v>3274008.9926981092</v>
      </c>
      <c r="F18" s="24"/>
      <c r="G18" s="24">
        <f>SUM(G15:G17)</f>
        <v>2716842.4614402349</v>
      </c>
      <c r="I18" s="24">
        <f>SUM(I15:I17)</f>
        <v>557166.5312578734</v>
      </c>
      <c r="J18">
        <f>'New Connections Wage Cap Rate'!G27</f>
        <v>41447.83</v>
      </c>
      <c r="K18">
        <f>'New Connections Wage Cap Rate'!V26</f>
        <v>8705.26</v>
      </c>
      <c r="BG18" s="1"/>
    </row>
    <row r="19" spans="1:59" x14ac:dyDescent="0.4">
      <c r="A19" t="s">
        <v>2673</v>
      </c>
      <c r="E19" s="217">
        <f>G19+I19</f>
        <v>-2962473.91</v>
      </c>
      <c r="G19" s="10">
        <f>('Water Pro forma Rev Req'!F36-J18)*-1</f>
        <v>-2543859.17</v>
      </c>
      <c r="H19" s="8"/>
      <c r="I19" s="10">
        <f>('Sewer Pro forma Rev Req'!E27-'Wages, Bene Pro forma, Temp Emp'!K18)*-1</f>
        <v>-418614.74</v>
      </c>
      <c r="L19" s="428"/>
      <c r="M19" s="428"/>
      <c r="N19" s="428"/>
      <c r="O19" s="428"/>
      <c r="P19" s="428"/>
      <c r="Q19" s="428"/>
      <c r="R19" s="141"/>
      <c r="S19" s="141"/>
      <c r="T19" s="141"/>
      <c r="U19" s="200"/>
      <c r="V19" s="141"/>
      <c r="X19" s="141"/>
      <c r="Y19" s="184"/>
      <c r="AK19">
        <f>AK16/AK17</f>
        <v>7.6877934272300483E-2</v>
      </c>
    </row>
    <row r="20" spans="1:59" x14ac:dyDescent="0.4">
      <c r="L20" s="34"/>
      <c r="M20" s="121"/>
      <c r="N20" s="34"/>
      <c r="O20" s="34"/>
      <c r="P20" s="34"/>
      <c r="Q20" s="135"/>
      <c r="R20" s="132"/>
      <c r="S20" s="158"/>
      <c r="T20" s="158"/>
      <c r="V20" s="143"/>
      <c r="X20" s="143"/>
    </row>
    <row r="21" spans="1:59" ht="16.5" thickBot="1" x14ac:dyDescent="0.45">
      <c r="A21" t="s">
        <v>182</v>
      </c>
      <c r="E21" s="31">
        <f>E18+E19</f>
        <v>311535.08269810909</v>
      </c>
      <c r="F21" s="24"/>
      <c r="G21" s="31">
        <f>SUM(G18:G20)</f>
        <v>172983.29144023499</v>
      </c>
      <c r="I21" s="31">
        <f>SUM(I18:I20)</f>
        <v>138551.79125787341</v>
      </c>
      <c r="L21" s="34"/>
      <c r="M21" s="121"/>
      <c r="N21" s="34"/>
      <c r="O21" s="34"/>
      <c r="P21" s="34"/>
      <c r="Q21" s="135"/>
      <c r="R21" s="132"/>
      <c r="S21" s="158"/>
      <c r="T21" s="158"/>
      <c r="V21" s="143"/>
      <c r="X21" s="143"/>
    </row>
    <row r="22" spans="1:59" ht="16.5" thickTop="1" x14ac:dyDescent="0.4">
      <c r="L22" s="34"/>
      <c r="M22" s="121"/>
      <c r="N22" s="34"/>
      <c r="O22" s="34"/>
      <c r="P22" s="34"/>
      <c r="Q22" s="135"/>
      <c r="R22" s="136"/>
      <c r="S22" s="158"/>
      <c r="T22" s="158"/>
      <c r="V22" s="143"/>
      <c r="X22" s="143"/>
    </row>
    <row r="23" spans="1:59" x14ac:dyDescent="0.4">
      <c r="L23" s="34"/>
      <c r="M23" s="121"/>
      <c r="N23" s="34"/>
      <c r="O23" s="34"/>
      <c r="P23" s="34"/>
      <c r="Q23" s="135"/>
      <c r="R23" s="132"/>
      <c r="S23" s="158"/>
      <c r="T23" s="158"/>
      <c r="V23" s="143"/>
      <c r="X23" s="143"/>
    </row>
    <row r="24" spans="1:59" x14ac:dyDescent="0.4">
      <c r="E24" s="2"/>
      <c r="G24" s="400" t="s">
        <v>623</v>
      </c>
      <c r="H24" s="400"/>
      <c r="I24" s="400"/>
      <c r="L24" s="429"/>
      <c r="M24" s="429"/>
      <c r="N24" s="429"/>
      <c r="O24" s="429"/>
      <c r="P24" s="429"/>
      <c r="Q24" s="429"/>
      <c r="R24" s="430"/>
      <c r="S24" s="430"/>
      <c r="T24" s="141"/>
      <c r="V24" s="143"/>
      <c r="X24" s="143"/>
      <c r="Y24" s="8" t="s">
        <v>335</v>
      </c>
    </row>
    <row r="25" spans="1:59" x14ac:dyDescent="0.4">
      <c r="E25" s="21" t="s">
        <v>25</v>
      </c>
      <c r="F25" s="2"/>
      <c r="G25" s="21" t="s">
        <v>17</v>
      </c>
      <c r="H25" s="2"/>
      <c r="I25" s="21" t="s">
        <v>49</v>
      </c>
      <c r="L25" s="34"/>
      <c r="M25" s="121"/>
      <c r="N25" s="34"/>
      <c r="O25" s="34"/>
      <c r="P25" s="34"/>
      <c r="Q25" s="135" t="s">
        <v>334</v>
      </c>
      <c r="R25" s="157"/>
      <c r="S25" s="157"/>
      <c r="T25" s="157"/>
      <c r="U25" s="201">
        <v>45503</v>
      </c>
      <c r="V25" s="166"/>
      <c r="X25" s="143"/>
      <c r="Y25" s="8">
        <v>1641.94</v>
      </c>
    </row>
    <row r="26" spans="1:59" x14ac:dyDescent="0.4">
      <c r="C26" t="s">
        <v>2818</v>
      </c>
      <c r="E26" s="24">
        <f>SUM(G26:I26)</f>
        <v>18940</v>
      </c>
      <c r="G26" s="24">
        <f>Y211</f>
        <v>16680</v>
      </c>
      <c r="I26" s="24">
        <f>Y212</f>
        <v>2260</v>
      </c>
      <c r="L26" s="34"/>
      <c r="M26" s="121"/>
      <c r="N26" s="34"/>
      <c r="O26" s="34"/>
      <c r="P26" s="34"/>
      <c r="Q26" s="135"/>
      <c r="R26" s="132"/>
      <c r="S26" s="158"/>
      <c r="T26" s="158"/>
      <c r="U26" s="201">
        <v>45516</v>
      </c>
      <c r="V26" s="166"/>
      <c r="X26" s="143"/>
      <c r="Y26" s="8">
        <v>3216.38</v>
      </c>
    </row>
    <row r="27" spans="1:59" x14ac:dyDescent="0.4">
      <c r="A27" s="27"/>
      <c r="C27" t="s">
        <v>3300</v>
      </c>
      <c r="E27" s="319">
        <f>SUM(G27:I27)</f>
        <v>1</v>
      </c>
      <c r="G27" s="319">
        <f>G26/E26</f>
        <v>0.88067581837381204</v>
      </c>
      <c r="I27" s="319">
        <f>I26/E26</f>
        <v>0.11932418162618796</v>
      </c>
      <c r="L27" s="34"/>
      <c r="M27" s="121"/>
      <c r="N27" s="34"/>
      <c r="O27" s="34"/>
      <c r="P27" s="34"/>
      <c r="Q27" s="135"/>
      <c r="R27" s="158"/>
      <c r="S27" s="158"/>
      <c r="T27" s="158"/>
      <c r="U27" s="201">
        <v>45530</v>
      </c>
      <c r="V27" s="166"/>
      <c r="X27" s="143"/>
      <c r="Y27" s="8">
        <v>2171.81</v>
      </c>
    </row>
    <row r="28" spans="1:59" x14ac:dyDescent="0.4">
      <c r="A28" s="27"/>
      <c r="E28" s="281"/>
      <c r="G28" s="281"/>
      <c r="I28" s="281"/>
      <c r="L28" s="34"/>
      <c r="M28" s="121"/>
      <c r="N28" s="34"/>
      <c r="O28" s="34"/>
      <c r="P28" s="34"/>
      <c r="Q28" s="135"/>
      <c r="R28" s="158"/>
      <c r="S28" s="158"/>
      <c r="T28" s="158"/>
      <c r="V28" s="166"/>
      <c r="X28" s="143"/>
    </row>
    <row r="29" spans="1:59" x14ac:dyDescent="0.4">
      <c r="C29" t="s">
        <v>179</v>
      </c>
      <c r="E29" s="9">
        <v>30000</v>
      </c>
      <c r="F29" s="8"/>
      <c r="G29" s="9">
        <f>E29*G27</f>
        <v>26420.274551214363</v>
      </c>
      <c r="H29" s="8"/>
      <c r="I29" s="9">
        <f>I27*E29</f>
        <v>3579.7254487856389</v>
      </c>
      <c r="L29" s="34"/>
      <c r="M29" s="121"/>
      <c r="N29" s="34"/>
      <c r="O29" s="34"/>
      <c r="P29" s="34"/>
      <c r="Q29" s="120"/>
      <c r="R29" s="158"/>
      <c r="S29" s="158"/>
      <c r="T29" s="158"/>
      <c r="U29" s="201">
        <v>45540</v>
      </c>
      <c r="V29" s="166"/>
      <c r="X29" s="143"/>
      <c r="Y29" s="8">
        <v>1393.88</v>
      </c>
    </row>
    <row r="30" spans="1:59" x14ac:dyDescent="0.4">
      <c r="C30" t="s">
        <v>181</v>
      </c>
      <c r="G30" s="217">
        <f>-E29</f>
        <v>-30000</v>
      </c>
      <c r="I30" s="217"/>
      <c r="L30" s="34"/>
      <c r="M30" s="121"/>
      <c r="N30" s="34"/>
      <c r="O30" s="34"/>
      <c r="P30" s="34"/>
      <c r="Q30" s="135"/>
      <c r="R30" s="132"/>
      <c r="S30" s="158"/>
      <c r="T30" s="158"/>
      <c r="U30" s="201">
        <v>45568</v>
      </c>
      <c r="V30" s="166"/>
      <c r="X30" s="143"/>
      <c r="Y30" s="8">
        <v>3253.49</v>
      </c>
    </row>
    <row r="31" spans="1:59" x14ac:dyDescent="0.4">
      <c r="L31" s="34"/>
      <c r="M31" s="121"/>
      <c r="N31" s="34"/>
      <c r="O31" s="34"/>
      <c r="P31" s="34"/>
      <c r="Q31" s="120"/>
      <c r="R31" s="132"/>
      <c r="S31" s="158"/>
      <c r="T31" s="158"/>
      <c r="U31" s="201">
        <v>45609</v>
      </c>
      <c r="V31" s="166"/>
      <c r="X31" s="143"/>
      <c r="Y31" s="8">
        <v>1427.63</v>
      </c>
    </row>
    <row r="32" spans="1:59" ht="16.5" thickBot="1" x14ac:dyDescent="0.45">
      <c r="C32" t="s">
        <v>182</v>
      </c>
      <c r="G32" s="282">
        <f>SUM(G29:G31)</f>
        <v>-3579.7254487856371</v>
      </c>
      <c r="I32" s="282">
        <f>SUM(I29:I31)</f>
        <v>3579.7254487856389</v>
      </c>
      <c r="L32" s="34"/>
      <c r="M32" s="121"/>
      <c r="N32" s="34"/>
      <c r="O32" s="34"/>
      <c r="P32" s="34"/>
      <c r="Q32" s="120"/>
      <c r="R32" s="157"/>
      <c r="S32" s="157"/>
      <c r="T32" s="157"/>
      <c r="V32" s="166"/>
      <c r="X32" s="143"/>
    </row>
    <row r="33" spans="12:48" ht="16.5" thickTop="1" x14ac:dyDescent="0.4">
      <c r="L33" s="127"/>
      <c r="M33" s="128"/>
      <c r="N33" s="127"/>
      <c r="O33" s="127"/>
      <c r="P33" s="127"/>
      <c r="Q33" s="139" t="s">
        <v>336</v>
      </c>
      <c r="R33" s="138"/>
      <c r="S33" s="167"/>
      <c r="T33" s="167"/>
      <c r="U33" s="201">
        <v>45632</v>
      </c>
      <c r="V33" s="166"/>
      <c r="X33" s="168"/>
      <c r="Y33" s="185">
        <v>394.87</v>
      </c>
    </row>
    <row r="34" spans="12:48" x14ac:dyDescent="0.4">
      <c r="L34" s="34"/>
      <c r="M34" s="121"/>
      <c r="N34" s="34"/>
      <c r="O34" s="34"/>
      <c r="P34" s="34"/>
      <c r="Q34" s="135"/>
      <c r="R34" s="158"/>
      <c r="S34" s="157"/>
      <c r="T34" s="157"/>
      <c r="V34" s="166"/>
      <c r="X34" s="143"/>
    </row>
    <row r="35" spans="12:48" x14ac:dyDescent="0.4">
      <c r="L35" s="34"/>
      <c r="M35" s="121"/>
      <c r="N35" s="34"/>
      <c r="O35" s="34"/>
      <c r="P35" s="34"/>
      <c r="Q35" s="135"/>
      <c r="R35" s="157"/>
      <c r="S35" s="157"/>
      <c r="T35" s="157"/>
      <c r="V35" s="166"/>
      <c r="X35" s="143"/>
      <c r="Y35" s="8">
        <f>SUM(Y25:Y34)</f>
        <v>13499.999999999998</v>
      </c>
    </row>
    <row r="36" spans="12:48" x14ac:dyDescent="0.4">
      <c r="L36" s="34"/>
      <c r="M36" s="121"/>
      <c r="N36" s="34"/>
      <c r="O36" s="34"/>
      <c r="P36" s="34"/>
      <c r="Q36" s="135"/>
      <c r="R36" s="157"/>
      <c r="S36" s="157"/>
      <c r="T36" s="157"/>
      <c r="V36" s="166"/>
      <c r="X36" s="143"/>
    </row>
    <row r="37" spans="12:48" x14ac:dyDescent="0.4">
      <c r="L37" s="34"/>
      <c r="M37" s="121"/>
      <c r="N37" s="34"/>
      <c r="O37" s="34"/>
      <c r="P37" s="34"/>
      <c r="Q37" s="135"/>
      <c r="R37" s="157"/>
      <c r="S37" s="157"/>
      <c r="T37" s="157"/>
      <c r="V37" s="166"/>
      <c r="X37" s="143"/>
    </row>
    <row r="38" spans="12:48" x14ac:dyDescent="0.4">
      <c r="L38" s="34"/>
      <c r="M38" s="121"/>
      <c r="N38" s="34"/>
      <c r="O38" s="34"/>
      <c r="P38" s="34"/>
      <c r="Q38" s="135"/>
      <c r="R38" s="158"/>
      <c r="S38" s="158"/>
      <c r="T38" s="158"/>
      <c r="V38" s="166"/>
      <c r="X38" s="143"/>
    </row>
    <row r="39" spans="12:48" x14ac:dyDescent="0.4">
      <c r="L39" s="34"/>
      <c r="M39" s="121"/>
      <c r="N39" s="34"/>
      <c r="O39" s="34"/>
      <c r="P39" s="34"/>
      <c r="Q39" s="135"/>
      <c r="R39" s="157"/>
      <c r="S39" s="157"/>
      <c r="T39" s="157"/>
      <c r="V39" s="166"/>
      <c r="X39" s="143"/>
      <c r="AR39" s="400" t="s">
        <v>539</v>
      </c>
      <c r="AS39" s="400"/>
      <c r="AT39" s="400"/>
      <c r="AU39" s="400"/>
      <c r="AV39" s="400"/>
    </row>
    <row r="40" spans="12:48" x14ac:dyDescent="0.4">
      <c r="L40" s="34"/>
      <c r="M40" s="121"/>
      <c r="N40" s="34"/>
      <c r="O40" s="34"/>
      <c r="P40" s="34"/>
      <c r="Q40" s="135"/>
      <c r="R40" s="157"/>
      <c r="S40" s="157"/>
      <c r="T40" s="157"/>
      <c r="V40" s="166"/>
      <c r="X40" s="143"/>
      <c r="AE40" s="2" t="s">
        <v>337</v>
      </c>
      <c r="AF40" s="2"/>
      <c r="AG40" s="2"/>
      <c r="AH40" s="2"/>
      <c r="AI40" s="2"/>
      <c r="AJ40" s="2"/>
      <c r="AK40" s="2"/>
      <c r="AL40" s="2"/>
      <c r="AM40" s="2"/>
      <c r="AN40" s="2"/>
      <c r="AO40" s="2"/>
      <c r="AR40" s="413" t="s">
        <v>535</v>
      </c>
      <c r="AS40" s="413"/>
      <c r="AU40" s="413" t="s">
        <v>535</v>
      </c>
      <c r="AV40" s="413"/>
    </row>
    <row r="41" spans="12:48" ht="16.25" customHeight="1" x14ac:dyDescent="0.4">
      <c r="L41" s="27"/>
      <c r="W41" s="130" t="s">
        <v>433</v>
      </c>
      <c r="AE41" s="130" t="s">
        <v>424</v>
      </c>
      <c r="AF41" s="130"/>
      <c r="AG41" s="130" t="s">
        <v>426</v>
      </c>
      <c r="AH41" s="130"/>
      <c r="AI41" s="130" t="s">
        <v>429</v>
      </c>
      <c r="AJ41" s="130"/>
      <c r="AK41" s="130"/>
      <c r="AL41" s="130" t="s">
        <v>430</v>
      </c>
      <c r="AM41" s="130" t="s">
        <v>426</v>
      </c>
      <c r="AN41" s="130"/>
      <c r="AO41" s="130" t="s">
        <v>429</v>
      </c>
      <c r="AR41" s="433" t="s">
        <v>536</v>
      </c>
      <c r="AS41" s="433"/>
      <c r="AU41" s="433" t="s">
        <v>538</v>
      </c>
      <c r="AV41" s="433"/>
    </row>
    <row r="42" spans="12:48" x14ac:dyDescent="0.4">
      <c r="L42" s="129"/>
      <c r="M42" s="129"/>
      <c r="N42" s="130"/>
      <c r="O42" s="130"/>
      <c r="P42" s="130"/>
      <c r="Q42" s="431" t="s">
        <v>434</v>
      </c>
      <c r="R42" s="431"/>
      <c r="S42" s="431"/>
      <c r="T42" s="431"/>
      <c r="U42" s="202"/>
      <c r="V42" s="164" t="s">
        <v>179</v>
      </c>
      <c r="W42" s="30" t="s">
        <v>441</v>
      </c>
      <c r="X42" s="164" t="s">
        <v>179</v>
      </c>
      <c r="Y42" s="186"/>
      <c r="Z42" s="186"/>
      <c r="AA42" s="186"/>
      <c r="AB42" s="186"/>
      <c r="AC42" s="191"/>
      <c r="AD42" s="130"/>
      <c r="AE42" s="130" t="s">
        <v>425</v>
      </c>
      <c r="AF42" s="130"/>
      <c r="AG42" s="130" t="s">
        <v>427</v>
      </c>
      <c r="AH42" s="130"/>
      <c r="AI42" s="130" t="s">
        <v>427</v>
      </c>
      <c r="AJ42" s="130"/>
      <c r="AK42" s="130"/>
      <c r="AL42" s="130" t="s">
        <v>425</v>
      </c>
      <c r="AM42" s="130" t="s">
        <v>430</v>
      </c>
      <c r="AN42" s="130"/>
      <c r="AO42" s="130" t="s">
        <v>430</v>
      </c>
      <c r="AR42" s="434" t="s">
        <v>534</v>
      </c>
      <c r="AS42" s="434"/>
      <c r="AU42" s="434" t="s">
        <v>534</v>
      </c>
      <c r="AV42" s="434"/>
    </row>
    <row r="43" spans="12:48" ht="32" x14ac:dyDescent="0.4">
      <c r="L43" s="129"/>
      <c r="M43" s="129" t="s">
        <v>431</v>
      </c>
      <c r="N43" s="130" t="s">
        <v>423</v>
      </c>
      <c r="O43" s="130"/>
      <c r="P43" s="130" t="s">
        <v>338</v>
      </c>
      <c r="Q43" s="130" t="s">
        <v>435</v>
      </c>
      <c r="R43" s="130" t="s">
        <v>432</v>
      </c>
      <c r="S43" s="130" t="s">
        <v>422</v>
      </c>
      <c r="T43" s="130" t="s">
        <v>443</v>
      </c>
      <c r="U43" s="203" t="s">
        <v>419</v>
      </c>
      <c r="V43" s="130" t="s">
        <v>436</v>
      </c>
      <c r="W43" s="2" t="s">
        <v>442</v>
      </c>
      <c r="X43" s="130"/>
      <c r="Y43" s="130" t="s">
        <v>435</v>
      </c>
      <c r="Z43" s="130" t="s">
        <v>432</v>
      </c>
      <c r="AA43" s="130" t="s">
        <v>422</v>
      </c>
      <c r="AB43" s="130" t="s">
        <v>443</v>
      </c>
      <c r="AC43" s="191"/>
      <c r="AD43" s="130"/>
      <c r="AE43" s="118"/>
      <c r="AF43" s="118"/>
      <c r="AG43" s="121" t="s">
        <v>428</v>
      </c>
      <c r="AH43" s="121"/>
      <c r="AI43" s="121" t="s">
        <v>428</v>
      </c>
      <c r="AJ43" s="121"/>
      <c r="AK43" s="34" t="s">
        <v>25</v>
      </c>
      <c r="AL43" s="118"/>
      <c r="AM43" s="130" t="s">
        <v>428</v>
      </c>
      <c r="AN43" s="130"/>
      <c r="AO43" s="130" t="s">
        <v>428</v>
      </c>
      <c r="AP43" s="2" t="s">
        <v>25</v>
      </c>
      <c r="AR43" s="2" t="s">
        <v>23</v>
      </c>
      <c r="AS43" s="2" t="s">
        <v>22</v>
      </c>
      <c r="AU43" s="2" t="s">
        <v>23</v>
      </c>
      <c r="AV43" s="2" t="s">
        <v>22</v>
      </c>
    </row>
    <row r="44" spans="12:48" x14ac:dyDescent="0.4">
      <c r="M44" s="118"/>
      <c r="N44" s="118"/>
      <c r="O44" s="118"/>
      <c r="P44" s="121" t="s">
        <v>339</v>
      </c>
      <c r="Q44" s="141"/>
      <c r="R44" s="141"/>
      <c r="S44" s="141"/>
      <c r="T44" s="141"/>
      <c r="U44" s="200"/>
      <c r="V44" s="141"/>
      <c r="W44" s="141"/>
      <c r="X44" s="132"/>
      <c r="Y44" s="187"/>
      <c r="Z44" s="192"/>
      <c r="AA44" s="192"/>
      <c r="AB44" s="192"/>
      <c r="AC44" s="193"/>
      <c r="AD44" s="118"/>
    </row>
    <row r="45" spans="12:48" x14ac:dyDescent="0.4">
      <c r="L45" s="118"/>
      <c r="M45" s="121" t="s">
        <v>399</v>
      </c>
      <c r="N45" s="131">
        <v>43151</v>
      </c>
      <c r="O45" s="131"/>
      <c r="P45" s="34">
        <v>86</v>
      </c>
      <c r="Q45" s="132">
        <v>2080</v>
      </c>
      <c r="R45" s="179"/>
      <c r="S45" s="141"/>
      <c r="T45" s="141"/>
      <c r="U45" s="212"/>
      <c r="V45" s="219">
        <v>69000</v>
      </c>
      <c r="W45" s="174">
        <v>250</v>
      </c>
      <c r="X45" s="219">
        <f>V45+W45</f>
        <v>69250</v>
      </c>
      <c r="Y45" s="219">
        <f>Q45*U45</f>
        <v>0</v>
      </c>
      <c r="Z45" s="9">
        <f>R45*U45*1.5</f>
        <v>0</v>
      </c>
      <c r="AA45" s="9">
        <f>S45*U45</f>
        <v>0</v>
      </c>
      <c r="AB45" s="9">
        <f>T45*U45</f>
        <v>0</v>
      </c>
      <c r="AC45" s="9">
        <f>V45</f>
        <v>69000</v>
      </c>
      <c r="AD45" s="131"/>
      <c r="AE45" t="s">
        <v>345</v>
      </c>
      <c r="AG45" s="1">
        <v>828.85</v>
      </c>
      <c r="AH45" s="1"/>
      <c r="AI45" s="1"/>
      <c r="AJ45" s="1"/>
      <c r="AK45" s="1">
        <f>AG45+AI45</f>
        <v>828.85</v>
      </c>
      <c r="AL45" s="1" t="s">
        <v>345</v>
      </c>
      <c r="AM45" s="1">
        <v>25.68</v>
      </c>
      <c r="AN45" s="1"/>
      <c r="AO45" s="1">
        <v>42.98</v>
      </c>
      <c r="AP45" s="35">
        <f>AM45+AO45</f>
        <v>68.66</v>
      </c>
      <c r="AR45">
        <v>0.21</v>
      </c>
      <c r="AS45" s="35">
        <f>AK45*AR45</f>
        <v>174.05850000000001</v>
      </c>
      <c r="AU45">
        <v>0.6</v>
      </c>
      <c r="AV45" s="35">
        <f>AP45*AU45</f>
        <v>41.195999999999998</v>
      </c>
    </row>
    <row r="46" spans="12:48" x14ac:dyDescent="0.4">
      <c r="L46" s="121"/>
      <c r="M46" s="121" t="s">
        <v>340</v>
      </c>
      <c r="N46" s="131">
        <v>44620</v>
      </c>
      <c r="O46" s="131"/>
      <c r="P46" s="34">
        <v>129</v>
      </c>
      <c r="Q46" s="132">
        <v>2080</v>
      </c>
      <c r="R46" s="176">
        <v>332</v>
      </c>
      <c r="S46" s="132"/>
      <c r="T46" s="132"/>
      <c r="U46" s="204">
        <v>22</v>
      </c>
      <c r="V46" s="159">
        <f>(Q46*U46)+(S46*U46)+(R46*(U46*1.5))+((U46*1.5)*T46)</f>
        <v>56716</v>
      </c>
      <c r="W46" s="122">
        <v>250</v>
      </c>
      <c r="X46" s="159">
        <f>V46+W46</f>
        <v>56966</v>
      </c>
      <c r="Y46" s="159">
        <f>Q46*U46</f>
        <v>45760</v>
      </c>
      <c r="Z46" s="8">
        <f>R46*U46*1.5</f>
        <v>10956</v>
      </c>
      <c r="AA46" s="8">
        <f>S46*U46</f>
        <v>0</v>
      </c>
      <c r="AB46" s="8">
        <f>T46*(U46*1.5)</f>
        <v>0</v>
      </c>
      <c r="AC46" s="24">
        <f>SUM(Y46:AB46)</f>
        <v>56716</v>
      </c>
      <c r="AD46" s="131"/>
      <c r="AE46" t="s">
        <v>341</v>
      </c>
      <c r="AG46" s="1">
        <v>834.83</v>
      </c>
      <c r="AH46" s="1"/>
      <c r="AI46" s="1">
        <v>25.91</v>
      </c>
      <c r="AJ46" s="1"/>
      <c r="AK46" s="1">
        <f t="shared" ref="AK46:AK109" si="2">AG46+AI46</f>
        <v>860.74</v>
      </c>
      <c r="AL46" s="1" t="s">
        <v>341</v>
      </c>
      <c r="AM46" s="1">
        <v>19.3</v>
      </c>
      <c r="AN46" s="1"/>
      <c r="AO46" s="1">
        <v>2.82</v>
      </c>
      <c r="AP46" s="35">
        <f t="shared" ref="AP46:AP109" si="3">AM46+AO46</f>
        <v>22.12</v>
      </c>
      <c r="AR46">
        <v>0.21</v>
      </c>
      <c r="AS46" s="35">
        <f t="shared" ref="AS46:AS109" si="4">AK46*AR46</f>
        <v>180.75540000000001</v>
      </c>
      <c r="AU46">
        <v>0.6</v>
      </c>
      <c r="AV46" s="35">
        <f t="shared" ref="AV46:AV109" si="5">AP46*AU46</f>
        <v>13.272</v>
      </c>
    </row>
    <row r="47" spans="12:48" x14ac:dyDescent="0.4">
      <c r="L47" s="121"/>
      <c r="M47" s="121" t="s">
        <v>342</v>
      </c>
      <c r="N47" s="131">
        <v>43999</v>
      </c>
      <c r="O47" s="131"/>
      <c r="P47" s="34">
        <v>71</v>
      </c>
      <c r="Q47" s="132">
        <v>2080</v>
      </c>
      <c r="R47" s="176">
        <v>54</v>
      </c>
      <c r="S47" s="132"/>
      <c r="T47" s="132"/>
      <c r="U47" s="204">
        <v>22.66</v>
      </c>
      <c r="V47" s="159">
        <f t="shared" ref="V47:V110" si="6">(Q47*U47)+(S47*U47)+(R47*(U47*1.5))+((U47*1.5)*T47)</f>
        <v>48968.26</v>
      </c>
      <c r="W47" s="122">
        <v>250</v>
      </c>
      <c r="X47" s="159">
        <f>V47+W47</f>
        <v>49218.26</v>
      </c>
      <c r="Y47" s="159">
        <f t="shared" ref="Y47:Y110" si="7">Q47*U47</f>
        <v>47132.800000000003</v>
      </c>
      <c r="Z47" s="8">
        <f t="shared" ref="Z47:Z110" si="8">R47*U47*1.5</f>
        <v>1835.46</v>
      </c>
      <c r="AA47" s="8">
        <f t="shared" ref="AA47:AA110" si="9">S47*U47</f>
        <v>0</v>
      </c>
      <c r="AB47" s="8">
        <f t="shared" ref="AB47:AB110" si="10">T47*(U47*1.5)</f>
        <v>0</v>
      </c>
      <c r="AC47" s="24">
        <f t="shared" ref="AC47:AC110" si="11">SUM(Y47:AB47)</f>
        <v>48968.26</v>
      </c>
      <c r="AD47" s="131"/>
      <c r="AE47" t="s">
        <v>343</v>
      </c>
      <c r="AG47" s="1">
        <v>2367.96</v>
      </c>
      <c r="AH47" s="1"/>
      <c r="AI47" s="1">
        <v>386.43</v>
      </c>
      <c r="AJ47" s="1"/>
      <c r="AK47" s="1">
        <f t="shared" si="2"/>
        <v>2754.39</v>
      </c>
      <c r="AL47" s="1" t="s">
        <v>344</v>
      </c>
      <c r="AM47" s="1">
        <v>25.68</v>
      </c>
      <c r="AN47" s="1"/>
      <c r="AO47" s="1">
        <v>56</v>
      </c>
      <c r="AP47" s="35">
        <f t="shared" si="3"/>
        <v>81.680000000000007</v>
      </c>
      <c r="AR47">
        <v>0.33</v>
      </c>
      <c r="AS47" s="35">
        <f t="shared" si="4"/>
        <v>908.94870000000003</v>
      </c>
      <c r="AU47">
        <v>0.6</v>
      </c>
      <c r="AV47" s="35">
        <f t="shared" si="5"/>
        <v>49.008000000000003</v>
      </c>
    </row>
    <row r="48" spans="12:48" x14ac:dyDescent="0.4">
      <c r="L48" s="121"/>
      <c r="M48" s="121" t="s">
        <v>342</v>
      </c>
      <c r="N48" s="131">
        <v>44872</v>
      </c>
      <c r="O48" s="131"/>
      <c r="P48" s="34">
        <v>137</v>
      </c>
      <c r="Q48" s="132">
        <v>2080</v>
      </c>
      <c r="R48" s="176">
        <v>194</v>
      </c>
      <c r="S48" s="132"/>
      <c r="T48" s="132"/>
      <c r="U48" s="204">
        <v>22</v>
      </c>
      <c r="V48" s="159">
        <f t="shared" si="6"/>
        <v>52162</v>
      </c>
      <c r="W48" s="122">
        <v>250</v>
      </c>
      <c r="X48" s="159">
        <f t="shared" ref="X48:X111" si="12">V48+W48</f>
        <v>52412</v>
      </c>
      <c r="Y48" s="159">
        <f t="shared" si="7"/>
        <v>45760</v>
      </c>
      <c r="Z48" s="8">
        <f t="shared" si="8"/>
        <v>6402</v>
      </c>
      <c r="AA48" s="8">
        <f t="shared" si="9"/>
        <v>0</v>
      </c>
      <c r="AB48" s="8">
        <f t="shared" si="10"/>
        <v>0</v>
      </c>
      <c r="AC48" s="24">
        <f t="shared" si="11"/>
        <v>52162</v>
      </c>
      <c r="AD48" s="131"/>
      <c r="AE48" t="s">
        <v>345</v>
      </c>
      <c r="AG48" s="1">
        <v>828.85</v>
      </c>
      <c r="AH48" s="1"/>
      <c r="AI48" s="1"/>
      <c r="AJ48" s="1"/>
      <c r="AK48" s="1">
        <f t="shared" si="2"/>
        <v>828.85</v>
      </c>
      <c r="AL48" s="1" t="s">
        <v>345</v>
      </c>
      <c r="AM48" s="1">
        <v>19.3</v>
      </c>
      <c r="AN48" s="1"/>
      <c r="AO48" s="1"/>
      <c r="AP48" s="35">
        <f t="shared" si="3"/>
        <v>19.3</v>
      </c>
      <c r="AR48">
        <v>0.21</v>
      </c>
      <c r="AS48" s="35">
        <f t="shared" si="4"/>
        <v>174.05850000000001</v>
      </c>
      <c r="AU48">
        <v>0.6</v>
      </c>
      <c r="AV48" s="35">
        <f t="shared" si="5"/>
        <v>11.58</v>
      </c>
    </row>
    <row r="49" spans="12:48" x14ac:dyDescent="0.4">
      <c r="L49" s="121"/>
      <c r="M49" s="121" t="s">
        <v>346</v>
      </c>
      <c r="N49" s="131">
        <v>41943</v>
      </c>
      <c r="O49" s="131"/>
      <c r="P49" s="34">
        <v>54</v>
      </c>
      <c r="Q49" s="132">
        <v>2080</v>
      </c>
      <c r="R49" s="176">
        <v>126</v>
      </c>
      <c r="S49" s="132"/>
      <c r="T49" s="132"/>
      <c r="U49" s="204">
        <v>24.84</v>
      </c>
      <c r="V49" s="159">
        <f t="shared" si="6"/>
        <v>56361.96</v>
      </c>
      <c r="W49" s="122">
        <v>250</v>
      </c>
      <c r="X49" s="159">
        <f t="shared" si="12"/>
        <v>56611.96</v>
      </c>
      <c r="Y49" s="159">
        <f t="shared" si="7"/>
        <v>51667.199999999997</v>
      </c>
      <c r="Z49" s="8">
        <f t="shared" si="8"/>
        <v>4694.76</v>
      </c>
      <c r="AA49" s="8">
        <f t="shared" si="9"/>
        <v>0</v>
      </c>
      <c r="AB49" s="8">
        <f t="shared" si="10"/>
        <v>0</v>
      </c>
      <c r="AC49" s="24">
        <f t="shared" si="11"/>
        <v>56361.96</v>
      </c>
      <c r="AD49" s="131"/>
      <c r="AE49" t="s">
        <v>341</v>
      </c>
      <c r="AG49" s="1">
        <v>834.83</v>
      </c>
      <c r="AH49" s="1"/>
      <c r="AI49" s="1">
        <v>25.91</v>
      </c>
      <c r="AJ49" s="1"/>
      <c r="AK49" s="1">
        <f t="shared" si="2"/>
        <v>860.74</v>
      </c>
      <c r="AL49" s="1" t="s">
        <v>345</v>
      </c>
      <c r="AM49" s="1">
        <v>19.3</v>
      </c>
      <c r="AN49" s="1"/>
      <c r="AO49" s="1"/>
      <c r="AP49" s="35">
        <f t="shared" si="3"/>
        <v>19.3</v>
      </c>
      <c r="AR49">
        <v>0.21</v>
      </c>
      <c r="AS49" s="35">
        <f t="shared" si="4"/>
        <v>180.75540000000001</v>
      </c>
      <c r="AU49">
        <v>0.6</v>
      </c>
      <c r="AV49" s="35">
        <f t="shared" si="5"/>
        <v>11.58</v>
      </c>
    </row>
    <row r="50" spans="12:48" x14ac:dyDescent="0.4">
      <c r="L50" s="121"/>
      <c r="M50" s="121"/>
      <c r="N50" s="131"/>
      <c r="O50" s="131"/>
      <c r="P50" s="34"/>
      <c r="Q50" s="132"/>
      <c r="R50" s="176"/>
      <c r="S50" s="132"/>
      <c r="T50" s="132"/>
      <c r="U50" s="205"/>
      <c r="V50" s="159"/>
      <c r="W50" s="122"/>
      <c r="X50" s="159"/>
      <c r="Y50" s="159"/>
      <c r="AD50" s="131"/>
      <c r="AG50" s="1"/>
      <c r="AH50" s="1"/>
      <c r="AI50" s="1"/>
      <c r="AJ50" s="1"/>
      <c r="AK50" s="1">
        <f t="shared" si="2"/>
        <v>0</v>
      </c>
      <c r="AL50" s="1"/>
      <c r="AM50" s="1"/>
      <c r="AN50" s="1"/>
      <c r="AO50" s="1"/>
      <c r="AP50" s="35">
        <f t="shared" si="3"/>
        <v>0</v>
      </c>
      <c r="AS50" s="35">
        <f t="shared" si="4"/>
        <v>0</v>
      </c>
      <c r="AU50">
        <v>0.6</v>
      </c>
      <c r="AV50" s="35">
        <f t="shared" si="5"/>
        <v>0</v>
      </c>
    </row>
    <row r="51" spans="12:48" x14ac:dyDescent="0.4">
      <c r="M51" s="133"/>
      <c r="P51" s="183" t="s">
        <v>347</v>
      </c>
      <c r="Q51" s="134"/>
      <c r="R51" s="177"/>
      <c r="S51" s="134"/>
      <c r="T51" s="134"/>
      <c r="U51" s="206"/>
      <c r="V51" s="159"/>
      <c r="W51" s="122"/>
      <c r="X51" s="159"/>
      <c r="Y51" s="159"/>
      <c r="AG51" s="1"/>
      <c r="AH51" s="1"/>
      <c r="AI51" s="1"/>
      <c r="AJ51" s="1"/>
      <c r="AK51" s="1">
        <f t="shared" si="2"/>
        <v>0</v>
      </c>
      <c r="AL51" s="1"/>
      <c r="AM51" s="1"/>
      <c r="AN51" s="1"/>
      <c r="AO51" s="1"/>
      <c r="AP51" s="35">
        <f t="shared" si="3"/>
        <v>0</v>
      </c>
      <c r="AS51" s="35">
        <f t="shared" si="4"/>
        <v>0</v>
      </c>
      <c r="AU51">
        <v>0.6</v>
      </c>
      <c r="AV51" s="35">
        <f t="shared" si="5"/>
        <v>0</v>
      </c>
    </row>
    <row r="52" spans="12:48" x14ac:dyDescent="0.4">
      <c r="L52" s="118"/>
      <c r="M52" s="121" t="s">
        <v>348</v>
      </c>
      <c r="N52" s="131">
        <v>38663</v>
      </c>
      <c r="O52" s="131"/>
      <c r="P52" s="34">
        <v>48</v>
      </c>
      <c r="Q52" s="132">
        <v>2080</v>
      </c>
      <c r="R52" s="176">
        <v>22.5</v>
      </c>
      <c r="S52" s="132">
        <v>15</v>
      </c>
      <c r="T52" s="132">
        <v>16</v>
      </c>
      <c r="U52" s="204">
        <v>25.83</v>
      </c>
      <c r="V52" s="159">
        <f t="shared" si="6"/>
        <v>55605.532499999987</v>
      </c>
      <c r="W52" s="122">
        <v>250</v>
      </c>
      <c r="X52" s="159">
        <f t="shared" si="12"/>
        <v>55855.532499999987</v>
      </c>
      <c r="Y52" s="159">
        <f t="shared" si="7"/>
        <v>53726.399999999994</v>
      </c>
      <c r="Z52" s="8">
        <f t="shared" si="8"/>
        <v>871.76249999999993</v>
      </c>
      <c r="AA52" s="8">
        <f t="shared" si="9"/>
        <v>387.45</v>
      </c>
      <c r="AB52" s="8">
        <f t="shared" si="10"/>
        <v>619.91999999999996</v>
      </c>
      <c r="AC52" s="24">
        <f t="shared" si="11"/>
        <v>55605.532499999987</v>
      </c>
      <c r="AD52" s="131"/>
      <c r="AE52" t="s">
        <v>349</v>
      </c>
      <c r="AG52" s="1">
        <v>1470.38</v>
      </c>
      <c r="AH52" s="1"/>
      <c r="AI52" s="1">
        <v>165.04</v>
      </c>
      <c r="AJ52" s="1"/>
      <c r="AK52" s="1">
        <f t="shared" si="2"/>
        <v>1635.42</v>
      </c>
      <c r="AL52" s="1" t="s">
        <v>350</v>
      </c>
      <c r="AM52" s="1">
        <v>25.68</v>
      </c>
      <c r="AN52" s="1"/>
      <c r="AO52" s="1">
        <v>42.98</v>
      </c>
      <c r="AP52" s="35">
        <f t="shared" si="3"/>
        <v>68.66</v>
      </c>
      <c r="AR52">
        <v>0.33</v>
      </c>
      <c r="AS52" s="35">
        <f t="shared" si="4"/>
        <v>539.68860000000006</v>
      </c>
      <c r="AU52">
        <v>0.6</v>
      </c>
      <c r="AV52" s="35">
        <f t="shared" si="5"/>
        <v>41.195999999999998</v>
      </c>
    </row>
    <row r="53" spans="12:48" x14ac:dyDescent="0.4">
      <c r="L53" s="121"/>
      <c r="M53" s="121" t="s">
        <v>351</v>
      </c>
      <c r="N53" s="131">
        <v>44473</v>
      </c>
      <c r="O53" s="131"/>
      <c r="P53" s="34">
        <v>125</v>
      </c>
      <c r="Q53" s="132">
        <v>2080</v>
      </c>
      <c r="R53" s="176">
        <v>177.5</v>
      </c>
      <c r="S53" s="132">
        <v>5</v>
      </c>
      <c r="T53" s="132">
        <v>22</v>
      </c>
      <c r="U53" s="204">
        <v>20.6</v>
      </c>
      <c r="V53" s="159">
        <f t="shared" si="6"/>
        <v>49115.55</v>
      </c>
      <c r="W53" s="122">
        <v>250</v>
      </c>
      <c r="X53" s="159">
        <f t="shared" si="12"/>
        <v>49365.55</v>
      </c>
      <c r="Y53" s="159">
        <f t="shared" si="7"/>
        <v>42848</v>
      </c>
      <c r="Z53" s="8">
        <f t="shared" si="8"/>
        <v>5484.7500000000009</v>
      </c>
      <c r="AA53" s="8">
        <f t="shared" si="9"/>
        <v>103</v>
      </c>
      <c r="AB53" s="8">
        <f t="shared" si="10"/>
        <v>679.80000000000007</v>
      </c>
      <c r="AC53" s="24">
        <f t="shared" si="11"/>
        <v>49115.55</v>
      </c>
      <c r="AD53" s="131"/>
      <c r="AE53" t="s">
        <v>345</v>
      </c>
      <c r="AG53" s="1">
        <v>828.85</v>
      </c>
      <c r="AH53" s="1"/>
      <c r="AI53" s="1">
        <v>0</v>
      </c>
      <c r="AJ53" s="1"/>
      <c r="AK53" s="1">
        <f t="shared" si="2"/>
        <v>828.85</v>
      </c>
      <c r="AL53" s="1" t="s">
        <v>345</v>
      </c>
      <c r="AM53" s="1">
        <v>19.3</v>
      </c>
      <c r="AN53" s="1"/>
      <c r="AO53" s="1"/>
      <c r="AP53" s="35">
        <f t="shared" si="3"/>
        <v>19.3</v>
      </c>
      <c r="AR53">
        <v>0.21</v>
      </c>
      <c r="AS53" s="35">
        <f t="shared" si="4"/>
        <v>174.05850000000001</v>
      </c>
      <c r="AU53">
        <v>0.6</v>
      </c>
      <c r="AV53" s="35">
        <f t="shared" si="5"/>
        <v>11.58</v>
      </c>
    </row>
    <row r="54" spans="12:48" x14ac:dyDescent="0.4">
      <c r="L54" s="121"/>
      <c r="M54" s="121" t="s">
        <v>352</v>
      </c>
      <c r="N54" s="131">
        <v>45180</v>
      </c>
      <c r="O54" s="131"/>
      <c r="P54" s="34">
        <v>150</v>
      </c>
      <c r="Q54" s="132">
        <v>2080</v>
      </c>
      <c r="R54" s="176">
        <v>104</v>
      </c>
      <c r="S54" s="132">
        <v>6</v>
      </c>
      <c r="T54" s="132">
        <v>15</v>
      </c>
      <c r="U54" s="204">
        <v>15.12</v>
      </c>
      <c r="V54" s="159">
        <f t="shared" si="6"/>
        <v>34239.24</v>
      </c>
      <c r="W54" s="122">
        <v>250</v>
      </c>
      <c r="X54" s="159">
        <f t="shared" si="12"/>
        <v>34489.24</v>
      </c>
      <c r="Y54" s="159">
        <f t="shared" si="7"/>
        <v>31449.599999999999</v>
      </c>
      <c r="Z54" s="8">
        <f t="shared" si="8"/>
        <v>2358.7200000000003</v>
      </c>
      <c r="AA54" s="8">
        <f t="shared" si="9"/>
        <v>90.72</v>
      </c>
      <c r="AB54" s="8">
        <f t="shared" si="10"/>
        <v>340.2</v>
      </c>
      <c r="AC54" s="24">
        <f t="shared" si="11"/>
        <v>34239.24</v>
      </c>
      <c r="AD54" s="131"/>
      <c r="AE54" t="s">
        <v>353</v>
      </c>
      <c r="AG54" s="1">
        <v>0</v>
      </c>
      <c r="AH54" s="1"/>
      <c r="AI54" s="1">
        <v>0</v>
      </c>
      <c r="AJ54" s="1"/>
      <c r="AK54" s="1">
        <f t="shared" si="2"/>
        <v>0</v>
      </c>
      <c r="AL54" s="1" t="s">
        <v>353</v>
      </c>
      <c r="AM54" s="1"/>
      <c r="AN54" s="1"/>
      <c r="AO54" s="1"/>
      <c r="AP54" s="35">
        <f t="shared" si="3"/>
        <v>0</v>
      </c>
      <c r="AS54" s="35">
        <f t="shared" si="4"/>
        <v>0</v>
      </c>
      <c r="AU54">
        <v>0.6</v>
      </c>
      <c r="AV54" s="35">
        <f t="shared" si="5"/>
        <v>0</v>
      </c>
    </row>
    <row r="55" spans="12:48" x14ac:dyDescent="0.4">
      <c r="L55" s="118"/>
      <c r="M55" s="121" t="s">
        <v>348</v>
      </c>
      <c r="N55" s="131">
        <v>32226</v>
      </c>
      <c r="O55" s="131"/>
      <c r="P55" s="34">
        <v>44</v>
      </c>
      <c r="Q55" s="132">
        <v>2080</v>
      </c>
      <c r="R55" s="176">
        <v>33.5</v>
      </c>
      <c r="S55" s="132">
        <v>15</v>
      </c>
      <c r="T55" s="132"/>
      <c r="U55" s="204">
        <v>29.6</v>
      </c>
      <c r="V55" s="159">
        <f t="shared" si="6"/>
        <v>63499.4</v>
      </c>
      <c r="W55" s="122">
        <v>250</v>
      </c>
      <c r="X55" s="159">
        <f t="shared" si="12"/>
        <v>63749.4</v>
      </c>
      <c r="Y55" s="159">
        <f t="shared" si="7"/>
        <v>61568</v>
      </c>
      <c r="Z55" s="8">
        <f t="shared" si="8"/>
        <v>1487.4</v>
      </c>
      <c r="AA55" s="8">
        <f t="shared" si="9"/>
        <v>444</v>
      </c>
      <c r="AB55" s="8">
        <f t="shared" si="10"/>
        <v>0</v>
      </c>
      <c r="AC55" s="24">
        <f t="shared" si="11"/>
        <v>63499.4</v>
      </c>
      <c r="AD55" s="131"/>
      <c r="AE55" t="s">
        <v>341</v>
      </c>
      <c r="AG55" s="1">
        <v>834.83</v>
      </c>
      <c r="AH55" s="1"/>
      <c r="AI55" s="1">
        <v>25.91</v>
      </c>
      <c r="AJ55" s="1"/>
      <c r="AK55" s="1">
        <f t="shared" si="2"/>
        <v>860.74</v>
      </c>
      <c r="AL55" s="1" t="s">
        <v>350</v>
      </c>
      <c r="AM55" s="1">
        <v>25.68</v>
      </c>
      <c r="AN55" s="1"/>
      <c r="AO55" s="1">
        <v>56</v>
      </c>
      <c r="AP55" s="35">
        <f t="shared" si="3"/>
        <v>81.680000000000007</v>
      </c>
      <c r="AR55">
        <v>0.21</v>
      </c>
      <c r="AS55" s="35">
        <f t="shared" si="4"/>
        <v>180.75540000000001</v>
      </c>
      <c r="AU55">
        <v>0.6</v>
      </c>
      <c r="AV55" s="35">
        <f t="shared" si="5"/>
        <v>49.008000000000003</v>
      </c>
    </row>
    <row r="56" spans="12:48" x14ac:dyDescent="0.4">
      <c r="L56" s="121"/>
      <c r="M56" s="121" t="s">
        <v>351</v>
      </c>
      <c r="N56" s="131">
        <v>45012</v>
      </c>
      <c r="O56" s="131"/>
      <c r="P56" s="34">
        <v>144</v>
      </c>
      <c r="Q56" s="132">
        <v>2080</v>
      </c>
      <c r="R56" s="176">
        <v>181.5</v>
      </c>
      <c r="S56" s="132">
        <v>26</v>
      </c>
      <c r="T56" s="132">
        <v>64.5</v>
      </c>
      <c r="U56" s="204">
        <v>20.6</v>
      </c>
      <c r="V56" s="159">
        <f t="shared" si="6"/>
        <v>50985</v>
      </c>
      <c r="W56" s="122">
        <v>250</v>
      </c>
      <c r="X56" s="159">
        <f t="shared" si="12"/>
        <v>51235</v>
      </c>
      <c r="Y56" s="159">
        <f t="shared" si="7"/>
        <v>42848</v>
      </c>
      <c r="Z56" s="8">
        <f t="shared" si="8"/>
        <v>5608.35</v>
      </c>
      <c r="AA56" s="8">
        <f t="shared" si="9"/>
        <v>535.6</v>
      </c>
      <c r="AB56" s="8">
        <f t="shared" si="10"/>
        <v>1993.0500000000002</v>
      </c>
      <c r="AC56" s="24">
        <f t="shared" si="11"/>
        <v>50985</v>
      </c>
      <c r="AD56" s="131"/>
      <c r="AE56" t="s">
        <v>341</v>
      </c>
      <c r="AG56" s="1">
        <v>834.83</v>
      </c>
      <c r="AH56" s="1"/>
      <c r="AI56" s="1">
        <v>25.91</v>
      </c>
      <c r="AJ56" s="1"/>
      <c r="AK56" s="1">
        <f t="shared" si="2"/>
        <v>860.74</v>
      </c>
      <c r="AL56" s="1" t="s">
        <v>341</v>
      </c>
      <c r="AM56" s="1">
        <v>19.3</v>
      </c>
      <c r="AN56" s="1"/>
      <c r="AO56" s="1">
        <v>2.82</v>
      </c>
      <c r="AP56" s="35">
        <f t="shared" si="3"/>
        <v>22.12</v>
      </c>
      <c r="AR56">
        <v>0.21</v>
      </c>
      <c r="AS56" s="35">
        <f t="shared" si="4"/>
        <v>180.75540000000001</v>
      </c>
      <c r="AU56">
        <v>0.6</v>
      </c>
      <c r="AV56" s="35">
        <f t="shared" si="5"/>
        <v>13.272</v>
      </c>
    </row>
    <row r="57" spans="12:48" x14ac:dyDescent="0.4">
      <c r="L57" s="121"/>
      <c r="M57" s="121" t="s">
        <v>352</v>
      </c>
      <c r="N57" s="131">
        <v>45432</v>
      </c>
      <c r="O57" s="131"/>
      <c r="P57" s="34">
        <v>159</v>
      </c>
      <c r="Q57" s="132">
        <v>2080</v>
      </c>
      <c r="R57" s="176">
        <v>41</v>
      </c>
      <c r="S57" s="132">
        <v>13</v>
      </c>
      <c r="T57" s="132">
        <v>6</v>
      </c>
      <c r="U57" s="204">
        <v>15.12</v>
      </c>
      <c r="V57" s="159">
        <f t="shared" si="6"/>
        <v>32712.120000000003</v>
      </c>
      <c r="W57" s="122">
        <v>250</v>
      </c>
      <c r="X57" s="159">
        <f t="shared" si="12"/>
        <v>32962.120000000003</v>
      </c>
      <c r="Y57" s="159">
        <f t="shared" si="7"/>
        <v>31449.599999999999</v>
      </c>
      <c r="Z57" s="8">
        <f t="shared" si="8"/>
        <v>929.87999999999988</v>
      </c>
      <c r="AA57" s="8">
        <f t="shared" si="9"/>
        <v>196.56</v>
      </c>
      <c r="AB57" s="8">
        <f t="shared" si="10"/>
        <v>136.07999999999998</v>
      </c>
      <c r="AC57" s="24">
        <f t="shared" si="11"/>
        <v>32712.120000000003</v>
      </c>
      <c r="AD57" s="131"/>
      <c r="AE57" t="s">
        <v>341</v>
      </c>
      <c r="AG57" s="1">
        <v>834.83</v>
      </c>
      <c r="AH57" s="1"/>
      <c r="AI57" s="1">
        <v>25.91</v>
      </c>
      <c r="AJ57" s="1"/>
      <c r="AK57" s="1">
        <f t="shared" si="2"/>
        <v>860.74</v>
      </c>
      <c r="AL57" s="1" t="s">
        <v>345</v>
      </c>
      <c r="AM57" s="1">
        <v>19.3</v>
      </c>
      <c r="AN57" s="1"/>
      <c r="AO57" s="1"/>
      <c r="AP57" s="35">
        <f t="shared" si="3"/>
        <v>19.3</v>
      </c>
      <c r="AR57">
        <v>0.21</v>
      </c>
      <c r="AS57" s="35">
        <f t="shared" si="4"/>
        <v>180.75540000000001</v>
      </c>
      <c r="AU57">
        <v>0.6</v>
      </c>
      <c r="AV57" s="35">
        <f t="shared" si="5"/>
        <v>11.58</v>
      </c>
    </row>
    <row r="58" spans="12:48" x14ac:dyDescent="0.4">
      <c r="L58" s="118"/>
      <c r="M58" s="121" t="s">
        <v>348</v>
      </c>
      <c r="N58" s="131">
        <v>37858</v>
      </c>
      <c r="O58" s="131"/>
      <c r="P58" s="34">
        <v>30</v>
      </c>
      <c r="Q58" s="132">
        <v>2167</v>
      </c>
      <c r="R58" s="176">
        <v>28.5</v>
      </c>
      <c r="S58" s="132">
        <v>15</v>
      </c>
      <c r="T58" s="132">
        <v>20</v>
      </c>
      <c r="U58" s="204">
        <v>25.65</v>
      </c>
      <c r="V58" s="159">
        <f t="shared" si="6"/>
        <v>57834.337499999994</v>
      </c>
      <c r="W58" s="122">
        <v>250</v>
      </c>
      <c r="X58" s="159">
        <f t="shared" si="12"/>
        <v>58084.337499999994</v>
      </c>
      <c r="Y58" s="159">
        <f t="shared" si="7"/>
        <v>55583.549999999996</v>
      </c>
      <c r="Z58" s="8">
        <f t="shared" si="8"/>
        <v>1096.5374999999999</v>
      </c>
      <c r="AA58" s="8">
        <f t="shared" si="9"/>
        <v>384.75</v>
      </c>
      <c r="AB58" s="8">
        <f t="shared" si="10"/>
        <v>769.49999999999989</v>
      </c>
      <c r="AC58" s="24">
        <f t="shared" si="11"/>
        <v>57834.337499999994</v>
      </c>
      <c r="AD58" s="131"/>
      <c r="AE58" t="s">
        <v>349</v>
      </c>
      <c r="AG58" s="1">
        <v>1470.38</v>
      </c>
      <c r="AH58" s="1"/>
      <c r="AI58" s="1">
        <v>165.04</v>
      </c>
      <c r="AJ58" s="1"/>
      <c r="AK58" s="1">
        <f t="shared" si="2"/>
        <v>1635.42</v>
      </c>
      <c r="AL58" s="1" t="s">
        <v>354</v>
      </c>
      <c r="AM58" s="1">
        <v>15.9</v>
      </c>
      <c r="AN58" s="1"/>
      <c r="AO58" s="1">
        <v>27.7</v>
      </c>
      <c r="AP58" s="35">
        <f t="shared" si="3"/>
        <v>43.6</v>
      </c>
      <c r="AR58">
        <v>0.33</v>
      </c>
      <c r="AS58" s="35">
        <f t="shared" si="4"/>
        <v>539.68860000000006</v>
      </c>
      <c r="AU58">
        <v>0.6</v>
      </c>
      <c r="AV58" s="35">
        <f t="shared" si="5"/>
        <v>26.16</v>
      </c>
    </row>
    <row r="59" spans="12:48" x14ac:dyDescent="0.4">
      <c r="L59" s="121"/>
      <c r="M59" s="121" t="s">
        <v>355</v>
      </c>
      <c r="N59" s="131">
        <v>45453</v>
      </c>
      <c r="O59" s="131"/>
      <c r="P59" s="34">
        <v>161</v>
      </c>
      <c r="Q59" s="132">
        <v>2080</v>
      </c>
      <c r="R59" s="176">
        <v>36.5</v>
      </c>
      <c r="S59" s="132"/>
      <c r="T59" s="132">
        <v>3</v>
      </c>
      <c r="U59" s="207">
        <v>15</v>
      </c>
      <c r="V59" s="159">
        <f t="shared" si="6"/>
        <v>32088.75</v>
      </c>
      <c r="W59" s="123">
        <v>250</v>
      </c>
      <c r="X59" s="159">
        <f t="shared" si="12"/>
        <v>32338.75</v>
      </c>
      <c r="Y59" s="159">
        <f t="shared" si="7"/>
        <v>31200</v>
      </c>
      <c r="Z59" s="8">
        <f t="shared" si="8"/>
        <v>821.25</v>
      </c>
      <c r="AA59" s="8">
        <f t="shared" si="9"/>
        <v>0</v>
      </c>
      <c r="AB59" s="8">
        <f t="shared" si="10"/>
        <v>67.5</v>
      </c>
      <c r="AC59" s="24">
        <f t="shared" si="11"/>
        <v>32088.75</v>
      </c>
      <c r="AD59" s="131"/>
      <c r="AE59" t="s">
        <v>353</v>
      </c>
      <c r="AG59" s="63">
        <v>0</v>
      </c>
      <c r="AH59" s="63"/>
      <c r="AI59" s="63">
        <v>0</v>
      </c>
      <c r="AJ59" s="63"/>
      <c r="AK59" s="1">
        <f t="shared" si="2"/>
        <v>0</v>
      </c>
      <c r="AL59" s="63" t="s">
        <v>353</v>
      </c>
      <c r="AM59" s="63"/>
      <c r="AN59" s="63"/>
      <c r="AO59" s="63"/>
      <c r="AP59" s="35">
        <f t="shared" si="3"/>
        <v>0</v>
      </c>
      <c r="AS59" s="35">
        <f t="shared" si="4"/>
        <v>0</v>
      </c>
      <c r="AU59">
        <v>0.6</v>
      </c>
      <c r="AV59" s="35">
        <f t="shared" si="5"/>
        <v>0</v>
      </c>
    </row>
    <row r="60" spans="12:48" x14ac:dyDescent="0.4">
      <c r="L60" s="121"/>
      <c r="M60" s="121" t="s">
        <v>351</v>
      </c>
      <c r="N60" s="131">
        <v>44900</v>
      </c>
      <c r="O60" s="131"/>
      <c r="P60" s="34">
        <v>139</v>
      </c>
      <c r="Q60" s="132">
        <v>2080</v>
      </c>
      <c r="R60" s="176">
        <v>126.5</v>
      </c>
      <c r="S60" s="132">
        <v>11</v>
      </c>
      <c r="T60" s="132">
        <v>19</v>
      </c>
      <c r="U60" s="204">
        <v>20.6</v>
      </c>
      <c r="V60" s="159">
        <f t="shared" si="6"/>
        <v>47570.549999999996</v>
      </c>
      <c r="W60" s="122">
        <v>250</v>
      </c>
      <c r="X60" s="159">
        <f t="shared" si="12"/>
        <v>47820.549999999996</v>
      </c>
      <c r="Y60" s="159">
        <f t="shared" si="7"/>
        <v>42848</v>
      </c>
      <c r="Z60" s="8">
        <f t="shared" si="8"/>
        <v>3908.8500000000004</v>
      </c>
      <c r="AA60" s="8">
        <f t="shared" si="9"/>
        <v>226.60000000000002</v>
      </c>
      <c r="AB60" s="8">
        <f t="shared" si="10"/>
        <v>587.1</v>
      </c>
      <c r="AC60" s="24">
        <f t="shared" si="11"/>
        <v>47570.549999999996</v>
      </c>
      <c r="AD60" s="131"/>
      <c r="AE60" t="s">
        <v>343</v>
      </c>
      <c r="AG60" s="1">
        <v>2367.96</v>
      </c>
      <c r="AH60" s="1"/>
      <c r="AI60" s="1">
        <v>386.43</v>
      </c>
      <c r="AJ60" s="1"/>
      <c r="AK60" s="1">
        <f t="shared" si="2"/>
        <v>2754.39</v>
      </c>
      <c r="AL60" s="1" t="s">
        <v>356</v>
      </c>
      <c r="AM60" s="1">
        <v>25.68</v>
      </c>
      <c r="AN60" s="1"/>
      <c r="AO60" s="1">
        <v>56</v>
      </c>
      <c r="AP60" s="35">
        <f t="shared" si="3"/>
        <v>81.680000000000007</v>
      </c>
      <c r="AR60">
        <v>0.33</v>
      </c>
      <c r="AS60" s="35">
        <f t="shared" si="4"/>
        <v>908.94870000000003</v>
      </c>
      <c r="AU60">
        <v>0.6</v>
      </c>
      <c r="AV60" s="35">
        <f t="shared" si="5"/>
        <v>49.008000000000003</v>
      </c>
    </row>
    <row r="61" spans="12:48" x14ac:dyDescent="0.4">
      <c r="L61" s="118"/>
      <c r="M61" s="121" t="s">
        <v>357</v>
      </c>
      <c r="N61" s="131">
        <v>43136</v>
      </c>
      <c r="O61" s="131"/>
      <c r="P61" s="34">
        <v>84</v>
      </c>
      <c r="Q61" s="132">
        <v>2080</v>
      </c>
      <c r="R61" s="176">
        <v>25.5</v>
      </c>
      <c r="S61" s="132">
        <v>10</v>
      </c>
      <c r="T61" s="132">
        <v>4</v>
      </c>
      <c r="U61" s="204">
        <v>23.52</v>
      </c>
      <c r="V61" s="159">
        <f t="shared" si="6"/>
        <v>50197.56</v>
      </c>
      <c r="W61" s="122">
        <v>250</v>
      </c>
      <c r="X61" s="159">
        <f t="shared" si="12"/>
        <v>50447.56</v>
      </c>
      <c r="Y61" s="159">
        <f t="shared" si="7"/>
        <v>48921.599999999999</v>
      </c>
      <c r="Z61" s="8">
        <f t="shared" si="8"/>
        <v>899.64</v>
      </c>
      <c r="AA61" s="8">
        <f t="shared" si="9"/>
        <v>235.2</v>
      </c>
      <c r="AB61" s="8">
        <f t="shared" si="10"/>
        <v>141.12</v>
      </c>
      <c r="AC61" s="24">
        <f t="shared" si="11"/>
        <v>50197.56</v>
      </c>
      <c r="AD61" s="131"/>
      <c r="AE61" t="s">
        <v>343</v>
      </c>
      <c r="AG61" s="1">
        <v>2367.96</v>
      </c>
      <c r="AH61" s="1"/>
      <c r="AI61" s="1">
        <v>386.43</v>
      </c>
      <c r="AJ61" s="1"/>
      <c r="AK61" s="1">
        <f t="shared" si="2"/>
        <v>2754.39</v>
      </c>
      <c r="AL61" s="1" t="s">
        <v>358</v>
      </c>
      <c r="AM61" s="1">
        <v>25.68</v>
      </c>
      <c r="AN61" s="1"/>
      <c r="AO61" s="1">
        <v>56</v>
      </c>
      <c r="AP61" s="35">
        <f t="shared" si="3"/>
        <v>81.680000000000007</v>
      </c>
      <c r="AR61">
        <v>0.33</v>
      </c>
      <c r="AS61" s="35">
        <f t="shared" si="4"/>
        <v>908.94870000000003</v>
      </c>
      <c r="AU61">
        <v>0.6</v>
      </c>
      <c r="AV61" s="35">
        <f t="shared" si="5"/>
        <v>49.008000000000003</v>
      </c>
    </row>
    <row r="62" spans="12:48" x14ac:dyDescent="0.4">
      <c r="L62" s="121"/>
      <c r="M62" s="121" t="s">
        <v>351</v>
      </c>
      <c r="N62" s="131">
        <v>44188</v>
      </c>
      <c r="O62" s="131"/>
      <c r="P62" s="34">
        <v>116</v>
      </c>
      <c r="Q62" s="132">
        <v>2080</v>
      </c>
      <c r="R62" s="176">
        <v>217</v>
      </c>
      <c r="S62" s="132">
        <v>17.5</v>
      </c>
      <c r="T62" s="132">
        <v>32</v>
      </c>
      <c r="U62" s="204">
        <v>20.6</v>
      </c>
      <c r="V62" s="159">
        <f t="shared" si="6"/>
        <v>50902.600000000006</v>
      </c>
      <c r="W62" s="122">
        <v>250</v>
      </c>
      <c r="X62" s="159">
        <f t="shared" si="12"/>
        <v>51152.600000000006</v>
      </c>
      <c r="Y62" s="159">
        <f t="shared" si="7"/>
        <v>42848</v>
      </c>
      <c r="Z62" s="8">
        <f t="shared" si="8"/>
        <v>6705.3000000000011</v>
      </c>
      <c r="AA62" s="8">
        <f t="shared" si="9"/>
        <v>360.5</v>
      </c>
      <c r="AB62" s="8">
        <f t="shared" si="10"/>
        <v>988.80000000000007</v>
      </c>
      <c r="AC62" s="24">
        <f t="shared" si="11"/>
        <v>50902.600000000006</v>
      </c>
      <c r="AD62" s="131"/>
      <c r="AE62" t="s">
        <v>345</v>
      </c>
      <c r="AG62" s="1">
        <v>828.85</v>
      </c>
      <c r="AH62" s="1"/>
      <c r="AI62" s="1"/>
      <c r="AJ62" s="1"/>
      <c r="AK62" s="1">
        <f t="shared" si="2"/>
        <v>828.85</v>
      </c>
      <c r="AL62" s="1" t="s">
        <v>345</v>
      </c>
      <c r="AM62" s="1">
        <v>19.3</v>
      </c>
      <c r="AN62" s="1"/>
      <c r="AO62" s="1"/>
      <c r="AP62" s="35">
        <f t="shared" si="3"/>
        <v>19.3</v>
      </c>
      <c r="AR62">
        <v>0.21</v>
      </c>
      <c r="AS62" s="35">
        <f t="shared" si="4"/>
        <v>174.05850000000001</v>
      </c>
      <c r="AU62">
        <v>0.6</v>
      </c>
      <c r="AV62" s="35">
        <f t="shared" si="5"/>
        <v>11.58</v>
      </c>
    </row>
    <row r="63" spans="12:48" x14ac:dyDescent="0.4">
      <c r="L63" s="121"/>
      <c r="M63" s="121" t="s">
        <v>352</v>
      </c>
      <c r="N63" s="131">
        <v>45340</v>
      </c>
      <c r="O63" s="131"/>
      <c r="P63" s="34">
        <v>156</v>
      </c>
      <c r="Q63" s="132">
        <v>2080</v>
      </c>
      <c r="R63" s="176">
        <v>216.5</v>
      </c>
      <c r="S63" s="132">
        <v>11</v>
      </c>
      <c r="T63" s="132">
        <v>25</v>
      </c>
      <c r="U63" s="204">
        <v>15.12</v>
      </c>
      <c r="V63" s="159">
        <f t="shared" si="6"/>
        <v>37093.14</v>
      </c>
      <c r="W63" s="122">
        <v>208.4</v>
      </c>
      <c r="X63" s="159">
        <f t="shared" si="12"/>
        <v>37301.54</v>
      </c>
      <c r="Y63" s="159">
        <f t="shared" si="7"/>
        <v>31449.599999999999</v>
      </c>
      <c r="Z63" s="8">
        <f t="shared" si="8"/>
        <v>4910.22</v>
      </c>
      <c r="AA63" s="8">
        <f t="shared" si="9"/>
        <v>166.32</v>
      </c>
      <c r="AB63" s="8">
        <f t="shared" si="10"/>
        <v>567</v>
      </c>
      <c r="AC63" s="24">
        <f t="shared" si="11"/>
        <v>37093.14</v>
      </c>
      <c r="AD63" s="131"/>
      <c r="AE63" t="s">
        <v>353</v>
      </c>
      <c r="AG63" s="1"/>
      <c r="AH63" s="1"/>
      <c r="AI63" s="1"/>
      <c r="AJ63" s="1"/>
      <c r="AK63" s="1">
        <f t="shared" si="2"/>
        <v>0</v>
      </c>
      <c r="AL63" s="1" t="s">
        <v>353</v>
      </c>
      <c r="AM63" s="1"/>
      <c r="AN63" s="1"/>
      <c r="AO63" s="1"/>
      <c r="AP63" s="35">
        <f t="shared" si="3"/>
        <v>0</v>
      </c>
      <c r="AS63" s="35">
        <f t="shared" si="4"/>
        <v>0</v>
      </c>
      <c r="AU63">
        <v>0.6</v>
      </c>
      <c r="AV63" s="35">
        <f t="shared" si="5"/>
        <v>0</v>
      </c>
    </row>
    <row r="64" spans="12:48" x14ac:dyDescent="0.4">
      <c r="L64" s="118"/>
      <c r="M64" s="121" t="s">
        <v>359</v>
      </c>
      <c r="N64" s="131">
        <v>34790</v>
      </c>
      <c r="O64" s="131"/>
      <c r="P64" s="34">
        <v>35</v>
      </c>
      <c r="Q64" s="132">
        <v>2080</v>
      </c>
      <c r="R64" s="176">
        <v>11.5</v>
      </c>
      <c r="S64" s="132">
        <v>7.5</v>
      </c>
      <c r="T64" s="132"/>
      <c r="U64" s="204">
        <v>29.78</v>
      </c>
      <c r="V64" s="159">
        <f t="shared" si="6"/>
        <v>62679.455000000002</v>
      </c>
      <c r="W64" s="122">
        <v>250</v>
      </c>
      <c r="X64" s="159">
        <f t="shared" si="12"/>
        <v>62929.455000000002</v>
      </c>
      <c r="Y64" s="159">
        <f t="shared" si="7"/>
        <v>61942.400000000001</v>
      </c>
      <c r="Z64" s="8">
        <f t="shared" si="8"/>
        <v>513.70500000000004</v>
      </c>
      <c r="AA64" s="8">
        <f t="shared" si="9"/>
        <v>223.35000000000002</v>
      </c>
      <c r="AB64" s="8">
        <f t="shared" si="10"/>
        <v>0</v>
      </c>
      <c r="AC64" s="24">
        <f t="shared" si="11"/>
        <v>62679.455000000002</v>
      </c>
      <c r="AD64" s="131"/>
      <c r="AE64" t="s">
        <v>360</v>
      </c>
      <c r="AG64" s="1">
        <v>1658.9</v>
      </c>
      <c r="AH64" s="1"/>
      <c r="AI64" s="1">
        <v>234.74</v>
      </c>
      <c r="AJ64" s="1"/>
      <c r="AK64" s="1">
        <f t="shared" si="2"/>
        <v>1893.64</v>
      </c>
      <c r="AL64" s="1" t="s">
        <v>361</v>
      </c>
      <c r="AM64" s="1">
        <v>23.63</v>
      </c>
      <c r="AN64" s="1"/>
      <c r="AO64" s="1">
        <v>15.28</v>
      </c>
      <c r="AP64" s="35">
        <f t="shared" si="3"/>
        <v>38.909999999999997</v>
      </c>
      <c r="AR64">
        <v>0.33</v>
      </c>
      <c r="AS64" s="35">
        <f t="shared" si="4"/>
        <v>624.90120000000002</v>
      </c>
      <c r="AU64">
        <v>0.6</v>
      </c>
      <c r="AV64" s="35">
        <f t="shared" si="5"/>
        <v>23.345999999999997</v>
      </c>
    </row>
    <row r="65" spans="12:48" x14ac:dyDescent="0.4">
      <c r="L65" s="121"/>
      <c r="M65" s="121" t="s">
        <v>351</v>
      </c>
      <c r="N65" s="131">
        <v>44515</v>
      </c>
      <c r="O65" s="131"/>
      <c r="P65" s="34">
        <v>127</v>
      </c>
      <c r="Q65" s="132">
        <v>2080</v>
      </c>
      <c r="R65" s="176">
        <v>45</v>
      </c>
      <c r="S65" s="132">
        <v>5</v>
      </c>
      <c r="T65" s="132">
        <v>8.5</v>
      </c>
      <c r="U65" s="204">
        <v>21.63</v>
      </c>
      <c r="V65" s="159">
        <f t="shared" si="6"/>
        <v>46834.357500000006</v>
      </c>
      <c r="W65" s="122">
        <v>250</v>
      </c>
      <c r="X65" s="159">
        <f t="shared" si="12"/>
        <v>47084.357500000006</v>
      </c>
      <c r="Y65" s="159">
        <f t="shared" si="7"/>
        <v>44990.400000000001</v>
      </c>
      <c r="Z65" s="8">
        <f t="shared" si="8"/>
        <v>1460.0249999999999</v>
      </c>
      <c r="AA65" s="8">
        <f t="shared" si="9"/>
        <v>108.14999999999999</v>
      </c>
      <c r="AB65" s="8">
        <f t="shared" si="10"/>
        <v>275.78250000000003</v>
      </c>
      <c r="AC65" s="24">
        <f t="shared" si="11"/>
        <v>46834.357500000006</v>
      </c>
      <c r="AD65" s="131"/>
      <c r="AE65" t="s">
        <v>345</v>
      </c>
      <c r="AG65" s="1">
        <v>828.85</v>
      </c>
      <c r="AH65" s="1"/>
      <c r="AI65" s="1"/>
      <c r="AJ65" s="1"/>
      <c r="AK65" s="1">
        <f t="shared" si="2"/>
        <v>828.85</v>
      </c>
      <c r="AL65" s="1" t="s">
        <v>341</v>
      </c>
      <c r="AM65" s="1">
        <v>19.3</v>
      </c>
      <c r="AN65" s="1"/>
      <c r="AO65" s="1">
        <v>2.82</v>
      </c>
      <c r="AP65" s="35">
        <f t="shared" si="3"/>
        <v>22.12</v>
      </c>
      <c r="AR65">
        <v>0.21</v>
      </c>
      <c r="AS65" s="35">
        <f t="shared" si="4"/>
        <v>174.05850000000001</v>
      </c>
      <c r="AU65">
        <v>0.6</v>
      </c>
      <c r="AV65" s="35">
        <f t="shared" si="5"/>
        <v>13.272</v>
      </c>
    </row>
    <row r="66" spans="12:48" x14ac:dyDescent="0.4">
      <c r="L66" s="121"/>
      <c r="M66" s="121" t="s">
        <v>351</v>
      </c>
      <c r="N66" s="131">
        <v>39296</v>
      </c>
      <c r="O66" s="131"/>
      <c r="P66" s="34">
        <v>14</v>
      </c>
      <c r="Q66" s="132">
        <v>2080</v>
      </c>
      <c r="R66" s="176">
        <v>53.5</v>
      </c>
      <c r="S66" s="132">
        <v>30</v>
      </c>
      <c r="T66" s="132">
        <v>32</v>
      </c>
      <c r="U66" s="204">
        <v>21.63</v>
      </c>
      <c r="V66" s="159">
        <f t="shared" si="6"/>
        <v>48413.347500000003</v>
      </c>
      <c r="W66" s="122">
        <v>250</v>
      </c>
      <c r="X66" s="159">
        <f t="shared" si="12"/>
        <v>48663.347500000003</v>
      </c>
      <c r="Y66" s="159">
        <f t="shared" si="7"/>
        <v>44990.400000000001</v>
      </c>
      <c r="Z66" s="8">
        <f t="shared" si="8"/>
        <v>1735.8074999999999</v>
      </c>
      <c r="AA66" s="8">
        <f t="shared" si="9"/>
        <v>648.9</v>
      </c>
      <c r="AB66" s="8">
        <f>T66*(U66*1.5)</f>
        <v>1038.24</v>
      </c>
      <c r="AC66" s="24">
        <f t="shared" si="11"/>
        <v>48413.347500000003</v>
      </c>
      <c r="AD66" s="131"/>
      <c r="AE66" t="s">
        <v>360</v>
      </c>
      <c r="AG66" s="1">
        <v>1658.9</v>
      </c>
      <c r="AH66" s="1"/>
      <c r="AI66" s="1">
        <v>234.74</v>
      </c>
      <c r="AJ66" s="1"/>
      <c r="AK66" s="1">
        <f t="shared" si="2"/>
        <v>1893.64</v>
      </c>
      <c r="AL66" s="1" t="s">
        <v>356</v>
      </c>
      <c r="AM66" s="1">
        <v>25.68</v>
      </c>
      <c r="AN66" s="1"/>
      <c r="AO66" s="1">
        <v>56</v>
      </c>
      <c r="AP66" s="35">
        <f t="shared" si="3"/>
        <v>81.680000000000007</v>
      </c>
      <c r="AR66">
        <v>0.33</v>
      </c>
      <c r="AS66" s="35">
        <f t="shared" si="4"/>
        <v>624.90120000000002</v>
      </c>
      <c r="AU66">
        <v>0.6</v>
      </c>
      <c r="AV66" s="35">
        <f t="shared" si="5"/>
        <v>49.008000000000003</v>
      </c>
    </row>
    <row r="67" spans="12:48" x14ac:dyDescent="0.4">
      <c r="L67" s="121"/>
      <c r="M67" s="121" t="s">
        <v>376</v>
      </c>
      <c r="N67" s="131">
        <v>45583</v>
      </c>
      <c r="O67" s="131"/>
      <c r="P67" s="34">
        <v>166</v>
      </c>
      <c r="Q67" s="132">
        <v>2080</v>
      </c>
      <c r="R67" s="176">
        <v>22</v>
      </c>
      <c r="S67" s="132">
        <v>3.5</v>
      </c>
      <c r="T67" s="132"/>
      <c r="U67" s="204">
        <v>14.49</v>
      </c>
      <c r="V67" s="159">
        <f t="shared" si="6"/>
        <v>30668.084999999999</v>
      </c>
      <c r="W67" s="123">
        <v>250</v>
      </c>
      <c r="X67" s="159">
        <f t="shared" si="12"/>
        <v>30918.084999999999</v>
      </c>
      <c r="Y67" s="159">
        <f t="shared" si="7"/>
        <v>30139.200000000001</v>
      </c>
      <c r="Z67" s="8">
        <f t="shared" si="8"/>
        <v>478.17000000000007</v>
      </c>
      <c r="AA67" s="8">
        <f t="shared" si="9"/>
        <v>50.715000000000003</v>
      </c>
      <c r="AB67" s="8">
        <f t="shared" si="10"/>
        <v>0</v>
      </c>
      <c r="AC67" s="24">
        <f t="shared" si="11"/>
        <v>30668.085000000003</v>
      </c>
      <c r="AD67" s="131"/>
      <c r="AE67" t="s">
        <v>341</v>
      </c>
      <c r="AG67" s="63">
        <v>834.83</v>
      </c>
      <c r="AH67" s="63"/>
      <c r="AI67" s="63">
        <v>25.91</v>
      </c>
      <c r="AJ67" s="63"/>
      <c r="AK67" s="1">
        <f t="shared" si="2"/>
        <v>860.74</v>
      </c>
      <c r="AL67" s="63" t="s">
        <v>341</v>
      </c>
      <c r="AM67" s="63">
        <v>19.3</v>
      </c>
      <c r="AN67" s="63"/>
      <c r="AO67" s="63">
        <v>2.82</v>
      </c>
      <c r="AP67" s="35">
        <f t="shared" si="3"/>
        <v>22.12</v>
      </c>
      <c r="AR67">
        <v>0.21</v>
      </c>
      <c r="AS67" s="35">
        <f t="shared" si="4"/>
        <v>180.75540000000001</v>
      </c>
      <c r="AU67">
        <v>0.6</v>
      </c>
      <c r="AV67" s="35">
        <f t="shared" si="5"/>
        <v>13.272</v>
      </c>
    </row>
    <row r="68" spans="12:48" s="140" customFormat="1" x14ac:dyDescent="0.4">
      <c r="L68" s="128"/>
      <c r="M68" s="128"/>
      <c r="N68" s="137"/>
      <c r="O68" s="137"/>
      <c r="P68" s="127"/>
      <c r="Q68" s="138"/>
      <c r="R68" s="178"/>
      <c r="S68" s="138"/>
      <c r="T68" s="138"/>
      <c r="U68" s="208"/>
      <c r="V68" s="159"/>
      <c r="W68" s="124"/>
      <c r="X68" s="159"/>
      <c r="Y68" s="159"/>
      <c r="Z68" s="8"/>
      <c r="AA68" s="8"/>
      <c r="AB68" s="8"/>
      <c r="AC68" s="24"/>
      <c r="AD68" s="137"/>
      <c r="AG68" s="182"/>
      <c r="AH68" s="182"/>
      <c r="AI68" s="182"/>
      <c r="AJ68" s="182"/>
      <c r="AK68" s="1">
        <f t="shared" si="2"/>
        <v>0</v>
      </c>
      <c r="AL68" s="182"/>
      <c r="AM68" s="182"/>
      <c r="AN68" s="182"/>
      <c r="AO68" s="182"/>
      <c r="AP68" s="35">
        <f t="shared" si="3"/>
        <v>0</v>
      </c>
      <c r="AS68" s="35">
        <f t="shared" si="4"/>
        <v>0</v>
      </c>
      <c r="AU68">
        <v>0.6</v>
      </c>
      <c r="AV68" s="35">
        <f t="shared" si="5"/>
        <v>0</v>
      </c>
    </row>
    <row r="69" spans="12:48" x14ac:dyDescent="0.4">
      <c r="M69" s="118"/>
      <c r="N69" s="131"/>
      <c r="O69" s="131"/>
      <c r="P69" s="121" t="s">
        <v>362</v>
      </c>
      <c r="Q69" s="141"/>
      <c r="R69" s="179"/>
      <c r="S69" s="141"/>
      <c r="T69" s="141"/>
      <c r="U69" s="200"/>
      <c r="V69" s="159"/>
      <c r="W69" s="122"/>
      <c r="X69" s="159"/>
      <c r="Y69" s="159"/>
      <c r="AD69" s="131"/>
      <c r="AG69" s="1"/>
      <c r="AH69" s="1"/>
      <c r="AI69" s="1"/>
      <c r="AJ69" s="1"/>
      <c r="AK69" s="1">
        <f t="shared" si="2"/>
        <v>0</v>
      </c>
      <c r="AL69" s="1"/>
      <c r="AM69" s="1"/>
      <c r="AN69" s="1"/>
      <c r="AO69" s="1"/>
      <c r="AP69" s="35">
        <f t="shared" si="3"/>
        <v>0</v>
      </c>
      <c r="AS69" s="35">
        <f t="shared" si="4"/>
        <v>0</v>
      </c>
      <c r="AU69">
        <v>0.6</v>
      </c>
      <c r="AV69" s="35">
        <f t="shared" si="5"/>
        <v>0</v>
      </c>
    </row>
    <row r="70" spans="12:48" x14ac:dyDescent="0.4">
      <c r="L70" s="121"/>
      <c r="M70" s="121" t="s">
        <v>363</v>
      </c>
      <c r="N70" s="131">
        <v>36529</v>
      </c>
      <c r="O70" s="131"/>
      <c r="P70" s="34">
        <v>19</v>
      </c>
      <c r="Q70" s="132">
        <v>2080</v>
      </c>
      <c r="R70" s="176">
        <v>134</v>
      </c>
      <c r="S70" s="132"/>
      <c r="T70" s="132"/>
      <c r="U70" s="204">
        <v>19.809999999999999</v>
      </c>
      <c r="V70" s="159">
        <f t="shared" si="6"/>
        <v>45186.609999999993</v>
      </c>
      <c r="W70" s="122">
        <v>250</v>
      </c>
      <c r="X70" s="159">
        <f t="shared" si="12"/>
        <v>45436.609999999993</v>
      </c>
      <c r="Y70" s="159">
        <f t="shared" si="7"/>
        <v>41204.799999999996</v>
      </c>
      <c r="Z70" s="8">
        <f t="shared" si="8"/>
        <v>3981.81</v>
      </c>
      <c r="AA70" s="8">
        <f t="shared" si="9"/>
        <v>0</v>
      </c>
      <c r="AB70" s="8">
        <f t="shared" si="10"/>
        <v>0</v>
      </c>
      <c r="AC70" s="24">
        <f t="shared" si="11"/>
        <v>45186.609999999993</v>
      </c>
      <c r="AD70" s="131"/>
      <c r="AE70" t="s">
        <v>360</v>
      </c>
      <c r="AG70" s="1">
        <v>1658.9</v>
      </c>
      <c r="AH70" s="1"/>
      <c r="AI70" s="1">
        <v>234.74</v>
      </c>
      <c r="AJ70" s="1"/>
      <c r="AK70" s="1">
        <f t="shared" si="2"/>
        <v>1893.64</v>
      </c>
      <c r="AL70" s="1" t="s">
        <v>361</v>
      </c>
      <c r="AM70" s="1">
        <v>23.63</v>
      </c>
      <c r="AN70" s="1"/>
      <c r="AO70" s="1">
        <v>20.6</v>
      </c>
      <c r="AP70" s="35">
        <f t="shared" si="3"/>
        <v>44.230000000000004</v>
      </c>
      <c r="AR70">
        <v>0.33</v>
      </c>
      <c r="AS70" s="35">
        <f t="shared" si="4"/>
        <v>624.90120000000002</v>
      </c>
      <c r="AU70">
        <v>0.6</v>
      </c>
      <c r="AV70" s="35">
        <f t="shared" si="5"/>
        <v>26.538</v>
      </c>
    </row>
    <row r="71" spans="12:48" x14ac:dyDescent="0.4">
      <c r="L71" s="121"/>
      <c r="M71" s="121" t="s">
        <v>364</v>
      </c>
      <c r="N71" s="131">
        <v>43304</v>
      </c>
      <c r="O71" s="131"/>
      <c r="P71" s="34">
        <v>91</v>
      </c>
      <c r="Q71" s="132">
        <v>2080</v>
      </c>
      <c r="R71" s="176">
        <v>111</v>
      </c>
      <c r="S71" s="132"/>
      <c r="T71" s="132"/>
      <c r="U71" s="204">
        <v>16.63</v>
      </c>
      <c r="V71" s="159">
        <f t="shared" si="6"/>
        <v>37359.294999999998</v>
      </c>
      <c r="W71" s="122">
        <v>250</v>
      </c>
      <c r="X71" s="159">
        <f t="shared" si="12"/>
        <v>37609.294999999998</v>
      </c>
      <c r="Y71" s="159">
        <f t="shared" si="7"/>
        <v>34590.400000000001</v>
      </c>
      <c r="Z71" s="8">
        <f t="shared" si="8"/>
        <v>2768.8949999999995</v>
      </c>
      <c r="AA71" s="8">
        <f t="shared" si="9"/>
        <v>0</v>
      </c>
      <c r="AB71" s="8">
        <f t="shared" si="10"/>
        <v>0</v>
      </c>
      <c r="AC71" s="24">
        <f t="shared" si="11"/>
        <v>37359.294999999998</v>
      </c>
      <c r="AD71" s="131"/>
      <c r="AE71" t="s">
        <v>353</v>
      </c>
      <c r="AG71" s="1"/>
      <c r="AH71" s="1"/>
      <c r="AI71" s="1"/>
      <c r="AJ71" s="1"/>
      <c r="AK71" s="1">
        <f t="shared" si="2"/>
        <v>0</v>
      </c>
      <c r="AL71" s="1" t="s">
        <v>353</v>
      </c>
      <c r="AM71" s="1"/>
      <c r="AN71" s="1"/>
      <c r="AO71" s="1"/>
      <c r="AP71" s="35">
        <f t="shared" si="3"/>
        <v>0</v>
      </c>
      <c r="AS71" s="35">
        <f t="shared" si="4"/>
        <v>0</v>
      </c>
      <c r="AU71">
        <v>0.6</v>
      </c>
      <c r="AV71" s="35">
        <f t="shared" si="5"/>
        <v>0</v>
      </c>
    </row>
    <row r="72" spans="12:48" x14ac:dyDescent="0.4">
      <c r="L72" s="121"/>
      <c r="M72" s="121"/>
      <c r="N72" s="131"/>
      <c r="O72" s="131"/>
      <c r="P72" s="34"/>
      <c r="Q72" s="132"/>
      <c r="R72" s="176"/>
      <c r="S72" s="132"/>
      <c r="T72" s="132"/>
      <c r="U72" s="204"/>
      <c r="V72" s="159"/>
      <c r="W72" s="122"/>
      <c r="X72" s="159"/>
      <c r="Y72" s="159"/>
      <c r="AD72" s="131"/>
      <c r="AG72" s="1"/>
      <c r="AH72" s="1"/>
      <c r="AI72" s="1"/>
      <c r="AJ72" s="1"/>
      <c r="AK72" s="1">
        <f t="shared" si="2"/>
        <v>0</v>
      </c>
      <c r="AL72" s="1"/>
      <c r="AM72" s="1"/>
      <c r="AN72" s="1"/>
      <c r="AO72" s="1"/>
      <c r="AP72" s="35">
        <f t="shared" si="3"/>
        <v>0</v>
      </c>
      <c r="AS72" s="35">
        <f t="shared" si="4"/>
        <v>0</v>
      </c>
      <c r="AU72">
        <v>0.6</v>
      </c>
      <c r="AV72" s="35">
        <f t="shared" si="5"/>
        <v>0</v>
      </c>
    </row>
    <row r="73" spans="12:48" x14ac:dyDescent="0.4">
      <c r="M73" s="118"/>
      <c r="N73" s="131"/>
      <c r="O73" s="131"/>
      <c r="P73" s="121" t="s">
        <v>420</v>
      </c>
      <c r="Q73" s="141"/>
      <c r="R73" s="179"/>
      <c r="S73" s="141"/>
      <c r="T73" s="141"/>
      <c r="U73" s="200"/>
      <c r="V73" s="159"/>
      <c r="W73" s="122"/>
      <c r="X73" s="159"/>
      <c r="Y73" s="159"/>
      <c r="AD73" s="131"/>
      <c r="AG73" s="1"/>
      <c r="AH73" s="1"/>
      <c r="AI73" s="1"/>
      <c r="AJ73" s="1"/>
      <c r="AK73" s="1">
        <f t="shared" si="2"/>
        <v>0</v>
      </c>
      <c r="AL73" s="1"/>
      <c r="AM73" s="1"/>
      <c r="AN73" s="1"/>
      <c r="AO73" s="1"/>
      <c r="AP73" s="35">
        <f t="shared" si="3"/>
        <v>0</v>
      </c>
      <c r="AS73" s="35">
        <f t="shared" si="4"/>
        <v>0</v>
      </c>
      <c r="AU73">
        <v>0.6</v>
      </c>
      <c r="AV73" s="35">
        <f t="shared" si="5"/>
        <v>0</v>
      </c>
    </row>
    <row r="74" spans="12:48" x14ac:dyDescent="0.4">
      <c r="L74" s="121"/>
      <c r="M74" s="121" t="s">
        <v>365</v>
      </c>
      <c r="N74" s="131">
        <v>43738</v>
      </c>
      <c r="O74" s="131"/>
      <c r="P74" s="34">
        <v>108</v>
      </c>
      <c r="Q74" s="132">
        <v>2080</v>
      </c>
      <c r="R74" s="176">
        <v>15</v>
      </c>
      <c r="S74" s="132">
        <v>100.5</v>
      </c>
      <c r="T74" s="132">
        <v>37.5</v>
      </c>
      <c r="U74" s="204">
        <v>18.63</v>
      </c>
      <c r="V74" s="159">
        <f t="shared" si="6"/>
        <v>42089.827500000007</v>
      </c>
      <c r="W74" s="122">
        <v>250</v>
      </c>
      <c r="X74" s="159">
        <f t="shared" si="12"/>
        <v>42339.827500000007</v>
      </c>
      <c r="Y74" s="159">
        <f t="shared" si="7"/>
        <v>38750.400000000001</v>
      </c>
      <c r="Z74" s="8">
        <f t="shared" si="8"/>
        <v>419.17499999999995</v>
      </c>
      <c r="AA74" s="8">
        <f t="shared" si="9"/>
        <v>1872.3149999999998</v>
      </c>
      <c r="AB74" s="8">
        <f t="shared" si="10"/>
        <v>1047.9375</v>
      </c>
      <c r="AC74" s="24">
        <f t="shared" si="11"/>
        <v>42089.827500000007</v>
      </c>
      <c r="AD74" s="131"/>
      <c r="AE74" t="s">
        <v>345</v>
      </c>
      <c r="AG74" s="1">
        <v>828.85</v>
      </c>
      <c r="AH74" s="1"/>
      <c r="AI74" s="1"/>
      <c r="AJ74" s="1"/>
      <c r="AK74" s="1">
        <f t="shared" si="2"/>
        <v>828.85</v>
      </c>
      <c r="AL74" s="1" t="s">
        <v>345</v>
      </c>
      <c r="AM74" s="1">
        <v>19.3</v>
      </c>
      <c r="AN74" s="1"/>
      <c r="AO74" s="1"/>
      <c r="AP74" s="35">
        <f t="shared" si="3"/>
        <v>19.3</v>
      </c>
      <c r="AR74">
        <v>0.21</v>
      </c>
      <c r="AS74" s="35">
        <f t="shared" si="4"/>
        <v>174.05850000000001</v>
      </c>
      <c r="AU74">
        <v>0.6</v>
      </c>
      <c r="AV74" s="35">
        <f t="shared" si="5"/>
        <v>11.58</v>
      </c>
    </row>
    <row r="75" spans="12:48" x14ac:dyDescent="0.4">
      <c r="L75" s="121"/>
      <c r="M75" s="121" t="s">
        <v>366</v>
      </c>
      <c r="N75" s="131">
        <v>44732</v>
      </c>
      <c r="O75" s="131"/>
      <c r="P75" s="34">
        <v>130</v>
      </c>
      <c r="Q75" s="132">
        <v>2080</v>
      </c>
      <c r="R75" s="176">
        <v>84.5</v>
      </c>
      <c r="S75" s="132">
        <v>13.5</v>
      </c>
      <c r="T75" s="132">
        <v>67.5</v>
      </c>
      <c r="U75" s="204">
        <v>18.63</v>
      </c>
      <c r="V75" s="159">
        <f t="shared" si="6"/>
        <v>43249.544999999998</v>
      </c>
      <c r="W75" s="122">
        <v>250</v>
      </c>
      <c r="X75" s="159">
        <f t="shared" si="12"/>
        <v>43499.544999999998</v>
      </c>
      <c r="Y75" s="159">
        <f t="shared" si="7"/>
        <v>38750.400000000001</v>
      </c>
      <c r="Z75" s="8">
        <f t="shared" si="8"/>
        <v>2361.3525</v>
      </c>
      <c r="AA75" s="8">
        <f t="shared" si="9"/>
        <v>251.505</v>
      </c>
      <c r="AB75" s="8">
        <f t="shared" si="10"/>
        <v>1886.2874999999999</v>
      </c>
      <c r="AC75" s="24">
        <f t="shared" si="11"/>
        <v>43249.544999999998</v>
      </c>
      <c r="AD75" s="131"/>
      <c r="AE75" t="s">
        <v>345</v>
      </c>
      <c r="AG75" s="1">
        <v>828.85</v>
      </c>
      <c r="AH75" s="1"/>
      <c r="AI75" s="1"/>
      <c r="AJ75" s="1"/>
      <c r="AK75" s="1">
        <f t="shared" si="2"/>
        <v>828.85</v>
      </c>
      <c r="AL75" s="1" t="s">
        <v>345</v>
      </c>
      <c r="AM75" s="1">
        <v>19.3</v>
      </c>
      <c r="AN75" s="1"/>
      <c r="AO75" s="1"/>
      <c r="AP75" s="35">
        <f t="shared" si="3"/>
        <v>19.3</v>
      </c>
      <c r="AR75">
        <v>0.21</v>
      </c>
      <c r="AS75" s="35">
        <f t="shared" si="4"/>
        <v>174.05850000000001</v>
      </c>
      <c r="AU75">
        <v>0.6</v>
      </c>
      <c r="AV75" s="35">
        <f t="shared" si="5"/>
        <v>11.58</v>
      </c>
    </row>
    <row r="76" spans="12:48" x14ac:dyDescent="0.4">
      <c r="L76" s="121"/>
      <c r="M76" s="121"/>
      <c r="N76" s="131"/>
      <c r="O76" s="131"/>
      <c r="P76" s="34"/>
      <c r="Q76" s="132"/>
      <c r="R76" s="176"/>
      <c r="S76" s="132"/>
      <c r="T76" s="132"/>
      <c r="U76" s="204"/>
      <c r="V76" s="159"/>
      <c r="W76" s="122"/>
      <c r="X76" s="159"/>
      <c r="Y76" s="159"/>
      <c r="AD76" s="131"/>
      <c r="AG76" s="1"/>
      <c r="AH76" s="1"/>
      <c r="AI76" s="1"/>
      <c r="AJ76" s="1"/>
      <c r="AK76" s="1">
        <f t="shared" si="2"/>
        <v>0</v>
      </c>
      <c r="AL76" s="1"/>
      <c r="AM76" s="1"/>
      <c r="AN76" s="1"/>
      <c r="AO76" s="1"/>
      <c r="AP76" s="35">
        <f t="shared" si="3"/>
        <v>0</v>
      </c>
      <c r="AS76" s="35">
        <f t="shared" si="4"/>
        <v>0</v>
      </c>
      <c r="AU76">
        <v>0.6</v>
      </c>
      <c r="AV76" s="35">
        <f t="shared" si="5"/>
        <v>0</v>
      </c>
    </row>
    <row r="77" spans="12:48" x14ac:dyDescent="0.4">
      <c r="M77" s="118"/>
      <c r="N77" s="131"/>
      <c r="O77" s="131"/>
      <c r="P77" s="121" t="s">
        <v>367</v>
      </c>
      <c r="Q77" s="141"/>
      <c r="R77" s="179"/>
      <c r="S77" s="141"/>
      <c r="T77" s="141"/>
      <c r="U77" s="200"/>
      <c r="V77" s="159"/>
      <c r="W77" s="122"/>
      <c r="X77" s="159"/>
      <c r="Y77" s="159"/>
      <c r="AD77" s="131"/>
      <c r="AG77" s="1"/>
      <c r="AH77" s="1"/>
      <c r="AI77" s="1"/>
      <c r="AJ77" s="1"/>
      <c r="AK77" s="1">
        <f t="shared" si="2"/>
        <v>0</v>
      </c>
      <c r="AL77" s="1"/>
      <c r="AM77" s="1"/>
      <c r="AN77" s="1"/>
      <c r="AO77" s="1"/>
      <c r="AP77" s="35">
        <f t="shared" si="3"/>
        <v>0</v>
      </c>
      <c r="AS77" s="35">
        <f t="shared" si="4"/>
        <v>0</v>
      </c>
      <c r="AU77">
        <v>0.6</v>
      </c>
      <c r="AV77" s="35">
        <f t="shared" si="5"/>
        <v>0</v>
      </c>
    </row>
    <row r="78" spans="12:48" x14ac:dyDescent="0.4">
      <c r="L78" s="118"/>
      <c r="M78" s="121" t="s">
        <v>368</v>
      </c>
      <c r="N78" s="131">
        <v>42870</v>
      </c>
      <c r="O78" s="131"/>
      <c r="P78" s="34">
        <v>76</v>
      </c>
      <c r="Q78" s="132">
        <v>2080</v>
      </c>
      <c r="R78" s="176">
        <v>13.5</v>
      </c>
      <c r="S78" s="132">
        <v>51.5</v>
      </c>
      <c r="T78" s="132">
        <v>8</v>
      </c>
      <c r="U78" s="204">
        <v>27.28</v>
      </c>
      <c r="V78" s="159">
        <f t="shared" si="6"/>
        <v>59027.1</v>
      </c>
      <c r="W78" s="122">
        <v>250</v>
      </c>
      <c r="X78" s="159">
        <f t="shared" si="12"/>
        <v>59277.1</v>
      </c>
      <c r="Y78" s="159">
        <f t="shared" si="7"/>
        <v>56742.400000000001</v>
      </c>
      <c r="Z78" s="8">
        <f t="shared" si="8"/>
        <v>552.42000000000007</v>
      </c>
      <c r="AA78" s="8">
        <f t="shared" si="9"/>
        <v>1404.92</v>
      </c>
      <c r="AB78" s="8">
        <f t="shared" si="10"/>
        <v>327.36</v>
      </c>
      <c r="AC78" s="24">
        <f t="shared" si="11"/>
        <v>59027.1</v>
      </c>
      <c r="AD78" s="131"/>
      <c r="AE78" t="s">
        <v>343</v>
      </c>
      <c r="AG78" s="1">
        <v>2367.96</v>
      </c>
      <c r="AH78" s="1"/>
      <c r="AI78" s="1">
        <v>386.43</v>
      </c>
      <c r="AJ78" s="1"/>
      <c r="AK78" s="1">
        <f t="shared" si="2"/>
        <v>2754.39</v>
      </c>
      <c r="AL78" s="1" t="s">
        <v>350</v>
      </c>
      <c r="AM78" s="1">
        <v>25.68</v>
      </c>
      <c r="AN78" s="1"/>
      <c r="AO78" s="1">
        <v>56</v>
      </c>
      <c r="AP78" s="35">
        <f t="shared" si="3"/>
        <v>81.680000000000007</v>
      </c>
      <c r="AR78">
        <v>0.33</v>
      </c>
      <c r="AS78" s="35">
        <f t="shared" si="4"/>
        <v>908.94870000000003</v>
      </c>
      <c r="AU78">
        <v>0.6</v>
      </c>
      <c r="AV78" s="35">
        <f t="shared" si="5"/>
        <v>49.008000000000003</v>
      </c>
    </row>
    <row r="79" spans="12:48" x14ac:dyDescent="0.4">
      <c r="L79" s="128"/>
      <c r="M79" s="121" t="s">
        <v>365</v>
      </c>
      <c r="N79" s="131">
        <v>45250</v>
      </c>
      <c r="O79" s="131"/>
      <c r="P79" s="34">
        <v>153</v>
      </c>
      <c r="Q79" s="132">
        <v>2080</v>
      </c>
      <c r="R79" s="176">
        <v>56</v>
      </c>
      <c r="S79" s="132">
        <v>112</v>
      </c>
      <c r="T79" s="132">
        <v>82.5</v>
      </c>
      <c r="U79" s="204">
        <v>15.53</v>
      </c>
      <c r="V79" s="159">
        <f t="shared" si="6"/>
        <v>37268.117499999993</v>
      </c>
      <c r="W79" s="122">
        <v>250</v>
      </c>
      <c r="X79" s="159">
        <f t="shared" si="12"/>
        <v>37518.117499999993</v>
      </c>
      <c r="Y79" s="159">
        <f t="shared" si="7"/>
        <v>32302.399999999998</v>
      </c>
      <c r="Z79" s="8">
        <f t="shared" si="8"/>
        <v>1304.52</v>
      </c>
      <c r="AA79" s="8">
        <f t="shared" si="9"/>
        <v>1739.36</v>
      </c>
      <c r="AB79" s="8">
        <f t="shared" si="10"/>
        <v>1921.8374999999999</v>
      </c>
      <c r="AC79" s="24">
        <f t="shared" si="11"/>
        <v>37268.1175</v>
      </c>
      <c r="AD79" s="131"/>
      <c r="AE79" t="s">
        <v>345</v>
      </c>
      <c r="AG79" s="1">
        <v>828.85</v>
      </c>
      <c r="AH79" s="1"/>
      <c r="AI79" s="1"/>
      <c r="AJ79" s="1"/>
      <c r="AK79" s="1">
        <f t="shared" si="2"/>
        <v>828.85</v>
      </c>
      <c r="AL79" s="1" t="s">
        <v>345</v>
      </c>
      <c r="AM79" s="1">
        <v>19.3</v>
      </c>
      <c r="AN79" s="1"/>
      <c r="AO79" s="1"/>
      <c r="AP79" s="35">
        <f t="shared" si="3"/>
        <v>19.3</v>
      </c>
      <c r="AR79">
        <v>0.21</v>
      </c>
      <c r="AS79" s="35">
        <f t="shared" si="4"/>
        <v>174.05850000000001</v>
      </c>
      <c r="AU79">
        <v>0.6</v>
      </c>
      <c r="AV79" s="35">
        <f t="shared" si="5"/>
        <v>11.58</v>
      </c>
    </row>
    <row r="80" spans="12:48" x14ac:dyDescent="0.4">
      <c r="L80" s="121"/>
      <c r="M80" s="121" t="s">
        <v>365</v>
      </c>
      <c r="N80" s="131"/>
      <c r="O80" s="131"/>
      <c r="P80" s="34">
        <v>173</v>
      </c>
      <c r="Q80" s="132">
        <v>2080</v>
      </c>
      <c r="R80" s="176"/>
      <c r="S80" s="132"/>
      <c r="T80" s="132"/>
      <c r="U80" s="204">
        <v>15.5</v>
      </c>
      <c r="V80" s="159">
        <f t="shared" si="6"/>
        <v>32240</v>
      </c>
      <c r="W80" s="122">
        <v>250</v>
      </c>
      <c r="X80" s="159">
        <f t="shared" si="12"/>
        <v>32490</v>
      </c>
      <c r="Y80" s="159">
        <f t="shared" si="7"/>
        <v>32240</v>
      </c>
      <c r="Z80" s="8">
        <f t="shared" si="8"/>
        <v>0</v>
      </c>
      <c r="AA80" s="8">
        <f t="shared" si="9"/>
        <v>0</v>
      </c>
      <c r="AB80" s="8">
        <f t="shared" si="10"/>
        <v>0</v>
      </c>
      <c r="AC80" s="24">
        <f t="shared" si="11"/>
        <v>32240</v>
      </c>
      <c r="AD80" s="131"/>
      <c r="AE80" t="s">
        <v>345</v>
      </c>
      <c r="AG80" s="1">
        <v>828.85</v>
      </c>
      <c r="AH80" s="1"/>
      <c r="AI80" s="1"/>
      <c r="AJ80" s="1"/>
      <c r="AK80" s="1">
        <f t="shared" si="2"/>
        <v>828.85</v>
      </c>
      <c r="AL80" s="1" t="s">
        <v>437</v>
      </c>
      <c r="AM80" s="1">
        <v>23.63</v>
      </c>
      <c r="AN80" s="1"/>
      <c r="AO80" s="1">
        <v>20.6</v>
      </c>
      <c r="AP80" s="35">
        <f t="shared" si="3"/>
        <v>44.230000000000004</v>
      </c>
      <c r="AR80">
        <v>0.21</v>
      </c>
      <c r="AS80" s="35">
        <f t="shared" si="4"/>
        <v>174.05850000000001</v>
      </c>
      <c r="AU80">
        <v>0.6</v>
      </c>
      <c r="AV80" s="35">
        <f t="shared" si="5"/>
        <v>26.538</v>
      </c>
    </row>
    <row r="81" spans="12:48" x14ac:dyDescent="0.4">
      <c r="L81" s="121"/>
      <c r="M81" s="121" t="s">
        <v>369</v>
      </c>
      <c r="N81" s="131">
        <v>42898</v>
      </c>
      <c r="O81" s="131"/>
      <c r="P81" s="34">
        <v>78</v>
      </c>
      <c r="Q81" s="132">
        <v>2080</v>
      </c>
      <c r="R81" s="176">
        <v>15</v>
      </c>
      <c r="S81" s="132">
        <v>69.5</v>
      </c>
      <c r="T81" s="132">
        <v>10</v>
      </c>
      <c r="U81" s="204">
        <v>15.47</v>
      </c>
      <c r="V81" s="159">
        <f t="shared" si="6"/>
        <v>33832.89</v>
      </c>
      <c r="W81" s="123">
        <v>250</v>
      </c>
      <c r="X81" s="159">
        <f t="shared" si="12"/>
        <v>34082.89</v>
      </c>
      <c r="Y81" s="159">
        <f t="shared" si="7"/>
        <v>32177.600000000002</v>
      </c>
      <c r="Z81" s="8">
        <f t="shared" si="8"/>
        <v>348.07500000000005</v>
      </c>
      <c r="AA81" s="8">
        <f t="shared" si="9"/>
        <v>1075.165</v>
      </c>
      <c r="AB81" s="8">
        <f t="shared" si="10"/>
        <v>232.05</v>
      </c>
      <c r="AC81" s="24">
        <f t="shared" si="11"/>
        <v>33832.890000000007</v>
      </c>
      <c r="AD81" s="131"/>
      <c r="AE81" t="s">
        <v>345</v>
      </c>
      <c r="AG81" s="63">
        <v>828.85</v>
      </c>
      <c r="AH81" s="63"/>
      <c r="AI81" s="63"/>
      <c r="AJ81" s="63"/>
      <c r="AK81" s="1">
        <f t="shared" si="2"/>
        <v>828.85</v>
      </c>
      <c r="AL81" s="63" t="s">
        <v>345</v>
      </c>
      <c r="AM81" s="63">
        <v>19.3</v>
      </c>
      <c r="AN81" s="63"/>
      <c r="AO81" s="63"/>
      <c r="AP81" s="35">
        <f t="shared" si="3"/>
        <v>19.3</v>
      </c>
      <c r="AR81">
        <v>0.21</v>
      </c>
      <c r="AS81" s="35">
        <f t="shared" si="4"/>
        <v>174.05850000000001</v>
      </c>
      <c r="AU81">
        <v>0.6</v>
      </c>
      <c r="AV81" s="35">
        <f t="shared" si="5"/>
        <v>11.58</v>
      </c>
    </row>
    <row r="82" spans="12:48" x14ac:dyDescent="0.4">
      <c r="L82" s="121"/>
      <c r="M82" s="121"/>
      <c r="N82" s="131"/>
      <c r="O82" s="131"/>
      <c r="P82" s="34"/>
      <c r="Q82" s="132"/>
      <c r="R82" s="176"/>
      <c r="S82" s="132"/>
      <c r="T82" s="132"/>
      <c r="U82" s="204"/>
      <c r="V82" s="159"/>
      <c r="W82" s="122"/>
      <c r="X82" s="159"/>
      <c r="Y82" s="159"/>
      <c r="AD82" s="131"/>
      <c r="AG82" s="1"/>
      <c r="AH82" s="1"/>
      <c r="AI82" s="1"/>
      <c r="AJ82" s="1"/>
      <c r="AK82" s="1">
        <f t="shared" si="2"/>
        <v>0</v>
      </c>
      <c r="AL82" s="1"/>
      <c r="AM82" s="1"/>
      <c r="AN82" s="1"/>
      <c r="AO82" s="1"/>
      <c r="AP82" s="35">
        <f t="shared" si="3"/>
        <v>0</v>
      </c>
      <c r="AS82" s="35">
        <f t="shared" si="4"/>
        <v>0</v>
      </c>
      <c r="AU82">
        <v>0.6</v>
      </c>
      <c r="AV82" s="35">
        <f t="shared" si="5"/>
        <v>0</v>
      </c>
    </row>
    <row r="83" spans="12:48" x14ac:dyDescent="0.4">
      <c r="M83" s="118"/>
      <c r="N83" s="131"/>
      <c r="O83" s="131"/>
      <c r="P83" s="121" t="s">
        <v>370</v>
      </c>
      <c r="Q83" s="141"/>
      <c r="R83" s="179"/>
      <c r="S83" s="141"/>
      <c r="T83" s="141"/>
      <c r="U83" s="200"/>
      <c r="V83" s="159"/>
      <c r="W83" s="122"/>
      <c r="X83" s="159"/>
      <c r="Y83" s="159"/>
      <c r="AD83" s="131"/>
      <c r="AG83" s="1"/>
      <c r="AH83" s="1"/>
      <c r="AI83" s="1"/>
      <c r="AJ83" s="1"/>
      <c r="AK83" s="1">
        <f t="shared" si="2"/>
        <v>0</v>
      </c>
      <c r="AL83" s="1"/>
      <c r="AM83" s="1"/>
      <c r="AN83" s="1"/>
      <c r="AO83" s="1"/>
      <c r="AP83" s="35">
        <f t="shared" si="3"/>
        <v>0</v>
      </c>
      <c r="AS83" s="35">
        <f t="shared" si="4"/>
        <v>0</v>
      </c>
      <c r="AU83">
        <v>0.6</v>
      </c>
      <c r="AV83" s="35">
        <f t="shared" si="5"/>
        <v>0</v>
      </c>
    </row>
    <row r="84" spans="12:48" x14ac:dyDescent="0.4">
      <c r="L84" s="118"/>
      <c r="M84" s="121" t="s">
        <v>371</v>
      </c>
      <c r="N84" s="131">
        <v>40441</v>
      </c>
      <c r="O84" s="131"/>
      <c r="P84" s="34">
        <v>25</v>
      </c>
      <c r="Q84" s="132">
        <v>2080</v>
      </c>
      <c r="R84" s="176">
        <v>98</v>
      </c>
      <c r="S84" s="132">
        <v>37.5</v>
      </c>
      <c r="T84" s="132">
        <v>64.5</v>
      </c>
      <c r="U84" s="204">
        <v>26.84</v>
      </c>
      <c r="V84" s="159">
        <f t="shared" si="6"/>
        <v>63375.95</v>
      </c>
      <c r="W84" s="122">
        <v>250</v>
      </c>
      <c r="X84" s="159">
        <f t="shared" si="12"/>
        <v>63625.95</v>
      </c>
      <c r="Y84" s="159">
        <f t="shared" si="7"/>
        <v>55827.199999999997</v>
      </c>
      <c r="Z84" s="8">
        <f t="shared" si="8"/>
        <v>3945.4800000000005</v>
      </c>
      <c r="AA84" s="8">
        <f t="shared" si="9"/>
        <v>1006.5</v>
      </c>
      <c r="AB84" s="8">
        <f t="shared" si="10"/>
        <v>2596.77</v>
      </c>
      <c r="AC84" s="24">
        <f>SUM(Y84:AB84)</f>
        <v>63375.95</v>
      </c>
      <c r="AD84" s="131"/>
      <c r="AE84" t="s">
        <v>372</v>
      </c>
      <c r="AG84" s="1">
        <v>2098.8200000000002</v>
      </c>
      <c r="AH84" s="1"/>
      <c r="AI84" s="1">
        <v>353.51</v>
      </c>
      <c r="AJ84" s="1"/>
      <c r="AK84" s="1">
        <f t="shared" si="2"/>
        <v>2452.33</v>
      </c>
      <c r="AL84" s="1" t="s">
        <v>345</v>
      </c>
      <c r="AM84" s="1">
        <v>19.3</v>
      </c>
      <c r="AN84" s="1"/>
      <c r="AO84" s="1"/>
      <c r="AP84" s="35">
        <f t="shared" si="3"/>
        <v>19.3</v>
      </c>
      <c r="AR84">
        <v>0.33</v>
      </c>
      <c r="AS84" s="35">
        <f t="shared" si="4"/>
        <v>809.26890000000003</v>
      </c>
      <c r="AU84">
        <v>0.6</v>
      </c>
      <c r="AV84" s="35">
        <f t="shared" si="5"/>
        <v>11.58</v>
      </c>
    </row>
    <row r="85" spans="12:48" x14ac:dyDescent="0.4">
      <c r="L85" s="142"/>
      <c r="M85" s="121" t="s">
        <v>373</v>
      </c>
      <c r="N85" s="131">
        <v>42352</v>
      </c>
      <c r="O85" s="131"/>
      <c r="P85" s="126">
        <v>47</v>
      </c>
      <c r="Q85" s="132">
        <v>2080</v>
      </c>
      <c r="R85" s="176">
        <v>103</v>
      </c>
      <c r="S85" s="132">
        <v>235</v>
      </c>
      <c r="T85" s="132"/>
      <c r="U85" s="209">
        <v>17.079999999999998</v>
      </c>
      <c r="V85" s="159">
        <f t="shared" si="6"/>
        <v>42179.06</v>
      </c>
      <c r="W85" s="122">
        <v>250</v>
      </c>
      <c r="X85" s="159">
        <f t="shared" si="12"/>
        <v>42429.06</v>
      </c>
      <c r="Y85" s="159">
        <f t="shared" si="7"/>
        <v>35526.399999999994</v>
      </c>
      <c r="Z85" s="8">
        <f t="shared" si="8"/>
        <v>2638.8599999999997</v>
      </c>
      <c r="AA85" s="8">
        <f t="shared" si="9"/>
        <v>4013.7999999999997</v>
      </c>
      <c r="AB85" s="8">
        <f t="shared" si="10"/>
        <v>0</v>
      </c>
      <c r="AC85" s="24">
        <f t="shared" si="11"/>
        <v>42179.06</v>
      </c>
      <c r="AD85" s="131"/>
      <c r="AE85" t="s">
        <v>353</v>
      </c>
      <c r="AG85" s="1"/>
      <c r="AH85" s="1"/>
      <c r="AI85" s="1"/>
      <c r="AJ85" s="1"/>
      <c r="AK85" s="1">
        <f t="shared" si="2"/>
        <v>0</v>
      </c>
      <c r="AL85" s="1" t="s">
        <v>350</v>
      </c>
      <c r="AM85" s="1">
        <v>25.68</v>
      </c>
      <c r="AN85" s="1"/>
      <c r="AO85" s="1">
        <v>42.98</v>
      </c>
      <c r="AP85" s="35">
        <f t="shared" si="3"/>
        <v>68.66</v>
      </c>
      <c r="AS85" s="35">
        <f t="shared" si="4"/>
        <v>0</v>
      </c>
      <c r="AU85">
        <v>0.6</v>
      </c>
      <c r="AV85" s="35">
        <f t="shared" si="5"/>
        <v>41.195999999999998</v>
      </c>
    </row>
    <row r="86" spans="12:48" x14ac:dyDescent="0.4">
      <c r="L86" s="142"/>
      <c r="M86" s="121" t="s">
        <v>374</v>
      </c>
      <c r="N86" s="131">
        <v>44970</v>
      </c>
      <c r="O86" s="131"/>
      <c r="P86" s="126">
        <v>142</v>
      </c>
      <c r="Q86" s="132">
        <v>2080</v>
      </c>
      <c r="R86" s="176">
        <v>164.5</v>
      </c>
      <c r="S86" s="132">
        <v>8.5</v>
      </c>
      <c r="T86" s="132">
        <v>28</v>
      </c>
      <c r="U86" s="209">
        <v>15</v>
      </c>
      <c r="V86" s="159">
        <f t="shared" si="6"/>
        <v>35658.75</v>
      </c>
      <c r="W86" s="122">
        <v>250</v>
      </c>
      <c r="X86" s="159">
        <f t="shared" si="12"/>
        <v>35908.75</v>
      </c>
      <c r="Y86" s="159">
        <f t="shared" si="7"/>
        <v>31200</v>
      </c>
      <c r="Z86" s="8">
        <f t="shared" si="8"/>
        <v>3701.25</v>
      </c>
      <c r="AA86" s="8">
        <f t="shared" si="9"/>
        <v>127.5</v>
      </c>
      <c r="AB86" s="8">
        <f t="shared" si="10"/>
        <v>630</v>
      </c>
      <c r="AC86" s="24">
        <f t="shared" si="11"/>
        <v>35658.75</v>
      </c>
      <c r="AD86" s="131"/>
      <c r="AE86" t="s">
        <v>345</v>
      </c>
      <c r="AG86" s="1">
        <v>828.85</v>
      </c>
      <c r="AH86" s="1"/>
      <c r="AI86" s="1"/>
      <c r="AJ86" s="1"/>
      <c r="AK86" s="1">
        <f t="shared" si="2"/>
        <v>828.85</v>
      </c>
      <c r="AL86" s="1" t="s">
        <v>345</v>
      </c>
      <c r="AM86" s="1">
        <v>19.3</v>
      </c>
      <c r="AN86" s="1"/>
      <c r="AO86" s="1"/>
      <c r="AP86" s="35">
        <f t="shared" si="3"/>
        <v>19.3</v>
      </c>
      <c r="AR86">
        <v>0.21</v>
      </c>
      <c r="AS86" s="35">
        <f t="shared" si="4"/>
        <v>174.05850000000001</v>
      </c>
      <c r="AU86">
        <v>0.6</v>
      </c>
      <c r="AV86" s="35">
        <f t="shared" si="5"/>
        <v>11.58</v>
      </c>
    </row>
    <row r="87" spans="12:48" x14ac:dyDescent="0.4">
      <c r="L87" s="142"/>
      <c r="M87" s="121" t="s">
        <v>373</v>
      </c>
      <c r="N87" s="131">
        <v>45180</v>
      </c>
      <c r="O87" s="131"/>
      <c r="P87" s="126">
        <v>149</v>
      </c>
      <c r="Q87" s="132">
        <v>2080</v>
      </c>
      <c r="R87" s="176">
        <v>33</v>
      </c>
      <c r="S87" s="132">
        <v>8</v>
      </c>
      <c r="T87" s="132">
        <v>13</v>
      </c>
      <c r="U87" s="204">
        <v>15.5</v>
      </c>
      <c r="V87" s="159">
        <f t="shared" si="6"/>
        <v>33433.5</v>
      </c>
      <c r="W87" s="122">
        <v>250</v>
      </c>
      <c r="X87" s="159">
        <f t="shared" si="12"/>
        <v>33683.5</v>
      </c>
      <c r="Y87" s="159">
        <f t="shared" si="7"/>
        <v>32240</v>
      </c>
      <c r="Z87" s="8">
        <f t="shared" si="8"/>
        <v>767.25</v>
      </c>
      <c r="AA87" s="8">
        <f t="shared" si="9"/>
        <v>124</v>
      </c>
      <c r="AB87" s="8">
        <f t="shared" si="10"/>
        <v>302.25</v>
      </c>
      <c r="AC87" s="24">
        <f t="shared" si="11"/>
        <v>33433.5</v>
      </c>
      <c r="AD87" s="131"/>
      <c r="AE87" t="s">
        <v>345</v>
      </c>
      <c r="AG87" s="1">
        <v>828.85</v>
      </c>
      <c r="AH87" s="1"/>
      <c r="AI87" s="1"/>
      <c r="AJ87" s="1"/>
      <c r="AK87" s="1">
        <f t="shared" si="2"/>
        <v>828.85</v>
      </c>
      <c r="AL87" s="1" t="s">
        <v>345</v>
      </c>
      <c r="AM87" s="1">
        <v>19.3</v>
      </c>
      <c r="AN87" s="1"/>
      <c r="AO87" s="1"/>
      <c r="AP87" s="35">
        <f t="shared" si="3"/>
        <v>19.3</v>
      </c>
      <c r="AR87">
        <v>0.21</v>
      </c>
      <c r="AS87" s="35">
        <f t="shared" si="4"/>
        <v>174.05850000000001</v>
      </c>
      <c r="AU87">
        <v>0.6</v>
      </c>
      <c r="AV87" s="35">
        <f t="shared" si="5"/>
        <v>11.58</v>
      </c>
    </row>
    <row r="88" spans="12:48" x14ac:dyDescent="0.4">
      <c r="L88" s="121"/>
      <c r="M88" s="121" t="s">
        <v>375</v>
      </c>
      <c r="N88" s="131">
        <v>43626</v>
      </c>
      <c r="O88" s="131"/>
      <c r="P88" s="34">
        <v>105</v>
      </c>
      <c r="Q88" s="132">
        <v>2080</v>
      </c>
      <c r="R88" s="176">
        <v>180.5</v>
      </c>
      <c r="S88" s="132">
        <v>23.5</v>
      </c>
      <c r="T88" s="132">
        <v>8</v>
      </c>
      <c r="U88" s="204">
        <v>20.6</v>
      </c>
      <c r="V88" s="159">
        <f t="shared" si="6"/>
        <v>49156.75</v>
      </c>
      <c r="W88" s="122">
        <v>250</v>
      </c>
      <c r="X88" s="159">
        <f t="shared" si="12"/>
        <v>49406.75</v>
      </c>
      <c r="Y88" s="159">
        <f t="shared" si="7"/>
        <v>42848</v>
      </c>
      <c r="Z88" s="8">
        <f t="shared" si="8"/>
        <v>5577.4500000000007</v>
      </c>
      <c r="AA88" s="8">
        <f t="shared" si="9"/>
        <v>484.1</v>
      </c>
      <c r="AB88" s="8">
        <f t="shared" si="10"/>
        <v>247.20000000000002</v>
      </c>
      <c r="AC88" s="24">
        <f t="shared" si="11"/>
        <v>49156.749999999993</v>
      </c>
      <c r="AD88" s="131"/>
      <c r="AE88" t="s">
        <v>345</v>
      </c>
      <c r="AG88" s="1">
        <v>828.85</v>
      </c>
      <c r="AH88" s="1"/>
      <c r="AI88" s="1"/>
      <c r="AJ88" s="1"/>
      <c r="AK88" s="1">
        <f t="shared" si="2"/>
        <v>828.85</v>
      </c>
      <c r="AL88" s="1" t="s">
        <v>345</v>
      </c>
      <c r="AM88" s="1">
        <v>19.3</v>
      </c>
      <c r="AN88" s="1"/>
      <c r="AO88" s="1"/>
      <c r="AP88" s="35">
        <f t="shared" si="3"/>
        <v>19.3</v>
      </c>
      <c r="AR88">
        <v>0.21</v>
      </c>
      <c r="AS88" s="35">
        <f t="shared" si="4"/>
        <v>174.05850000000001</v>
      </c>
      <c r="AU88">
        <v>0.6</v>
      </c>
      <c r="AV88" s="35">
        <f t="shared" si="5"/>
        <v>11.58</v>
      </c>
    </row>
    <row r="89" spans="12:48" x14ac:dyDescent="0.4">
      <c r="L89" s="121"/>
      <c r="M89" s="121" t="s">
        <v>374</v>
      </c>
      <c r="N89" s="131">
        <v>45250</v>
      </c>
      <c r="O89" s="131"/>
      <c r="P89" s="34">
        <v>155</v>
      </c>
      <c r="Q89" s="132">
        <v>2080</v>
      </c>
      <c r="R89" s="176">
        <v>138</v>
      </c>
      <c r="S89" s="132">
        <v>3.5</v>
      </c>
      <c r="T89" s="132">
        <v>42.5</v>
      </c>
      <c r="U89" s="204">
        <v>15</v>
      </c>
      <c r="V89" s="159">
        <f t="shared" si="6"/>
        <v>35313.75</v>
      </c>
      <c r="W89" s="122">
        <v>250</v>
      </c>
      <c r="X89" s="159">
        <f t="shared" si="12"/>
        <v>35563.75</v>
      </c>
      <c r="Y89" s="159">
        <f t="shared" si="7"/>
        <v>31200</v>
      </c>
      <c r="Z89" s="8">
        <f t="shared" si="8"/>
        <v>3105</v>
      </c>
      <c r="AA89" s="8">
        <f t="shared" si="9"/>
        <v>52.5</v>
      </c>
      <c r="AB89" s="8">
        <f t="shared" si="10"/>
        <v>956.25</v>
      </c>
      <c r="AC89" s="24">
        <f t="shared" si="11"/>
        <v>35313.75</v>
      </c>
      <c r="AD89" s="131"/>
      <c r="AE89" t="s">
        <v>345</v>
      </c>
      <c r="AG89" s="1">
        <v>828.85</v>
      </c>
      <c r="AH89" s="1"/>
      <c r="AI89" s="1"/>
      <c r="AJ89" s="1"/>
      <c r="AK89" s="1">
        <f t="shared" si="2"/>
        <v>828.85</v>
      </c>
      <c r="AL89" s="1" t="s">
        <v>341</v>
      </c>
      <c r="AM89" s="1">
        <v>19.3</v>
      </c>
      <c r="AN89" s="1"/>
      <c r="AO89" s="1">
        <v>2.82</v>
      </c>
      <c r="AP89" s="35">
        <f t="shared" si="3"/>
        <v>22.12</v>
      </c>
      <c r="AR89">
        <v>0.21</v>
      </c>
      <c r="AS89" s="35">
        <f t="shared" si="4"/>
        <v>174.05850000000001</v>
      </c>
      <c r="AU89">
        <v>0.6</v>
      </c>
      <c r="AV89" s="35">
        <f t="shared" si="5"/>
        <v>13.272</v>
      </c>
    </row>
    <row r="90" spans="12:48" x14ac:dyDescent="0.4">
      <c r="L90" s="121"/>
      <c r="M90" s="121" t="s">
        <v>373</v>
      </c>
      <c r="P90" s="34">
        <v>171</v>
      </c>
      <c r="Q90" s="132">
        <v>2080</v>
      </c>
      <c r="R90" s="180"/>
      <c r="S90" s="143"/>
      <c r="T90" s="143"/>
      <c r="U90" s="201">
        <v>15</v>
      </c>
      <c r="V90" s="159">
        <f t="shared" si="6"/>
        <v>31200</v>
      </c>
      <c r="W90" s="123">
        <v>250</v>
      </c>
      <c r="X90" s="159">
        <f t="shared" si="12"/>
        <v>31450</v>
      </c>
      <c r="Y90" s="159">
        <f t="shared" si="7"/>
        <v>31200</v>
      </c>
      <c r="Z90" s="8">
        <f t="shared" si="8"/>
        <v>0</v>
      </c>
      <c r="AA90" s="8">
        <f t="shared" si="9"/>
        <v>0</v>
      </c>
      <c r="AB90" s="8">
        <f t="shared" si="10"/>
        <v>0</v>
      </c>
      <c r="AC90" s="24">
        <f t="shared" si="11"/>
        <v>31200</v>
      </c>
      <c r="AD90" s="131"/>
      <c r="AE90" t="s">
        <v>345</v>
      </c>
      <c r="AG90" s="63">
        <v>828.85</v>
      </c>
      <c r="AH90" s="63"/>
      <c r="AI90" s="63"/>
      <c r="AJ90" s="63"/>
      <c r="AK90" s="1">
        <f t="shared" si="2"/>
        <v>828.85</v>
      </c>
      <c r="AL90" s="63" t="s">
        <v>440</v>
      </c>
      <c r="AM90" s="63">
        <v>19.3</v>
      </c>
      <c r="AN90" s="63"/>
      <c r="AO90" s="63">
        <v>2.82</v>
      </c>
      <c r="AP90" s="35">
        <f t="shared" si="3"/>
        <v>22.12</v>
      </c>
      <c r="AR90">
        <v>0.21</v>
      </c>
      <c r="AS90" s="35">
        <f t="shared" si="4"/>
        <v>174.05850000000001</v>
      </c>
      <c r="AU90">
        <v>0.6</v>
      </c>
      <c r="AV90" s="35">
        <f t="shared" si="5"/>
        <v>13.272</v>
      </c>
    </row>
    <row r="91" spans="12:48" x14ac:dyDescent="0.4">
      <c r="L91" s="128"/>
      <c r="M91" s="121" t="s">
        <v>374</v>
      </c>
      <c r="P91" s="34">
        <v>170</v>
      </c>
      <c r="Q91" s="132">
        <v>2080</v>
      </c>
      <c r="R91" s="180"/>
      <c r="S91" s="143"/>
      <c r="T91" s="143"/>
      <c r="U91" s="201">
        <v>15</v>
      </c>
      <c r="V91" s="159">
        <f t="shared" si="6"/>
        <v>31200</v>
      </c>
      <c r="W91" s="123">
        <v>250</v>
      </c>
      <c r="X91" s="159">
        <f t="shared" si="12"/>
        <v>31450</v>
      </c>
      <c r="Y91" s="159">
        <f t="shared" si="7"/>
        <v>31200</v>
      </c>
      <c r="Z91" s="8">
        <f t="shared" si="8"/>
        <v>0</v>
      </c>
      <c r="AA91" s="8">
        <f t="shared" si="9"/>
        <v>0</v>
      </c>
      <c r="AB91" s="8">
        <f t="shared" si="10"/>
        <v>0</v>
      </c>
      <c r="AC91" s="24">
        <f t="shared" si="11"/>
        <v>31200</v>
      </c>
      <c r="AD91" s="131"/>
      <c r="AE91" t="s">
        <v>349</v>
      </c>
      <c r="AG91" s="63">
        <v>1470.38</v>
      </c>
      <c r="AH91" s="63"/>
      <c r="AI91" s="63">
        <v>165.04</v>
      </c>
      <c r="AJ91" s="63"/>
      <c r="AK91" s="1">
        <f t="shared" si="2"/>
        <v>1635.42</v>
      </c>
      <c r="AL91" s="63" t="s">
        <v>439</v>
      </c>
      <c r="AM91" s="63">
        <v>15.9</v>
      </c>
      <c r="AN91" s="63"/>
      <c r="AO91" s="63">
        <v>35.85</v>
      </c>
      <c r="AP91" s="35">
        <f t="shared" si="3"/>
        <v>51.75</v>
      </c>
      <c r="AR91">
        <v>0.33</v>
      </c>
      <c r="AS91" s="35">
        <f t="shared" si="4"/>
        <v>539.68860000000006</v>
      </c>
      <c r="AU91">
        <v>0.6</v>
      </c>
      <c r="AV91" s="35">
        <f t="shared" si="5"/>
        <v>31.049999999999997</v>
      </c>
    </row>
    <row r="92" spans="12:48" x14ac:dyDescent="0.4">
      <c r="L92" s="121"/>
      <c r="M92" s="121"/>
      <c r="N92" s="34"/>
      <c r="O92" s="34"/>
      <c r="P92" s="34"/>
      <c r="Q92" s="132"/>
      <c r="R92" s="180"/>
      <c r="S92" s="143"/>
      <c r="T92" s="143"/>
      <c r="V92" s="159"/>
      <c r="W92" s="123"/>
      <c r="X92" s="159"/>
      <c r="Y92" s="159"/>
      <c r="AD92" s="131"/>
      <c r="AG92" s="63"/>
      <c r="AH92" s="63"/>
      <c r="AI92" s="63"/>
      <c r="AJ92" s="63"/>
      <c r="AK92" s="1">
        <f t="shared" si="2"/>
        <v>0</v>
      </c>
      <c r="AL92" s="63"/>
      <c r="AM92" s="63"/>
      <c r="AN92" s="63"/>
      <c r="AO92" s="63"/>
      <c r="AP92" s="35">
        <f t="shared" si="3"/>
        <v>0</v>
      </c>
      <c r="AS92" s="35">
        <f t="shared" si="4"/>
        <v>0</v>
      </c>
      <c r="AU92">
        <v>0.6</v>
      </c>
      <c r="AV92" s="35">
        <f t="shared" si="5"/>
        <v>0</v>
      </c>
    </row>
    <row r="93" spans="12:48" x14ac:dyDescent="0.4">
      <c r="M93" s="118"/>
      <c r="N93" s="131"/>
      <c r="O93" s="131"/>
      <c r="P93" s="121" t="s">
        <v>377</v>
      </c>
      <c r="Q93" s="141"/>
      <c r="R93" s="179"/>
      <c r="S93" s="141"/>
      <c r="T93" s="141"/>
      <c r="U93" s="200"/>
      <c r="V93" s="159"/>
      <c r="W93" s="122"/>
      <c r="X93" s="159"/>
      <c r="Y93" s="159"/>
      <c r="AD93" s="131"/>
      <c r="AG93" s="1"/>
      <c r="AH93" s="1"/>
      <c r="AI93" s="1"/>
      <c r="AJ93" s="1"/>
      <c r="AK93" s="1">
        <f t="shared" si="2"/>
        <v>0</v>
      </c>
      <c r="AL93" s="1"/>
      <c r="AM93" s="1"/>
      <c r="AN93" s="1"/>
      <c r="AO93" s="1"/>
      <c r="AP93" s="35">
        <f t="shared" si="3"/>
        <v>0</v>
      </c>
      <c r="AS93" s="35">
        <f t="shared" si="4"/>
        <v>0</v>
      </c>
      <c r="AU93">
        <v>0.6</v>
      </c>
      <c r="AV93" s="35">
        <f t="shared" si="5"/>
        <v>0</v>
      </c>
    </row>
    <row r="94" spans="12:48" x14ac:dyDescent="0.4">
      <c r="L94" s="118"/>
      <c r="M94" s="121" t="s">
        <v>380</v>
      </c>
      <c r="N94" s="131" t="s">
        <v>379</v>
      </c>
      <c r="O94" s="131"/>
      <c r="P94" s="34">
        <v>31</v>
      </c>
      <c r="Q94" s="132">
        <v>2080</v>
      </c>
      <c r="R94" s="176">
        <v>4</v>
      </c>
      <c r="S94" s="132"/>
      <c r="T94" s="132"/>
      <c r="U94" s="204">
        <v>23.2</v>
      </c>
      <c r="V94" s="159">
        <f t="shared" si="6"/>
        <v>48395.199999999997</v>
      </c>
      <c r="W94" s="122">
        <v>250</v>
      </c>
      <c r="X94" s="159">
        <f t="shared" si="12"/>
        <v>48645.2</v>
      </c>
      <c r="Y94" s="159">
        <f t="shared" si="7"/>
        <v>48256</v>
      </c>
      <c r="Z94" s="8">
        <f t="shared" si="8"/>
        <v>139.19999999999999</v>
      </c>
      <c r="AA94" s="8">
        <f t="shared" si="9"/>
        <v>0</v>
      </c>
      <c r="AB94" s="8">
        <f t="shared" si="10"/>
        <v>0</v>
      </c>
      <c r="AC94" s="24">
        <f t="shared" si="11"/>
        <v>48395.199999999997</v>
      </c>
      <c r="AD94" s="131"/>
      <c r="AE94" t="s">
        <v>343</v>
      </c>
      <c r="AG94" s="1">
        <v>2367.96</v>
      </c>
      <c r="AH94" s="1"/>
      <c r="AI94" s="1">
        <v>386.43</v>
      </c>
      <c r="AJ94" s="1"/>
      <c r="AK94" s="1">
        <f t="shared" si="2"/>
        <v>2754.39</v>
      </c>
      <c r="AL94" s="1" t="s">
        <v>358</v>
      </c>
      <c r="AM94" s="1">
        <v>25.68</v>
      </c>
      <c r="AN94" s="1"/>
      <c r="AO94" s="1">
        <v>56</v>
      </c>
      <c r="AP94" s="35">
        <f t="shared" si="3"/>
        <v>81.680000000000007</v>
      </c>
      <c r="AR94">
        <v>0.33</v>
      </c>
      <c r="AS94" s="35">
        <f t="shared" si="4"/>
        <v>908.94870000000003</v>
      </c>
      <c r="AU94">
        <v>0.6</v>
      </c>
      <c r="AV94" s="35">
        <f t="shared" si="5"/>
        <v>49.008000000000003</v>
      </c>
    </row>
    <row r="95" spans="12:48" x14ac:dyDescent="0.4">
      <c r="L95" s="121"/>
      <c r="M95" s="121" t="s">
        <v>355</v>
      </c>
      <c r="N95" s="131">
        <v>42933</v>
      </c>
      <c r="O95" s="131"/>
      <c r="P95" s="34">
        <v>80</v>
      </c>
      <c r="Q95" s="132">
        <v>2080</v>
      </c>
      <c r="R95" s="176">
        <v>119.5</v>
      </c>
      <c r="S95" s="132"/>
      <c r="T95" s="132"/>
      <c r="U95" s="204">
        <v>18.059999999999999</v>
      </c>
      <c r="V95" s="159">
        <f t="shared" si="6"/>
        <v>40802.054999999993</v>
      </c>
      <c r="W95" s="122">
        <v>250</v>
      </c>
      <c r="X95" s="159">
        <f t="shared" si="12"/>
        <v>41052.054999999993</v>
      </c>
      <c r="Y95" s="159">
        <f t="shared" si="7"/>
        <v>37564.799999999996</v>
      </c>
      <c r="Z95" s="8">
        <f t="shared" si="8"/>
        <v>3237.2550000000001</v>
      </c>
      <c r="AA95" s="8">
        <f t="shared" si="9"/>
        <v>0</v>
      </c>
      <c r="AB95" s="8">
        <f t="shared" si="10"/>
        <v>0</v>
      </c>
      <c r="AC95" s="24">
        <f t="shared" si="11"/>
        <v>40802.054999999993</v>
      </c>
      <c r="AD95" s="131"/>
      <c r="AE95" t="s">
        <v>341</v>
      </c>
      <c r="AG95" s="1">
        <v>834.83</v>
      </c>
      <c r="AH95" s="1"/>
      <c r="AI95" s="1">
        <v>25.91</v>
      </c>
      <c r="AJ95" s="1"/>
      <c r="AK95" s="1">
        <f t="shared" si="2"/>
        <v>860.74</v>
      </c>
      <c r="AL95" s="1" t="s">
        <v>358</v>
      </c>
      <c r="AM95" s="1">
        <v>25.68</v>
      </c>
      <c r="AN95" s="1"/>
      <c r="AO95" s="1">
        <v>56</v>
      </c>
      <c r="AP95" s="35">
        <f t="shared" si="3"/>
        <v>81.680000000000007</v>
      </c>
      <c r="AR95">
        <v>0.21</v>
      </c>
      <c r="AS95" s="35">
        <f t="shared" si="4"/>
        <v>180.75540000000001</v>
      </c>
      <c r="AU95">
        <v>0.6</v>
      </c>
      <c r="AV95" s="35">
        <f t="shared" si="5"/>
        <v>49.008000000000003</v>
      </c>
    </row>
    <row r="96" spans="12:48" x14ac:dyDescent="0.4">
      <c r="L96" s="121"/>
      <c r="M96" s="121" t="s">
        <v>355</v>
      </c>
      <c r="N96" s="131">
        <v>45453</v>
      </c>
      <c r="O96" s="131"/>
      <c r="P96" s="34">
        <v>160</v>
      </c>
      <c r="Q96" s="132">
        <v>2080</v>
      </c>
      <c r="R96" s="176">
        <v>15.5</v>
      </c>
      <c r="S96" s="132"/>
      <c r="T96" s="132"/>
      <c r="U96" s="204">
        <v>13.5</v>
      </c>
      <c r="V96" s="159">
        <f t="shared" si="6"/>
        <v>28393.875</v>
      </c>
      <c r="W96" s="123">
        <v>250</v>
      </c>
      <c r="X96" s="159">
        <f t="shared" si="12"/>
        <v>28643.875</v>
      </c>
      <c r="Y96" s="159">
        <f t="shared" si="7"/>
        <v>28080</v>
      </c>
      <c r="Z96" s="8">
        <f t="shared" si="8"/>
        <v>313.875</v>
      </c>
      <c r="AA96" s="8">
        <f t="shared" si="9"/>
        <v>0</v>
      </c>
      <c r="AB96" s="8">
        <f t="shared" si="10"/>
        <v>0</v>
      </c>
      <c r="AC96" s="24">
        <f t="shared" si="11"/>
        <v>28393.875</v>
      </c>
      <c r="AD96" s="131"/>
      <c r="AE96" t="s">
        <v>353</v>
      </c>
      <c r="AG96" s="63"/>
      <c r="AH96" s="63"/>
      <c r="AI96" s="63"/>
      <c r="AJ96" s="63"/>
      <c r="AK96" s="1">
        <f t="shared" si="2"/>
        <v>0</v>
      </c>
      <c r="AL96" s="63" t="s">
        <v>345</v>
      </c>
      <c r="AM96" s="63">
        <v>19.3</v>
      </c>
      <c r="AN96" s="63"/>
      <c r="AO96" s="63"/>
      <c r="AP96" s="35">
        <f t="shared" si="3"/>
        <v>19.3</v>
      </c>
      <c r="AS96" s="35">
        <f t="shared" si="4"/>
        <v>0</v>
      </c>
      <c r="AU96">
        <v>0.6</v>
      </c>
      <c r="AV96" s="35">
        <f t="shared" si="5"/>
        <v>11.58</v>
      </c>
    </row>
    <row r="97" spans="12:48" x14ac:dyDescent="0.4">
      <c r="L97" s="121"/>
      <c r="M97" s="121" t="s">
        <v>355</v>
      </c>
      <c r="N97" s="131">
        <v>45460</v>
      </c>
      <c r="O97" s="131"/>
      <c r="P97" s="34">
        <v>162</v>
      </c>
      <c r="Q97" s="132">
        <v>2080</v>
      </c>
      <c r="R97" s="176">
        <v>24</v>
      </c>
      <c r="S97" s="132"/>
      <c r="T97" s="132"/>
      <c r="U97" s="204">
        <v>14</v>
      </c>
      <c r="V97" s="159">
        <f t="shared" si="6"/>
        <v>29624</v>
      </c>
      <c r="W97" s="122">
        <v>250</v>
      </c>
      <c r="X97" s="159">
        <f t="shared" si="12"/>
        <v>29874</v>
      </c>
      <c r="Y97" s="159">
        <f t="shared" si="7"/>
        <v>29120</v>
      </c>
      <c r="Z97" s="8">
        <f t="shared" si="8"/>
        <v>504</v>
      </c>
      <c r="AA97" s="8">
        <f t="shared" si="9"/>
        <v>0</v>
      </c>
      <c r="AB97" s="8">
        <f t="shared" si="10"/>
        <v>0</v>
      </c>
      <c r="AC97" s="24">
        <f t="shared" si="11"/>
        <v>29624</v>
      </c>
      <c r="AD97" s="131"/>
      <c r="AE97" t="s">
        <v>345</v>
      </c>
      <c r="AG97" s="1">
        <v>828.85</v>
      </c>
      <c r="AH97" s="1"/>
      <c r="AI97" s="1"/>
      <c r="AJ97" s="1"/>
      <c r="AK97" s="1">
        <f t="shared" si="2"/>
        <v>828.85</v>
      </c>
      <c r="AL97" s="1" t="s">
        <v>341</v>
      </c>
      <c r="AM97" s="1">
        <v>19.3</v>
      </c>
      <c r="AN97" s="1"/>
      <c r="AO97" s="1">
        <v>2.82</v>
      </c>
      <c r="AP97" s="35">
        <f t="shared" si="3"/>
        <v>22.12</v>
      </c>
      <c r="AR97">
        <v>0.21</v>
      </c>
      <c r="AS97" s="35">
        <f t="shared" si="4"/>
        <v>174.05850000000001</v>
      </c>
      <c r="AU97">
        <v>0.6</v>
      </c>
      <c r="AV97" s="35">
        <f t="shared" si="5"/>
        <v>13.272</v>
      </c>
    </row>
    <row r="98" spans="12:48" x14ac:dyDescent="0.4">
      <c r="L98" s="121"/>
      <c r="M98" s="121" t="s">
        <v>355</v>
      </c>
      <c r="P98" s="34">
        <v>169</v>
      </c>
      <c r="Q98" s="157">
        <v>2080</v>
      </c>
      <c r="R98" s="180"/>
      <c r="S98" s="143"/>
      <c r="T98" s="143"/>
      <c r="U98" s="210">
        <v>13.5</v>
      </c>
      <c r="V98" s="159">
        <f t="shared" si="6"/>
        <v>28080</v>
      </c>
      <c r="W98" s="123">
        <v>250</v>
      </c>
      <c r="X98" s="159">
        <f t="shared" si="12"/>
        <v>28330</v>
      </c>
      <c r="Y98" s="159">
        <f t="shared" si="7"/>
        <v>28080</v>
      </c>
      <c r="Z98" s="8">
        <f t="shared" si="8"/>
        <v>0</v>
      </c>
      <c r="AA98" s="8">
        <f t="shared" si="9"/>
        <v>0</v>
      </c>
      <c r="AB98" s="8">
        <f t="shared" si="10"/>
        <v>0</v>
      </c>
      <c r="AC98" s="24">
        <f t="shared" si="11"/>
        <v>28080</v>
      </c>
      <c r="AD98" s="131"/>
      <c r="AE98" t="s">
        <v>341</v>
      </c>
      <c r="AG98" s="63">
        <v>834.83</v>
      </c>
      <c r="AH98" s="63"/>
      <c r="AI98" s="63">
        <v>25.91</v>
      </c>
      <c r="AJ98" s="63"/>
      <c r="AK98" s="1">
        <f t="shared" si="2"/>
        <v>860.74</v>
      </c>
      <c r="AL98" s="63" t="s">
        <v>438</v>
      </c>
      <c r="AM98" s="63">
        <v>19.36</v>
      </c>
      <c r="AN98" s="63"/>
      <c r="AO98" s="63">
        <v>2.82</v>
      </c>
      <c r="AP98" s="35">
        <f t="shared" si="3"/>
        <v>22.18</v>
      </c>
      <c r="AR98">
        <v>0.21</v>
      </c>
      <c r="AS98" s="35">
        <f t="shared" si="4"/>
        <v>180.75540000000001</v>
      </c>
      <c r="AU98">
        <v>0.6</v>
      </c>
      <c r="AV98" s="35">
        <f t="shared" si="5"/>
        <v>13.308</v>
      </c>
    </row>
    <row r="99" spans="12:48" x14ac:dyDescent="0.4">
      <c r="L99" s="121"/>
      <c r="M99" s="121" t="s">
        <v>355</v>
      </c>
      <c r="P99" s="34">
        <v>168</v>
      </c>
      <c r="Q99" s="157">
        <v>2080</v>
      </c>
      <c r="R99" s="180"/>
      <c r="S99" s="143"/>
      <c r="T99" s="143"/>
      <c r="U99" s="210">
        <v>13.5</v>
      </c>
      <c r="V99" s="159">
        <f t="shared" si="6"/>
        <v>28080</v>
      </c>
      <c r="W99" s="123">
        <v>250</v>
      </c>
      <c r="X99" s="159">
        <f t="shared" si="12"/>
        <v>28330</v>
      </c>
      <c r="Y99" s="159">
        <f t="shared" si="7"/>
        <v>28080</v>
      </c>
      <c r="Z99" s="8">
        <f t="shared" si="8"/>
        <v>0</v>
      </c>
      <c r="AA99" s="8">
        <f t="shared" si="9"/>
        <v>0</v>
      </c>
      <c r="AB99" s="8">
        <f t="shared" si="10"/>
        <v>0</v>
      </c>
      <c r="AC99" s="24">
        <f t="shared" si="11"/>
        <v>28080</v>
      </c>
      <c r="AD99" s="131"/>
      <c r="AG99" s="63"/>
      <c r="AH99" s="63"/>
      <c r="AI99" s="63"/>
      <c r="AJ99" s="63"/>
      <c r="AK99" s="1">
        <f t="shared" si="2"/>
        <v>0</v>
      </c>
      <c r="AL99" s="63"/>
      <c r="AM99" s="63"/>
      <c r="AN99" s="63"/>
      <c r="AO99" s="63"/>
      <c r="AP99" s="35">
        <f t="shared" si="3"/>
        <v>0</v>
      </c>
      <c r="AS99" s="35">
        <f t="shared" si="4"/>
        <v>0</v>
      </c>
      <c r="AU99">
        <v>0.6</v>
      </c>
      <c r="AV99" s="35">
        <f t="shared" si="5"/>
        <v>0</v>
      </c>
    </row>
    <row r="100" spans="12:48" x14ac:dyDescent="0.4">
      <c r="L100" s="121"/>
      <c r="M100" s="121" t="s">
        <v>355</v>
      </c>
      <c r="P100" s="34">
        <v>172</v>
      </c>
      <c r="Q100" s="157">
        <v>2080</v>
      </c>
      <c r="R100" s="180"/>
      <c r="S100" s="143"/>
      <c r="T100" s="143"/>
      <c r="U100" s="210">
        <v>13.5</v>
      </c>
      <c r="V100" s="159">
        <f t="shared" si="6"/>
        <v>28080</v>
      </c>
      <c r="W100" s="123">
        <v>250</v>
      </c>
      <c r="X100" s="159">
        <f t="shared" si="12"/>
        <v>28330</v>
      </c>
      <c r="Y100" s="159">
        <f t="shared" si="7"/>
        <v>28080</v>
      </c>
      <c r="Z100" s="8">
        <f t="shared" si="8"/>
        <v>0</v>
      </c>
      <c r="AA100" s="8">
        <f t="shared" si="9"/>
        <v>0</v>
      </c>
      <c r="AB100" s="8">
        <f t="shared" si="10"/>
        <v>0</v>
      </c>
      <c r="AC100" s="24">
        <f t="shared" si="11"/>
        <v>28080</v>
      </c>
      <c r="AD100" s="131"/>
      <c r="AG100" s="63"/>
      <c r="AH100" s="63"/>
      <c r="AI100" s="63"/>
      <c r="AJ100" s="63"/>
      <c r="AK100" s="1">
        <f t="shared" si="2"/>
        <v>0</v>
      </c>
      <c r="AL100" s="63"/>
      <c r="AM100" s="63"/>
      <c r="AN100" s="63"/>
      <c r="AO100" s="63"/>
      <c r="AP100" s="35">
        <f t="shared" si="3"/>
        <v>0</v>
      </c>
      <c r="AS100" s="35">
        <f t="shared" si="4"/>
        <v>0</v>
      </c>
      <c r="AU100">
        <v>0.6</v>
      </c>
      <c r="AV100" s="35">
        <f t="shared" si="5"/>
        <v>0</v>
      </c>
    </row>
    <row r="101" spans="12:48" x14ac:dyDescent="0.4">
      <c r="L101" s="121"/>
      <c r="M101" s="121"/>
      <c r="N101" s="131"/>
      <c r="O101" s="131"/>
      <c r="P101" s="34"/>
      <c r="Q101" s="132"/>
      <c r="R101" s="176"/>
      <c r="S101" s="132"/>
      <c r="T101" s="132"/>
      <c r="U101" s="204"/>
      <c r="V101" s="159"/>
      <c r="W101" s="123"/>
      <c r="X101" s="159"/>
      <c r="Y101" s="159"/>
      <c r="AD101" s="131"/>
      <c r="AG101" s="63"/>
      <c r="AH101" s="63"/>
      <c r="AI101" s="63"/>
      <c r="AJ101" s="63"/>
      <c r="AK101" s="1">
        <f t="shared" si="2"/>
        <v>0</v>
      </c>
      <c r="AL101" s="63"/>
      <c r="AM101" s="63"/>
      <c r="AN101" s="63"/>
      <c r="AO101" s="63"/>
      <c r="AP101" s="35">
        <f t="shared" si="3"/>
        <v>0</v>
      </c>
      <c r="AS101" s="35">
        <f t="shared" si="4"/>
        <v>0</v>
      </c>
      <c r="AU101">
        <v>0.6</v>
      </c>
      <c r="AV101" s="35">
        <f t="shared" si="5"/>
        <v>0</v>
      </c>
    </row>
    <row r="102" spans="12:48" x14ac:dyDescent="0.4">
      <c r="M102" s="118"/>
      <c r="N102" s="131"/>
      <c r="O102" s="131"/>
      <c r="P102" s="121" t="s">
        <v>381</v>
      </c>
      <c r="Q102" s="141"/>
      <c r="R102" s="179"/>
      <c r="S102" s="141"/>
      <c r="T102" s="141"/>
      <c r="U102" s="200"/>
      <c r="V102" s="159"/>
      <c r="W102" s="122"/>
      <c r="X102" s="159"/>
      <c r="Y102" s="159"/>
      <c r="AD102" s="131"/>
      <c r="AG102" s="1"/>
      <c r="AH102" s="1"/>
      <c r="AI102" s="1"/>
      <c r="AJ102" s="1"/>
      <c r="AK102" s="1">
        <f t="shared" si="2"/>
        <v>0</v>
      </c>
      <c r="AL102" s="1"/>
      <c r="AM102" s="1"/>
      <c r="AN102" s="1"/>
      <c r="AO102" s="1"/>
      <c r="AP102" s="35">
        <f t="shared" si="3"/>
        <v>0</v>
      </c>
      <c r="AS102" s="35">
        <f t="shared" si="4"/>
        <v>0</v>
      </c>
      <c r="AU102">
        <v>0.6</v>
      </c>
      <c r="AV102" s="35">
        <f t="shared" si="5"/>
        <v>0</v>
      </c>
    </row>
    <row r="103" spans="12:48" x14ac:dyDescent="0.4">
      <c r="L103" s="118"/>
      <c r="M103" s="121" t="s">
        <v>382</v>
      </c>
      <c r="N103" s="131">
        <v>40441</v>
      </c>
      <c r="O103" s="131"/>
      <c r="P103" s="34">
        <v>24</v>
      </c>
      <c r="Q103" s="132">
        <v>2080</v>
      </c>
      <c r="R103" s="176">
        <v>11</v>
      </c>
      <c r="S103" s="132"/>
      <c r="T103" s="132"/>
      <c r="U103" s="204">
        <v>25.4</v>
      </c>
      <c r="V103" s="159">
        <f t="shared" si="6"/>
        <v>53251.1</v>
      </c>
      <c r="W103" s="122">
        <v>250</v>
      </c>
      <c r="X103" s="159">
        <f t="shared" si="12"/>
        <v>53501.1</v>
      </c>
      <c r="Y103" s="159">
        <f t="shared" si="7"/>
        <v>52832</v>
      </c>
      <c r="Z103" s="8">
        <f t="shared" si="8"/>
        <v>419.09999999999997</v>
      </c>
      <c r="AA103" s="8">
        <f t="shared" si="9"/>
        <v>0</v>
      </c>
      <c r="AB103" s="8">
        <f t="shared" si="10"/>
        <v>0</v>
      </c>
      <c r="AC103" s="24">
        <f t="shared" si="11"/>
        <v>53251.1</v>
      </c>
      <c r="AD103" s="131"/>
      <c r="AE103" t="s">
        <v>341</v>
      </c>
      <c r="AG103" s="1">
        <v>834.83</v>
      </c>
      <c r="AH103" s="1"/>
      <c r="AI103" s="1">
        <v>25.91</v>
      </c>
      <c r="AJ103" s="1"/>
      <c r="AK103" s="1">
        <f t="shared" si="2"/>
        <v>860.74</v>
      </c>
      <c r="AL103" s="1" t="s">
        <v>383</v>
      </c>
      <c r="AM103" s="1">
        <v>23.63</v>
      </c>
      <c r="AN103" s="1"/>
      <c r="AO103" s="1">
        <v>20.6</v>
      </c>
      <c r="AP103" s="35">
        <f t="shared" si="3"/>
        <v>44.230000000000004</v>
      </c>
      <c r="AR103">
        <v>0.21</v>
      </c>
      <c r="AS103" s="35">
        <f t="shared" si="4"/>
        <v>180.75540000000001</v>
      </c>
      <c r="AU103">
        <v>0.6</v>
      </c>
      <c r="AV103" s="35">
        <f t="shared" si="5"/>
        <v>26.538</v>
      </c>
    </row>
    <row r="104" spans="12:48" x14ac:dyDescent="0.4">
      <c r="L104" s="121"/>
      <c r="M104" s="121" t="s">
        <v>384</v>
      </c>
      <c r="N104" s="131">
        <v>42464</v>
      </c>
      <c r="O104" s="131"/>
      <c r="P104" s="34">
        <v>45</v>
      </c>
      <c r="Q104" s="132">
        <v>2080</v>
      </c>
      <c r="R104" s="176"/>
      <c r="S104" s="132">
        <v>3</v>
      </c>
      <c r="T104" s="132"/>
      <c r="U104" s="204">
        <v>20.5</v>
      </c>
      <c r="V104" s="159">
        <f t="shared" si="6"/>
        <v>42701.5</v>
      </c>
      <c r="W104" s="122">
        <v>250</v>
      </c>
      <c r="X104" s="159">
        <f t="shared" si="12"/>
        <v>42951.5</v>
      </c>
      <c r="Y104" s="159">
        <f t="shared" si="7"/>
        <v>42640</v>
      </c>
      <c r="Z104" s="8">
        <f t="shared" si="8"/>
        <v>0</v>
      </c>
      <c r="AA104" s="8">
        <f t="shared" si="9"/>
        <v>61.5</v>
      </c>
      <c r="AB104" s="8">
        <f t="shared" si="10"/>
        <v>0</v>
      </c>
      <c r="AC104" s="24">
        <f t="shared" si="11"/>
        <v>42701.5</v>
      </c>
      <c r="AD104" s="131"/>
      <c r="AE104" t="s">
        <v>345</v>
      </c>
      <c r="AG104" s="1">
        <v>828.85</v>
      </c>
      <c r="AH104" s="1"/>
      <c r="AI104" s="1"/>
      <c r="AJ104" s="1"/>
      <c r="AK104" s="1">
        <f t="shared" si="2"/>
        <v>828.85</v>
      </c>
      <c r="AL104" s="1" t="s">
        <v>345</v>
      </c>
      <c r="AM104" s="1">
        <v>19.3</v>
      </c>
      <c r="AN104" s="1"/>
      <c r="AO104" s="1"/>
      <c r="AP104" s="35">
        <f t="shared" si="3"/>
        <v>19.3</v>
      </c>
      <c r="AR104">
        <v>0.21</v>
      </c>
      <c r="AS104" s="35">
        <f t="shared" si="4"/>
        <v>174.05850000000001</v>
      </c>
      <c r="AU104">
        <v>0.6</v>
      </c>
      <c r="AV104" s="35">
        <f t="shared" si="5"/>
        <v>11.58</v>
      </c>
    </row>
    <row r="105" spans="12:48" x14ac:dyDescent="0.4">
      <c r="L105" s="121"/>
      <c r="M105" s="121" t="s">
        <v>385</v>
      </c>
      <c r="N105" s="131">
        <v>41922</v>
      </c>
      <c r="O105" s="131"/>
      <c r="P105" s="34">
        <v>52</v>
      </c>
      <c r="Q105" s="132">
        <v>2080</v>
      </c>
      <c r="R105" s="176">
        <v>18.5</v>
      </c>
      <c r="S105" s="132"/>
      <c r="T105" s="132">
        <v>15</v>
      </c>
      <c r="U105" s="204">
        <v>20.5</v>
      </c>
      <c r="V105" s="159">
        <f t="shared" si="6"/>
        <v>43670.125</v>
      </c>
      <c r="W105" s="122">
        <v>250</v>
      </c>
      <c r="X105" s="159">
        <f t="shared" si="12"/>
        <v>43920.125</v>
      </c>
      <c r="Y105" s="159">
        <f t="shared" si="7"/>
        <v>42640</v>
      </c>
      <c r="Z105" s="8">
        <f t="shared" si="8"/>
        <v>568.875</v>
      </c>
      <c r="AA105" s="8">
        <f t="shared" si="9"/>
        <v>0</v>
      </c>
      <c r="AB105" s="8">
        <f t="shared" si="10"/>
        <v>461.25</v>
      </c>
      <c r="AC105" s="24">
        <f t="shared" si="11"/>
        <v>43670.125</v>
      </c>
      <c r="AD105" s="131"/>
      <c r="AE105" t="s">
        <v>343</v>
      </c>
      <c r="AG105" s="1">
        <v>2367.96</v>
      </c>
      <c r="AH105" s="1"/>
      <c r="AI105" s="1">
        <v>386.43</v>
      </c>
      <c r="AJ105" s="1"/>
      <c r="AK105" s="1">
        <f t="shared" si="2"/>
        <v>2754.39</v>
      </c>
      <c r="AL105" s="1" t="s">
        <v>345</v>
      </c>
      <c r="AM105" s="1">
        <v>19.3</v>
      </c>
      <c r="AN105" s="1"/>
      <c r="AO105" s="1"/>
      <c r="AP105" s="35">
        <f t="shared" si="3"/>
        <v>19.3</v>
      </c>
      <c r="AR105">
        <v>0.33</v>
      </c>
      <c r="AS105" s="35">
        <f t="shared" si="4"/>
        <v>908.94870000000003</v>
      </c>
      <c r="AU105">
        <v>0.6</v>
      </c>
      <c r="AV105" s="35">
        <f t="shared" si="5"/>
        <v>11.58</v>
      </c>
    </row>
    <row r="106" spans="12:48" x14ac:dyDescent="0.4">
      <c r="L106" s="121"/>
      <c r="M106" s="121" t="s">
        <v>386</v>
      </c>
      <c r="N106" s="131">
        <v>39741</v>
      </c>
      <c r="O106" s="131"/>
      <c r="P106" s="34">
        <v>17</v>
      </c>
      <c r="Q106" s="132">
        <v>2080</v>
      </c>
      <c r="R106" s="176">
        <v>3</v>
      </c>
      <c r="S106" s="132"/>
      <c r="T106" s="132"/>
      <c r="U106" s="204">
        <v>18.5</v>
      </c>
      <c r="V106" s="159">
        <f t="shared" si="6"/>
        <v>38563.25</v>
      </c>
      <c r="W106" s="122">
        <v>250</v>
      </c>
      <c r="X106" s="159">
        <f t="shared" si="12"/>
        <v>38813.25</v>
      </c>
      <c r="Y106" s="159">
        <f t="shared" si="7"/>
        <v>38480</v>
      </c>
      <c r="Z106" s="8">
        <f t="shared" si="8"/>
        <v>83.25</v>
      </c>
      <c r="AA106" s="8">
        <f t="shared" si="9"/>
        <v>0</v>
      </c>
      <c r="AB106" s="8">
        <f t="shared" si="10"/>
        <v>0</v>
      </c>
      <c r="AC106" s="24">
        <f t="shared" si="11"/>
        <v>38563.25</v>
      </c>
      <c r="AD106" s="131"/>
      <c r="AE106" t="s">
        <v>345</v>
      </c>
      <c r="AG106" s="1">
        <v>828.85</v>
      </c>
      <c r="AH106" s="1"/>
      <c r="AI106" s="1"/>
      <c r="AJ106" s="1"/>
      <c r="AK106" s="1">
        <f t="shared" si="2"/>
        <v>828.85</v>
      </c>
      <c r="AL106" s="1" t="s">
        <v>345</v>
      </c>
      <c r="AM106" s="1">
        <v>19.3</v>
      </c>
      <c r="AN106" s="1"/>
      <c r="AO106" s="1"/>
      <c r="AP106" s="35">
        <f t="shared" si="3"/>
        <v>19.3</v>
      </c>
      <c r="AR106">
        <v>0.21</v>
      </c>
      <c r="AS106" s="35">
        <f t="shared" si="4"/>
        <v>174.05850000000001</v>
      </c>
      <c r="AU106">
        <v>0.6</v>
      </c>
      <c r="AV106" s="35">
        <f t="shared" si="5"/>
        <v>11.58</v>
      </c>
    </row>
    <row r="107" spans="12:48" x14ac:dyDescent="0.4">
      <c r="L107" s="121"/>
      <c r="M107" s="121" t="s">
        <v>387</v>
      </c>
      <c r="N107" s="131">
        <v>42619</v>
      </c>
      <c r="O107" s="131"/>
      <c r="P107" s="34">
        <v>65</v>
      </c>
      <c r="Q107" s="132">
        <v>2080</v>
      </c>
      <c r="R107" s="176">
        <v>3.5</v>
      </c>
      <c r="S107" s="132"/>
      <c r="T107" s="132"/>
      <c r="U107" s="204">
        <v>20.85</v>
      </c>
      <c r="V107" s="159">
        <f t="shared" si="6"/>
        <v>43477.462500000001</v>
      </c>
      <c r="W107" s="122">
        <v>250</v>
      </c>
      <c r="X107" s="159">
        <f t="shared" si="12"/>
        <v>43727.462500000001</v>
      </c>
      <c r="Y107" s="159">
        <f t="shared" si="7"/>
        <v>43368</v>
      </c>
      <c r="Z107" s="8">
        <f t="shared" si="8"/>
        <v>109.46250000000001</v>
      </c>
      <c r="AA107" s="8">
        <f t="shared" si="9"/>
        <v>0</v>
      </c>
      <c r="AB107" s="8">
        <f t="shared" si="10"/>
        <v>0</v>
      </c>
      <c r="AC107" s="24">
        <f t="shared" si="11"/>
        <v>43477.462500000001</v>
      </c>
      <c r="AD107" s="131"/>
      <c r="AE107" t="s">
        <v>341</v>
      </c>
      <c r="AG107" s="1">
        <v>834.83</v>
      </c>
      <c r="AH107" s="1"/>
      <c r="AI107" s="1">
        <v>25.91</v>
      </c>
      <c r="AJ107" s="1"/>
      <c r="AK107" s="1">
        <f t="shared" si="2"/>
        <v>860.74</v>
      </c>
      <c r="AL107" s="1" t="s">
        <v>356</v>
      </c>
      <c r="AM107" s="1">
        <v>25.68</v>
      </c>
      <c r="AN107" s="1"/>
      <c r="AO107" s="1">
        <v>56</v>
      </c>
      <c r="AP107" s="35">
        <f t="shared" si="3"/>
        <v>81.680000000000007</v>
      </c>
      <c r="AR107">
        <v>0.21</v>
      </c>
      <c r="AS107" s="35">
        <f t="shared" si="4"/>
        <v>180.75540000000001</v>
      </c>
      <c r="AU107">
        <v>0.6</v>
      </c>
      <c r="AV107" s="35">
        <f t="shared" si="5"/>
        <v>49.008000000000003</v>
      </c>
    </row>
    <row r="108" spans="12:48" x14ac:dyDescent="0.4">
      <c r="L108" s="121"/>
      <c r="M108" s="121"/>
      <c r="N108" s="131"/>
      <c r="O108" s="131"/>
      <c r="P108" s="34"/>
      <c r="Q108" s="132"/>
      <c r="R108" s="176"/>
      <c r="S108" s="132"/>
      <c r="T108" s="132"/>
      <c r="U108" s="204"/>
      <c r="V108" s="159"/>
      <c r="W108" s="122"/>
      <c r="X108" s="159"/>
      <c r="Y108" s="159"/>
      <c r="AD108" s="131"/>
      <c r="AG108" s="1"/>
      <c r="AH108" s="1"/>
      <c r="AI108" s="1"/>
      <c r="AJ108" s="1"/>
      <c r="AK108" s="1">
        <f t="shared" si="2"/>
        <v>0</v>
      </c>
      <c r="AL108" s="1"/>
      <c r="AM108" s="1"/>
      <c r="AN108" s="1"/>
      <c r="AO108" s="1"/>
      <c r="AP108" s="35">
        <f t="shared" si="3"/>
        <v>0</v>
      </c>
      <c r="AS108" s="35">
        <f t="shared" si="4"/>
        <v>0</v>
      </c>
      <c r="AU108">
        <v>0.6</v>
      </c>
      <c r="AV108" s="35">
        <f t="shared" si="5"/>
        <v>0</v>
      </c>
    </row>
    <row r="109" spans="12:48" x14ac:dyDescent="0.4">
      <c r="M109" s="118"/>
      <c r="N109" s="131"/>
      <c r="O109" s="131"/>
      <c r="P109" s="121" t="s">
        <v>388</v>
      </c>
      <c r="Q109" s="141"/>
      <c r="R109" s="179"/>
      <c r="S109" s="141"/>
      <c r="T109" s="141"/>
      <c r="U109" s="200"/>
      <c r="V109" s="159"/>
      <c r="W109" s="122"/>
      <c r="X109" s="159"/>
      <c r="Y109" s="159"/>
      <c r="AD109" s="131"/>
      <c r="AG109" s="1"/>
      <c r="AH109" s="1"/>
      <c r="AI109" s="1"/>
      <c r="AJ109" s="1"/>
      <c r="AK109" s="1">
        <f t="shared" si="2"/>
        <v>0</v>
      </c>
      <c r="AL109" s="1"/>
      <c r="AM109" s="1"/>
      <c r="AN109" s="1"/>
      <c r="AO109" s="1"/>
      <c r="AP109" s="35">
        <f t="shared" si="3"/>
        <v>0</v>
      </c>
      <c r="AS109" s="35">
        <f t="shared" si="4"/>
        <v>0</v>
      </c>
      <c r="AU109">
        <v>0.6</v>
      </c>
      <c r="AV109" s="35">
        <f t="shared" si="5"/>
        <v>0</v>
      </c>
    </row>
    <row r="110" spans="12:48" x14ac:dyDescent="0.4">
      <c r="L110" s="121"/>
      <c r="M110" s="121" t="s">
        <v>389</v>
      </c>
      <c r="N110" s="131">
        <v>44083</v>
      </c>
      <c r="O110" s="131"/>
      <c r="P110" s="34">
        <v>112</v>
      </c>
      <c r="Q110" s="132">
        <v>2080</v>
      </c>
      <c r="R110" s="176">
        <v>13</v>
      </c>
      <c r="S110" s="132"/>
      <c r="T110" s="132"/>
      <c r="U110" s="211">
        <v>20.6</v>
      </c>
      <c r="V110" s="159">
        <f t="shared" si="6"/>
        <v>43249.7</v>
      </c>
      <c r="W110" s="122">
        <v>250</v>
      </c>
      <c r="X110" s="159">
        <f t="shared" si="12"/>
        <v>43499.7</v>
      </c>
      <c r="Y110" s="159">
        <f t="shared" si="7"/>
        <v>42848</v>
      </c>
      <c r="Z110" s="8">
        <f t="shared" si="8"/>
        <v>401.70000000000005</v>
      </c>
      <c r="AA110" s="8">
        <f t="shared" si="9"/>
        <v>0</v>
      </c>
      <c r="AB110" s="8">
        <f t="shared" si="10"/>
        <v>0</v>
      </c>
      <c r="AC110" s="24">
        <f t="shared" si="11"/>
        <v>43249.7</v>
      </c>
      <c r="AD110" s="131"/>
      <c r="AE110" t="s">
        <v>341</v>
      </c>
      <c r="AG110" s="1">
        <v>834.83</v>
      </c>
      <c r="AH110" s="1"/>
      <c r="AI110" s="1">
        <v>25.91</v>
      </c>
      <c r="AJ110" s="1"/>
      <c r="AK110" s="1">
        <f t="shared" ref="AK110:AK144" si="13">AG110+AI110</f>
        <v>860.74</v>
      </c>
      <c r="AL110" s="1" t="s">
        <v>345</v>
      </c>
      <c r="AM110" s="1">
        <v>19.3</v>
      </c>
      <c r="AN110" s="1"/>
      <c r="AO110" s="1"/>
      <c r="AP110" s="35">
        <f t="shared" ref="AP110:AP144" si="14">AM110+AO110</f>
        <v>19.3</v>
      </c>
      <c r="AR110">
        <v>0.21</v>
      </c>
      <c r="AS110" s="35">
        <f t="shared" ref="AS110:AS144" si="15">AK110*AR110</f>
        <v>180.75540000000001</v>
      </c>
      <c r="AU110">
        <v>0.6</v>
      </c>
      <c r="AV110" s="35">
        <f t="shared" ref="AV110:AV144" si="16">AP110*AU110</f>
        <v>11.58</v>
      </c>
    </row>
    <row r="111" spans="12:48" x14ac:dyDescent="0.4">
      <c r="L111" s="121"/>
      <c r="M111" s="121" t="s">
        <v>390</v>
      </c>
      <c r="N111" s="131">
        <v>43494</v>
      </c>
      <c r="O111" s="131"/>
      <c r="P111" s="34">
        <v>100</v>
      </c>
      <c r="Q111" s="132">
        <v>2080</v>
      </c>
      <c r="R111" s="176">
        <v>46.5</v>
      </c>
      <c r="S111" s="132">
        <v>124.5</v>
      </c>
      <c r="T111" s="132">
        <v>164.5</v>
      </c>
      <c r="U111" s="204">
        <v>19.100000000000001</v>
      </c>
      <c r="V111" s="159">
        <f t="shared" ref="V111:V121" si="17">(Q111*U111)+(S111*U111)+(R111*(U111*1.5))+((U111*1.5)*T111)</f>
        <v>48151.1</v>
      </c>
      <c r="W111" s="122">
        <v>250</v>
      </c>
      <c r="X111" s="159">
        <f t="shared" si="12"/>
        <v>48401.1</v>
      </c>
      <c r="Y111" s="159">
        <f t="shared" ref="Y111:Y121" si="18">Q111*U111</f>
        <v>39728</v>
      </c>
      <c r="Z111" s="8">
        <f t="shared" ref="Z111:Z121" si="19">R111*U111*1.5</f>
        <v>1332.2250000000001</v>
      </c>
      <c r="AA111" s="8">
        <f t="shared" ref="AA111:AA121" si="20">S111*U111</f>
        <v>2377.9500000000003</v>
      </c>
      <c r="AB111" s="8">
        <f t="shared" ref="AB111:AB121" si="21">T111*(U111*1.5)</f>
        <v>4712.9250000000002</v>
      </c>
      <c r="AC111" s="24">
        <f t="shared" ref="AC111:AC121" si="22">SUM(Y111:AB111)</f>
        <v>48151.1</v>
      </c>
      <c r="AD111" s="131"/>
      <c r="AE111" t="s">
        <v>341</v>
      </c>
      <c r="AG111" s="1">
        <v>834.83</v>
      </c>
      <c r="AH111" s="1"/>
      <c r="AI111" s="1">
        <v>25.91</v>
      </c>
      <c r="AJ111" s="1"/>
      <c r="AK111" s="1">
        <f t="shared" si="13"/>
        <v>860.74</v>
      </c>
      <c r="AL111" s="1" t="s">
        <v>345</v>
      </c>
      <c r="AM111" s="1">
        <v>19.3</v>
      </c>
      <c r="AN111" s="1"/>
      <c r="AO111" s="1"/>
      <c r="AP111" s="35">
        <f t="shared" si="14"/>
        <v>19.3</v>
      </c>
      <c r="AR111">
        <v>0.21</v>
      </c>
      <c r="AS111" s="35">
        <f t="shared" si="15"/>
        <v>180.75540000000001</v>
      </c>
      <c r="AU111">
        <v>0.6</v>
      </c>
      <c r="AV111" s="35">
        <f t="shared" si="16"/>
        <v>11.58</v>
      </c>
    </row>
    <row r="112" spans="12:48" x14ac:dyDescent="0.4">
      <c r="L112" s="121"/>
      <c r="M112" s="121" t="s">
        <v>390</v>
      </c>
      <c r="N112" s="131">
        <v>45250</v>
      </c>
      <c r="O112" s="131"/>
      <c r="P112" s="34">
        <v>152</v>
      </c>
      <c r="Q112" s="132">
        <v>2080</v>
      </c>
      <c r="R112" s="176">
        <v>44.5</v>
      </c>
      <c r="S112" s="132">
        <v>42.5</v>
      </c>
      <c r="T112" s="132">
        <v>39</v>
      </c>
      <c r="U112" s="204">
        <v>15.12</v>
      </c>
      <c r="V112" s="159">
        <f t="shared" si="17"/>
        <v>33985.979999999996</v>
      </c>
      <c r="W112" s="122">
        <v>250</v>
      </c>
      <c r="X112" s="159">
        <f t="shared" ref="X112:X144" si="23">V112+W112</f>
        <v>34235.979999999996</v>
      </c>
      <c r="Y112" s="159">
        <f t="shared" si="18"/>
        <v>31449.599999999999</v>
      </c>
      <c r="Z112" s="8">
        <f t="shared" si="19"/>
        <v>1009.2599999999999</v>
      </c>
      <c r="AA112" s="8">
        <f t="shared" si="20"/>
        <v>642.6</v>
      </c>
      <c r="AB112" s="8">
        <f t="shared" si="21"/>
        <v>884.52</v>
      </c>
      <c r="AC112" s="24">
        <f t="shared" si="22"/>
        <v>33985.979999999996</v>
      </c>
      <c r="AD112" s="131"/>
      <c r="AE112" t="s">
        <v>345</v>
      </c>
      <c r="AG112" s="1">
        <v>828.85</v>
      </c>
      <c r="AH112" s="1"/>
      <c r="AI112" s="1"/>
      <c r="AJ112" s="1"/>
      <c r="AK112" s="1">
        <f t="shared" si="13"/>
        <v>828.85</v>
      </c>
      <c r="AL112" s="1" t="s">
        <v>345</v>
      </c>
      <c r="AM112" s="1">
        <v>19.3</v>
      </c>
      <c r="AN112" s="1"/>
      <c r="AO112" s="1"/>
      <c r="AP112" s="35">
        <f t="shared" si="14"/>
        <v>19.3</v>
      </c>
      <c r="AR112">
        <v>0.21</v>
      </c>
      <c r="AS112" s="35">
        <f t="shared" si="15"/>
        <v>174.05850000000001</v>
      </c>
      <c r="AU112">
        <v>0.6</v>
      </c>
      <c r="AV112" s="35">
        <f t="shared" si="16"/>
        <v>11.58</v>
      </c>
    </row>
    <row r="113" spans="12:48" x14ac:dyDescent="0.4">
      <c r="L113" s="121"/>
      <c r="M113" s="121" t="s">
        <v>390</v>
      </c>
      <c r="N113" s="131">
        <v>44368</v>
      </c>
      <c r="O113" s="131"/>
      <c r="P113" s="34">
        <v>119</v>
      </c>
      <c r="Q113" s="132">
        <v>2080</v>
      </c>
      <c r="R113" s="176">
        <v>24</v>
      </c>
      <c r="S113" s="132">
        <v>193.5</v>
      </c>
      <c r="T113" s="132">
        <v>192</v>
      </c>
      <c r="U113" s="204">
        <v>16.09</v>
      </c>
      <c r="V113" s="159">
        <f t="shared" si="17"/>
        <v>41793.774999999994</v>
      </c>
      <c r="W113" s="122">
        <v>250</v>
      </c>
      <c r="X113" s="159">
        <f t="shared" si="23"/>
        <v>42043.774999999994</v>
      </c>
      <c r="Y113" s="159">
        <f t="shared" si="18"/>
        <v>33467.199999999997</v>
      </c>
      <c r="Z113" s="8">
        <f t="shared" si="19"/>
        <v>579.24</v>
      </c>
      <c r="AA113" s="8">
        <f t="shared" si="20"/>
        <v>3113.415</v>
      </c>
      <c r="AB113" s="8">
        <f t="shared" si="21"/>
        <v>4633.92</v>
      </c>
      <c r="AC113" s="24">
        <f t="shared" si="22"/>
        <v>41793.774999999994</v>
      </c>
      <c r="AD113" s="131"/>
      <c r="AE113" t="s">
        <v>345</v>
      </c>
      <c r="AG113" s="1">
        <v>828.85</v>
      </c>
      <c r="AH113" s="1"/>
      <c r="AI113" s="1"/>
      <c r="AJ113" s="1"/>
      <c r="AK113" s="1">
        <f t="shared" si="13"/>
        <v>828.85</v>
      </c>
      <c r="AL113" s="1" t="s">
        <v>345</v>
      </c>
      <c r="AM113" s="1">
        <v>19.3</v>
      </c>
      <c r="AN113" s="1"/>
      <c r="AO113" s="1"/>
      <c r="AP113" s="35">
        <f t="shared" si="14"/>
        <v>19.3</v>
      </c>
      <c r="AR113">
        <v>0.21</v>
      </c>
      <c r="AS113" s="35">
        <f t="shared" si="15"/>
        <v>174.05850000000001</v>
      </c>
      <c r="AU113">
        <v>0.6</v>
      </c>
      <c r="AV113" s="35">
        <f t="shared" si="16"/>
        <v>11.58</v>
      </c>
    </row>
    <row r="114" spans="12:48" x14ac:dyDescent="0.4">
      <c r="L114" s="121"/>
      <c r="M114" s="121"/>
      <c r="N114" s="131"/>
      <c r="O114" s="131"/>
      <c r="P114" s="34"/>
      <c r="Q114" s="132"/>
      <c r="R114" s="176"/>
      <c r="S114" s="132"/>
      <c r="T114" s="132"/>
      <c r="U114" s="204"/>
      <c r="V114" s="159"/>
      <c r="W114" s="122"/>
      <c r="X114" s="159"/>
      <c r="Y114" s="159"/>
      <c r="AD114" s="131"/>
      <c r="AG114" s="1"/>
      <c r="AH114" s="1"/>
      <c r="AI114" s="1"/>
      <c r="AJ114" s="1"/>
      <c r="AK114" s="1">
        <f t="shared" si="13"/>
        <v>0</v>
      </c>
      <c r="AL114" s="1"/>
      <c r="AM114" s="1"/>
      <c r="AN114" s="1"/>
      <c r="AO114" s="1"/>
      <c r="AP114" s="35">
        <f t="shared" si="14"/>
        <v>0</v>
      </c>
      <c r="AS114" s="35">
        <f t="shared" si="15"/>
        <v>0</v>
      </c>
      <c r="AU114">
        <v>0.6</v>
      </c>
      <c r="AV114" s="35">
        <f t="shared" si="16"/>
        <v>0</v>
      </c>
    </row>
    <row r="115" spans="12:48" x14ac:dyDescent="0.4">
      <c r="M115" s="118"/>
      <c r="N115" s="131"/>
      <c r="O115" s="131"/>
      <c r="P115" s="121" t="s">
        <v>391</v>
      </c>
      <c r="Q115" s="141"/>
      <c r="R115" s="179"/>
      <c r="S115" s="141"/>
      <c r="T115" s="141"/>
      <c r="U115" s="200"/>
      <c r="V115" s="159"/>
      <c r="W115" s="122"/>
      <c r="X115" s="159"/>
      <c r="Y115" s="159"/>
      <c r="AD115" s="131"/>
      <c r="AG115" s="1"/>
      <c r="AH115" s="1"/>
      <c r="AI115" s="1"/>
      <c r="AJ115" s="1"/>
      <c r="AK115" s="1">
        <f t="shared" si="13"/>
        <v>0</v>
      </c>
      <c r="AL115" s="1"/>
      <c r="AM115" s="1"/>
      <c r="AN115" s="1"/>
      <c r="AO115" s="1"/>
      <c r="AP115" s="35">
        <f t="shared" si="14"/>
        <v>0</v>
      </c>
      <c r="AS115" s="35">
        <f t="shared" si="15"/>
        <v>0</v>
      </c>
      <c r="AU115">
        <v>0.6</v>
      </c>
      <c r="AV115" s="35">
        <f t="shared" si="16"/>
        <v>0</v>
      </c>
    </row>
    <row r="116" spans="12:48" x14ac:dyDescent="0.4">
      <c r="L116" s="128"/>
      <c r="M116" s="121" t="s">
        <v>421</v>
      </c>
      <c r="N116" s="131">
        <v>37834</v>
      </c>
      <c r="O116" s="131"/>
      <c r="P116" s="34">
        <v>37</v>
      </c>
      <c r="Q116" s="132">
        <v>2080</v>
      </c>
      <c r="R116" s="176"/>
      <c r="S116" s="132"/>
      <c r="T116" s="132"/>
      <c r="U116" s="204"/>
      <c r="V116" s="159">
        <v>45204.639999999999</v>
      </c>
      <c r="W116" s="122">
        <v>150</v>
      </c>
      <c r="X116" s="159">
        <f t="shared" si="23"/>
        <v>45354.64</v>
      </c>
      <c r="Y116" s="159">
        <f t="shared" si="18"/>
        <v>0</v>
      </c>
      <c r="Z116" s="8">
        <f t="shared" si="19"/>
        <v>0</v>
      </c>
      <c r="AA116" s="8">
        <f t="shared" si="20"/>
        <v>0</v>
      </c>
      <c r="AB116" s="8">
        <f t="shared" si="21"/>
        <v>0</v>
      </c>
      <c r="AC116" s="24">
        <f>V116</f>
        <v>45204.639999999999</v>
      </c>
      <c r="AD116" s="131"/>
      <c r="AE116" t="s">
        <v>401</v>
      </c>
      <c r="AG116" s="1">
        <v>1637.41</v>
      </c>
      <c r="AH116" s="1"/>
      <c r="AI116" s="1">
        <v>186.07</v>
      </c>
      <c r="AJ116" s="1"/>
      <c r="AK116" s="1">
        <f t="shared" si="13"/>
        <v>1823.48</v>
      </c>
      <c r="AL116" s="1" t="s">
        <v>383</v>
      </c>
      <c r="AM116" s="1">
        <v>23.63</v>
      </c>
      <c r="AN116" s="1"/>
      <c r="AO116" s="1">
        <v>20.6</v>
      </c>
      <c r="AP116" s="35">
        <f t="shared" si="14"/>
        <v>44.230000000000004</v>
      </c>
      <c r="AR116">
        <v>0.33</v>
      </c>
      <c r="AS116" s="35">
        <f t="shared" si="15"/>
        <v>601.74840000000006</v>
      </c>
      <c r="AU116">
        <v>0.6</v>
      </c>
      <c r="AV116" s="35">
        <f t="shared" si="16"/>
        <v>26.538</v>
      </c>
    </row>
    <row r="117" spans="12:48" x14ac:dyDescent="0.4">
      <c r="L117" s="121"/>
      <c r="M117" s="121" t="s">
        <v>392</v>
      </c>
      <c r="N117" s="131">
        <v>36744</v>
      </c>
      <c r="O117" s="131"/>
      <c r="P117" s="34">
        <v>57</v>
      </c>
      <c r="Q117" s="132">
        <v>2080</v>
      </c>
      <c r="R117" s="176">
        <v>42.5</v>
      </c>
      <c r="S117" s="132"/>
      <c r="T117" s="132"/>
      <c r="U117" s="204">
        <v>18.09</v>
      </c>
      <c r="V117" s="159">
        <f t="shared" si="17"/>
        <v>38780.4375</v>
      </c>
      <c r="W117" s="122">
        <v>150</v>
      </c>
      <c r="X117" s="159">
        <f t="shared" si="23"/>
        <v>38930.4375</v>
      </c>
      <c r="Y117" s="159">
        <f t="shared" si="18"/>
        <v>37627.199999999997</v>
      </c>
      <c r="Z117" s="8">
        <f t="shared" si="19"/>
        <v>1153.2375000000002</v>
      </c>
      <c r="AA117" s="8">
        <f t="shared" si="20"/>
        <v>0</v>
      </c>
      <c r="AB117" s="8">
        <f t="shared" si="21"/>
        <v>0</v>
      </c>
      <c r="AC117" s="24">
        <f t="shared" si="22"/>
        <v>38780.4375</v>
      </c>
      <c r="AD117" s="131"/>
      <c r="AE117" t="s">
        <v>341</v>
      </c>
      <c r="AG117" s="1"/>
      <c r="AH117" s="1"/>
      <c r="AI117" s="1"/>
      <c r="AJ117" s="1"/>
      <c r="AK117" s="1">
        <f t="shared" si="13"/>
        <v>0</v>
      </c>
      <c r="AL117" s="1" t="s">
        <v>341</v>
      </c>
      <c r="AM117" s="1">
        <v>19.3</v>
      </c>
      <c r="AN117" s="1"/>
      <c r="AO117" s="1">
        <v>2.82</v>
      </c>
      <c r="AP117" s="35">
        <f t="shared" si="14"/>
        <v>22.12</v>
      </c>
      <c r="AS117" s="35">
        <f t="shared" si="15"/>
        <v>0</v>
      </c>
      <c r="AU117">
        <v>0.6</v>
      </c>
      <c r="AV117" s="35">
        <f t="shared" si="16"/>
        <v>13.272</v>
      </c>
    </row>
    <row r="118" spans="12:48" x14ac:dyDescent="0.4">
      <c r="L118" s="121"/>
      <c r="M118" s="121" t="s">
        <v>392</v>
      </c>
      <c r="N118" s="131">
        <v>44095</v>
      </c>
      <c r="O118" s="131"/>
      <c r="P118" s="34">
        <v>28</v>
      </c>
      <c r="Q118" s="132">
        <v>2080</v>
      </c>
      <c r="R118" s="176">
        <v>41.5</v>
      </c>
      <c r="S118" s="132"/>
      <c r="T118" s="132"/>
      <c r="U118" s="204">
        <v>15.18</v>
      </c>
      <c r="V118" s="159">
        <f t="shared" si="17"/>
        <v>32519.354999999996</v>
      </c>
      <c r="W118" s="122">
        <v>150</v>
      </c>
      <c r="X118" s="159">
        <f t="shared" si="23"/>
        <v>32669.354999999996</v>
      </c>
      <c r="Y118" s="159">
        <f t="shared" si="18"/>
        <v>31574.399999999998</v>
      </c>
      <c r="Z118" s="8">
        <f t="shared" si="19"/>
        <v>944.95500000000004</v>
      </c>
      <c r="AA118" s="8">
        <f t="shared" si="20"/>
        <v>0</v>
      </c>
      <c r="AB118" s="8">
        <f t="shared" si="21"/>
        <v>0</v>
      </c>
      <c r="AC118" s="24">
        <f t="shared" si="22"/>
        <v>32519.355</v>
      </c>
      <c r="AD118" s="131"/>
      <c r="AE118" t="s">
        <v>345</v>
      </c>
      <c r="AG118" s="1">
        <v>828.85</v>
      </c>
      <c r="AH118" s="1"/>
      <c r="AI118" s="1"/>
      <c r="AJ118" s="1"/>
      <c r="AK118" s="1">
        <f t="shared" si="13"/>
        <v>828.85</v>
      </c>
      <c r="AL118" s="1" t="s">
        <v>341</v>
      </c>
      <c r="AM118" s="1">
        <v>19.3</v>
      </c>
      <c r="AN118" s="1"/>
      <c r="AO118" s="1">
        <v>2.82</v>
      </c>
      <c r="AP118" s="35">
        <f t="shared" si="14"/>
        <v>22.12</v>
      </c>
      <c r="AR118">
        <v>0.21</v>
      </c>
      <c r="AS118" s="35">
        <f t="shared" si="15"/>
        <v>174.05850000000001</v>
      </c>
      <c r="AU118">
        <v>0.6</v>
      </c>
      <c r="AV118" s="35">
        <f t="shared" si="16"/>
        <v>13.272</v>
      </c>
    </row>
    <row r="119" spans="12:48" x14ac:dyDescent="0.4">
      <c r="L119" s="121"/>
      <c r="M119" s="121" t="s">
        <v>392</v>
      </c>
      <c r="N119" s="131">
        <v>45428</v>
      </c>
      <c r="O119" s="131"/>
      <c r="P119" s="34">
        <v>158</v>
      </c>
      <c r="Q119" s="132">
        <v>2080</v>
      </c>
      <c r="R119" s="176">
        <v>21.75</v>
      </c>
      <c r="S119" s="132"/>
      <c r="T119" s="132"/>
      <c r="U119" s="204">
        <v>14</v>
      </c>
      <c r="V119" s="159">
        <f t="shared" si="17"/>
        <v>29576.75</v>
      </c>
      <c r="W119" s="122">
        <v>150</v>
      </c>
      <c r="X119" s="159">
        <f t="shared" si="23"/>
        <v>29726.75</v>
      </c>
      <c r="Y119" s="159">
        <f t="shared" si="18"/>
        <v>29120</v>
      </c>
      <c r="Z119" s="8">
        <f t="shared" si="19"/>
        <v>456.75</v>
      </c>
      <c r="AA119" s="8">
        <f t="shared" si="20"/>
        <v>0</v>
      </c>
      <c r="AB119" s="8">
        <f t="shared" si="21"/>
        <v>0</v>
      </c>
      <c r="AC119" s="24">
        <f t="shared" si="22"/>
        <v>29576.75</v>
      </c>
      <c r="AD119" s="131"/>
      <c r="AE119" t="s">
        <v>345</v>
      </c>
      <c r="AG119" s="1">
        <v>828.85</v>
      </c>
      <c r="AH119" s="1"/>
      <c r="AI119" s="1"/>
      <c r="AJ119" s="1"/>
      <c r="AK119" s="1">
        <f t="shared" si="13"/>
        <v>828.85</v>
      </c>
      <c r="AL119" s="1" t="s">
        <v>341</v>
      </c>
      <c r="AM119" s="1">
        <v>19.3</v>
      </c>
      <c r="AN119" s="1"/>
      <c r="AO119" s="1">
        <v>2.82</v>
      </c>
      <c r="AP119" s="35">
        <f t="shared" si="14"/>
        <v>22.12</v>
      </c>
      <c r="AR119">
        <v>0.21</v>
      </c>
      <c r="AS119" s="35">
        <f t="shared" si="15"/>
        <v>174.05850000000001</v>
      </c>
      <c r="AU119">
        <v>0.6</v>
      </c>
      <c r="AV119" s="35">
        <f t="shared" si="16"/>
        <v>13.272</v>
      </c>
    </row>
    <row r="120" spans="12:48" x14ac:dyDescent="0.4">
      <c r="L120" s="121"/>
      <c r="M120" s="121" t="s">
        <v>392</v>
      </c>
      <c r="N120" s="131">
        <v>45502</v>
      </c>
      <c r="O120" s="131"/>
      <c r="P120" s="34">
        <v>163</v>
      </c>
      <c r="Q120" s="132">
        <v>2080</v>
      </c>
      <c r="R120" s="176">
        <v>10.25</v>
      </c>
      <c r="S120" s="132"/>
      <c r="T120" s="132"/>
      <c r="U120" s="204">
        <v>14</v>
      </c>
      <c r="V120" s="159">
        <f t="shared" si="17"/>
        <v>29335.25</v>
      </c>
      <c r="W120" s="122">
        <v>150</v>
      </c>
      <c r="X120" s="159">
        <f t="shared" si="23"/>
        <v>29485.25</v>
      </c>
      <c r="Y120" s="159">
        <f t="shared" si="18"/>
        <v>29120</v>
      </c>
      <c r="Z120" s="8">
        <f t="shared" si="19"/>
        <v>215.25</v>
      </c>
      <c r="AA120" s="8">
        <f t="shared" si="20"/>
        <v>0</v>
      </c>
      <c r="AB120" s="8">
        <f t="shared" si="21"/>
        <v>0</v>
      </c>
      <c r="AC120" s="24">
        <f t="shared" si="22"/>
        <v>29335.25</v>
      </c>
      <c r="AD120" s="131"/>
      <c r="AE120" t="s">
        <v>353</v>
      </c>
      <c r="AG120" s="1"/>
      <c r="AH120" s="1"/>
      <c r="AI120" s="1"/>
      <c r="AJ120" s="1"/>
      <c r="AK120" s="1">
        <f t="shared" si="13"/>
        <v>0</v>
      </c>
      <c r="AL120" s="1" t="s">
        <v>512</v>
      </c>
      <c r="AM120" s="1">
        <v>25.68</v>
      </c>
      <c r="AN120" s="1"/>
      <c r="AO120" s="1">
        <v>56</v>
      </c>
      <c r="AP120" s="35">
        <f t="shared" si="14"/>
        <v>81.680000000000007</v>
      </c>
      <c r="AS120" s="35">
        <f t="shared" si="15"/>
        <v>0</v>
      </c>
      <c r="AU120">
        <v>0.6</v>
      </c>
      <c r="AV120" s="35">
        <f t="shared" si="16"/>
        <v>49.008000000000003</v>
      </c>
    </row>
    <row r="121" spans="12:48" x14ac:dyDescent="0.4">
      <c r="L121" s="121"/>
      <c r="M121" s="121" t="s">
        <v>392</v>
      </c>
      <c r="N121" s="131">
        <v>45531</v>
      </c>
      <c r="O121" s="131"/>
      <c r="P121" s="34">
        <v>164</v>
      </c>
      <c r="Q121" s="132">
        <v>2080</v>
      </c>
      <c r="R121" s="176">
        <v>0.25</v>
      </c>
      <c r="S121" s="132"/>
      <c r="T121" s="132"/>
      <c r="U121" s="204">
        <v>14</v>
      </c>
      <c r="V121" s="159">
        <f t="shared" si="17"/>
        <v>29125.25</v>
      </c>
      <c r="W121" s="122">
        <v>150</v>
      </c>
      <c r="X121" s="159">
        <f t="shared" si="23"/>
        <v>29275.25</v>
      </c>
      <c r="Y121" s="159">
        <f t="shared" si="18"/>
        <v>29120</v>
      </c>
      <c r="Z121" s="8">
        <f t="shared" si="19"/>
        <v>5.25</v>
      </c>
      <c r="AA121" s="8">
        <f t="shared" si="20"/>
        <v>0</v>
      </c>
      <c r="AB121" s="8">
        <f t="shared" si="21"/>
        <v>0</v>
      </c>
      <c r="AC121" s="24">
        <f t="shared" si="22"/>
        <v>29125.25</v>
      </c>
      <c r="AD121" s="131"/>
      <c r="AE121" t="s">
        <v>345</v>
      </c>
      <c r="AG121" s="1">
        <v>828.85</v>
      </c>
      <c r="AH121" s="1"/>
      <c r="AI121" s="1"/>
      <c r="AJ121" s="1"/>
      <c r="AK121" s="1">
        <f t="shared" si="13"/>
        <v>828.85</v>
      </c>
      <c r="AL121" s="1" t="s">
        <v>341</v>
      </c>
      <c r="AM121" s="1">
        <v>19.3</v>
      </c>
      <c r="AN121" s="1"/>
      <c r="AO121" s="1">
        <v>2.82</v>
      </c>
      <c r="AP121" s="35">
        <f t="shared" si="14"/>
        <v>22.12</v>
      </c>
      <c r="AR121">
        <v>0.21</v>
      </c>
      <c r="AS121" s="35">
        <f t="shared" si="15"/>
        <v>174.05850000000001</v>
      </c>
      <c r="AU121">
        <v>0.6</v>
      </c>
      <c r="AV121" s="35">
        <f t="shared" si="16"/>
        <v>13.272</v>
      </c>
    </row>
    <row r="122" spans="12:48" x14ac:dyDescent="0.4">
      <c r="R122" s="180"/>
      <c r="V122" s="159"/>
      <c r="W122" s="122"/>
      <c r="X122" s="159"/>
      <c r="Y122" s="159"/>
      <c r="AG122" s="1"/>
      <c r="AH122" s="1"/>
      <c r="AI122" s="1"/>
      <c r="AJ122" s="1"/>
      <c r="AK122" s="1">
        <f t="shared" si="13"/>
        <v>0</v>
      </c>
      <c r="AL122" s="1"/>
      <c r="AM122" s="1"/>
      <c r="AN122" s="1"/>
      <c r="AO122" s="1"/>
      <c r="AP122" s="35">
        <f t="shared" si="14"/>
        <v>0</v>
      </c>
      <c r="AS122" s="35">
        <f t="shared" si="15"/>
        <v>0</v>
      </c>
      <c r="AU122">
        <v>0.6</v>
      </c>
      <c r="AV122" s="35">
        <f t="shared" si="16"/>
        <v>0</v>
      </c>
    </row>
    <row r="123" spans="12:48" x14ac:dyDescent="0.4">
      <c r="L123" s="121"/>
      <c r="M123" s="121"/>
      <c r="N123" s="131"/>
      <c r="O123" s="131"/>
      <c r="P123" s="34"/>
      <c r="Q123" s="132"/>
      <c r="R123" s="176"/>
      <c r="S123" s="132"/>
      <c r="T123" s="132"/>
      <c r="U123" s="204"/>
      <c r="V123" s="159"/>
      <c r="W123" s="123"/>
      <c r="X123" s="159"/>
      <c r="Y123" s="159"/>
      <c r="AD123" s="131"/>
      <c r="AG123" s="63"/>
      <c r="AH123" s="63"/>
      <c r="AI123" s="63"/>
      <c r="AJ123" s="63"/>
      <c r="AK123" s="1">
        <f t="shared" si="13"/>
        <v>0</v>
      </c>
      <c r="AL123" s="63"/>
      <c r="AM123" s="63"/>
      <c r="AN123" s="63"/>
      <c r="AO123" s="63"/>
      <c r="AP123" s="35">
        <f t="shared" si="14"/>
        <v>0</v>
      </c>
      <c r="AS123" s="35">
        <f t="shared" si="15"/>
        <v>0</v>
      </c>
      <c r="AU123">
        <v>0.6</v>
      </c>
      <c r="AV123" s="35">
        <f t="shared" si="16"/>
        <v>0</v>
      </c>
    </row>
    <row r="124" spans="12:48" x14ac:dyDescent="0.4">
      <c r="M124" s="118"/>
      <c r="N124" s="131"/>
      <c r="O124" s="131"/>
      <c r="P124" s="121" t="s">
        <v>347</v>
      </c>
      <c r="Q124" s="141"/>
      <c r="R124" s="179"/>
      <c r="S124" s="141"/>
      <c r="T124" s="141"/>
      <c r="U124" s="200"/>
      <c r="V124" s="159"/>
      <c r="W124" s="122"/>
      <c r="X124" s="159"/>
      <c r="Y124" s="159"/>
      <c r="AD124" s="131"/>
      <c r="AG124" s="1"/>
      <c r="AH124" s="1"/>
      <c r="AI124" s="1"/>
      <c r="AJ124" s="1"/>
      <c r="AK124" s="1">
        <f t="shared" si="13"/>
        <v>0</v>
      </c>
      <c r="AL124" s="1"/>
      <c r="AM124" s="1"/>
      <c r="AN124" s="1"/>
      <c r="AO124" s="1"/>
      <c r="AP124" s="35">
        <f t="shared" si="14"/>
        <v>0</v>
      </c>
      <c r="AS124" s="35">
        <f t="shared" si="15"/>
        <v>0</v>
      </c>
      <c r="AU124">
        <v>0.6</v>
      </c>
      <c r="AV124" s="35">
        <f t="shared" si="16"/>
        <v>0</v>
      </c>
    </row>
    <row r="125" spans="12:48" x14ac:dyDescent="0.4">
      <c r="L125" s="121"/>
      <c r="M125" s="121" t="s">
        <v>510</v>
      </c>
      <c r="N125" s="131">
        <v>36689</v>
      </c>
      <c r="O125" s="131"/>
      <c r="P125" s="34">
        <v>53</v>
      </c>
      <c r="Q125" s="132">
        <v>2080</v>
      </c>
      <c r="R125" s="176"/>
      <c r="S125" s="132"/>
      <c r="T125" s="132"/>
      <c r="U125" s="204"/>
      <c r="V125" s="159">
        <v>92846.26</v>
      </c>
      <c r="W125" s="123">
        <v>250</v>
      </c>
      <c r="X125" s="159">
        <f t="shared" si="23"/>
        <v>93096.26</v>
      </c>
      <c r="Y125" s="159">
        <f t="shared" ref="Y125:Y144" si="24">Q125*U125</f>
        <v>0</v>
      </c>
      <c r="Z125" s="8">
        <f t="shared" ref="Z125:Z144" si="25">R125*U125*1.5</f>
        <v>0</v>
      </c>
      <c r="AA125" s="8">
        <f t="shared" ref="AA125:AA144" si="26">S125*U125</f>
        <v>0</v>
      </c>
      <c r="AB125" s="8">
        <f t="shared" ref="AB125:AB144" si="27">T125*U125</f>
        <v>0</v>
      </c>
      <c r="AC125" s="24">
        <f t="shared" ref="AC125:AC145" si="28">V125</f>
        <v>92846.26</v>
      </c>
      <c r="AD125" s="131"/>
      <c r="AE125" t="s">
        <v>345</v>
      </c>
      <c r="AG125" s="63">
        <v>828.85</v>
      </c>
      <c r="AH125" s="63"/>
      <c r="AI125" s="63"/>
      <c r="AJ125" s="63"/>
      <c r="AK125" s="1">
        <f t="shared" si="13"/>
        <v>828.85</v>
      </c>
      <c r="AL125" s="63" t="s">
        <v>341</v>
      </c>
      <c r="AM125" s="63">
        <v>19.3</v>
      </c>
      <c r="AN125" s="63"/>
      <c r="AO125" s="63">
        <v>2.82</v>
      </c>
      <c r="AP125" s="35">
        <f t="shared" si="14"/>
        <v>22.12</v>
      </c>
      <c r="AR125">
        <v>0.21</v>
      </c>
      <c r="AS125" s="35">
        <f t="shared" si="15"/>
        <v>174.05850000000001</v>
      </c>
      <c r="AU125">
        <v>0.6</v>
      </c>
      <c r="AV125" s="35">
        <f t="shared" si="16"/>
        <v>13.272</v>
      </c>
    </row>
    <row r="126" spans="12:48" x14ac:dyDescent="0.4">
      <c r="L126" s="121"/>
      <c r="M126" s="121"/>
      <c r="N126" s="131"/>
      <c r="O126" s="131"/>
      <c r="P126" s="34"/>
      <c r="Q126" s="132"/>
      <c r="R126" s="176"/>
      <c r="S126" s="132"/>
      <c r="T126" s="132"/>
      <c r="U126" s="204"/>
      <c r="V126" s="159"/>
      <c r="W126" s="123"/>
      <c r="X126" s="159"/>
      <c r="Y126" s="159"/>
      <c r="AD126" s="131"/>
      <c r="AG126" s="63"/>
      <c r="AH126" s="63"/>
      <c r="AI126" s="63"/>
      <c r="AJ126" s="63"/>
      <c r="AK126" s="1">
        <f t="shared" si="13"/>
        <v>0</v>
      </c>
      <c r="AL126" s="63"/>
      <c r="AM126" s="63"/>
      <c r="AN126" s="63"/>
      <c r="AO126" s="63"/>
      <c r="AP126" s="35">
        <f t="shared" si="14"/>
        <v>0</v>
      </c>
      <c r="AS126" s="35">
        <f t="shared" si="15"/>
        <v>0</v>
      </c>
      <c r="AU126">
        <v>0.6</v>
      </c>
      <c r="AV126" s="35">
        <f t="shared" si="16"/>
        <v>0</v>
      </c>
    </row>
    <row r="127" spans="12:48" x14ac:dyDescent="0.4">
      <c r="M127" s="118"/>
      <c r="N127" s="131"/>
      <c r="O127" s="131"/>
      <c r="P127" s="121" t="s">
        <v>527</v>
      </c>
      <c r="Q127" s="141"/>
      <c r="R127" s="179"/>
      <c r="S127" s="141"/>
      <c r="T127" s="141"/>
      <c r="U127" s="200"/>
      <c r="V127" s="159"/>
      <c r="W127" s="122"/>
      <c r="X127" s="159"/>
      <c r="Y127" s="159"/>
      <c r="AD127" s="131"/>
      <c r="AG127" s="1"/>
      <c r="AH127" s="1"/>
      <c r="AI127" s="1"/>
      <c r="AJ127" s="1"/>
      <c r="AK127" s="1">
        <f t="shared" si="13"/>
        <v>0</v>
      </c>
      <c r="AL127" s="1"/>
      <c r="AM127" s="1"/>
      <c r="AN127" s="1"/>
      <c r="AO127" s="1"/>
      <c r="AP127" s="35">
        <f t="shared" si="14"/>
        <v>0</v>
      </c>
      <c r="AS127" s="35">
        <f t="shared" si="15"/>
        <v>0</v>
      </c>
      <c r="AU127">
        <v>0.6</v>
      </c>
      <c r="AV127" s="35">
        <f t="shared" si="16"/>
        <v>0</v>
      </c>
    </row>
    <row r="128" spans="12:48" x14ac:dyDescent="0.4">
      <c r="L128" s="121"/>
      <c r="M128" s="121" t="s">
        <v>513</v>
      </c>
      <c r="N128" s="131">
        <v>37486</v>
      </c>
      <c r="O128" s="131"/>
      <c r="P128" s="34">
        <v>62</v>
      </c>
      <c r="Q128" s="132">
        <v>2080</v>
      </c>
      <c r="R128" s="176"/>
      <c r="S128" s="132"/>
      <c r="T128" s="132"/>
      <c r="U128" s="204"/>
      <c r="V128" s="159">
        <v>72923.87</v>
      </c>
      <c r="W128" s="122">
        <v>250</v>
      </c>
      <c r="X128" s="159">
        <f t="shared" si="23"/>
        <v>73173.87</v>
      </c>
      <c r="Y128" s="159">
        <f t="shared" si="24"/>
        <v>0</v>
      </c>
      <c r="Z128" s="8">
        <f t="shared" si="25"/>
        <v>0</v>
      </c>
      <c r="AA128" s="8">
        <f t="shared" si="26"/>
        <v>0</v>
      </c>
      <c r="AB128" s="8">
        <f t="shared" si="27"/>
        <v>0</v>
      </c>
      <c r="AC128" s="24">
        <f t="shared" si="28"/>
        <v>72923.87</v>
      </c>
      <c r="AD128" s="131"/>
      <c r="AE128" t="s">
        <v>353</v>
      </c>
      <c r="AG128" s="1"/>
      <c r="AH128" s="1"/>
      <c r="AI128" s="1"/>
      <c r="AJ128" s="1"/>
      <c r="AK128" s="1">
        <f t="shared" si="13"/>
        <v>0</v>
      </c>
      <c r="AL128" s="1" t="s">
        <v>353</v>
      </c>
      <c r="AM128" s="1"/>
      <c r="AN128" s="1"/>
      <c r="AO128" s="1"/>
      <c r="AP128" s="35">
        <f t="shared" si="14"/>
        <v>0</v>
      </c>
      <c r="AS128" s="35">
        <f t="shared" si="15"/>
        <v>0</v>
      </c>
      <c r="AU128">
        <v>0.6</v>
      </c>
      <c r="AV128" s="35">
        <f t="shared" si="16"/>
        <v>0</v>
      </c>
    </row>
    <row r="129" spans="12:48" x14ac:dyDescent="0.4">
      <c r="L129" s="118"/>
      <c r="M129" s="118"/>
      <c r="N129" s="131"/>
      <c r="O129" s="131"/>
      <c r="P129" s="34"/>
      <c r="Q129" s="141"/>
      <c r="R129" s="179"/>
      <c r="S129" s="141"/>
      <c r="T129" s="141"/>
      <c r="U129" s="200"/>
      <c r="V129" s="159"/>
      <c r="W129" s="122"/>
      <c r="X129" s="159"/>
      <c r="Y129" s="159"/>
      <c r="AD129" s="131"/>
      <c r="AG129" s="1"/>
      <c r="AH129" s="1"/>
      <c r="AI129" s="1"/>
      <c r="AJ129" s="1"/>
      <c r="AK129" s="1">
        <f t="shared" si="13"/>
        <v>0</v>
      </c>
      <c r="AL129" s="1"/>
      <c r="AM129" s="1"/>
      <c r="AN129" s="1"/>
      <c r="AO129" s="1"/>
      <c r="AP129" s="35">
        <f t="shared" si="14"/>
        <v>0</v>
      </c>
      <c r="AS129" s="35">
        <f t="shared" si="15"/>
        <v>0</v>
      </c>
      <c r="AU129">
        <v>0.6</v>
      </c>
      <c r="AV129" s="35">
        <f t="shared" si="16"/>
        <v>0</v>
      </c>
    </row>
    <row r="130" spans="12:48" x14ac:dyDescent="0.4">
      <c r="M130" s="118"/>
      <c r="N130" s="131"/>
      <c r="O130" s="131"/>
      <c r="P130" s="121" t="s">
        <v>2635</v>
      </c>
      <c r="Q130" s="141"/>
      <c r="R130" s="179"/>
      <c r="S130" s="141"/>
      <c r="T130" s="141"/>
      <c r="U130" s="200"/>
      <c r="V130" s="159"/>
      <c r="W130" s="122"/>
      <c r="X130" s="159"/>
      <c r="Y130" s="159"/>
      <c r="AD130" s="131"/>
      <c r="AG130" s="1"/>
      <c r="AH130" s="1"/>
      <c r="AI130" s="1"/>
      <c r="AJ130" s="1"/>
      <c r="AK130" s="1">
        <f t="shared" si="13"/>
        <v>0</v>
      </c>
      <c r="AL130" s="1"/>
      <c r="AM130" s="1"/>
      <c r="AN130" s="1"/>
      <c r="AO130" s="1"/>
      <c r="AP130" s="35">
        <f t="shared" si="14"/>
        <v>0</v>
      </c>
      <c r="AS130" s="35">
        <f t="shared" si="15"/>
        <v>0</v>
      </c>
      <c r="AU130">
        <v>0.6</v>
      </c>
      <c r="AV130" s="35">
        <f t="shared" si="16"/>
        <v>0</v>
      </c>
    </row>
    <row r="131" spans="12:48" x14ac:dyDescent="0.4">
      <c r="L131" s="121"/>
      <c r="M131" s="121" t="s">
        <v>511</v>
      </c>
      <c r="N131" s="131">
        <v>33482</v>
      </c>
      <c r="O131" s="131"/>
      <c r="P131" s="34">
        <v>32</v>
      </c>
      <c r="Q131" s="132">
        <v>2080</v>
      </c>
      <c r="R131" s="176"/>
      <c r="S131" s="132"/>
      <c r="T131" s="132"/>
      <c r="U131" s="204"/>
      <c r="V131" s="159">
        <v>72316.95</v>
      </c>
      <c r="W131" s="122">
        <v>250</v>
      </c>
      <c r="X131" s="159">
        <f t="shared" si="23"/>
        <v>72566.95</v>
      </c>
      <c r="Y131" s="159">
        <f t="shared" si="24"/>
        <v>0</v>
      </c>
      <c r="Z131" s="8">
        <f t="shared" si="25"/>
        <v>0</v>
      </c>
      <c r="AA131" s="8">
        <f t="shared" si="26"/>
        <v>0</v>
      </c>
      <c r="AB131" s="8">
        <f t="shared" si="27"/>
        <v>0</v>
      </c>
      <c r="AC131" s="24">
        <f t="shared" si="28"/>
        <v>72316.95</v>
      </c>
      <c r="AD131" s="131"/>
      <c r="AE131" t="s">
        <v>349</v>
      </c>
      <c r="AG131" s="1">
        <v>834.83</v>
      </c>
      <c r="AH131" s="1"/>
      <c r="AI131" s="1">
        <v>25.91</v>
      </c>
      <c r="AJ131" s="1"/>
      <c r="AK131" s="1">
        <f t="shared" si="13"/>
        <v>860.74</v>
      </c>
      <c r="AL131" s="1" t="s">
        <v>400</v>
      </c>
      <c r="AM131" s="1">
        <v>25.68</v>
      </c>
      <c r="AN131" s="1"/>
      <c r="AO131" s="1">
        <v>42.98</v>
      </c>
      <c r="AP131" s="35">
        <f t="shared" si="14"/>
        <v>68.66</v>
      </c>
      <c r="AR131">
        <v>0.21</v>
      </c>
      <c r="AS131" s="35">
        <f t="shared" si="15"/>
        <v>180.75540000000001</v>
      </c>
      <c r="AU131">
        <v>0.6</v>
      </c>
      <c r="AV131" s="35">
        <f t="shared" si="16"/>
        <v>41.195999999999998</v>
      </c>
    </row>
    <row r="132" spans="12:48" x14ac:dyDescent="0.4">
      <c r="L132" s="121"/>
      <c r="M132" s="121"/>
      <c r="N132" s="131"/>
      <c r="O132" s="131"/>
      <c r="P132" s="34"/>
      <c r="Q132" s="132"/>
      <c r="R132" s="176"/>
      <c r="S132" s="132"/>
      <c r="T132" s="132"/>
      <c r="U132" s="204"/>
      <c r="V132" s="159"/>
      <c r="W132" s="122"/>
      <c r="X132" s="159"/>
      <c r="Y132" s="159"/>
      <c r="AD132" s="131"/>
      <c r="AG132" s="1"/>
      <c r="AH132" s="1"/>
      <c r="AI132" s="1"/>
      <c r="AJ132" s="1"/>
      <c r="AK132" s="1">
        <f t="shared" si="13"/>
        <v>0</v>
      </c>
      <c r="AL132" s="1"/>
      <c r="AM132" s="1"/>
      <c r="AN132" s="1"/>
      <c r="AO132" s="1"/>
      <c r="AP132" s="35">
        <f t="shared" si="14"/>
        <v>0</v>
      </c>
      <c r="AS132" s="35">
        <f t="shared" si="15"/>
        <v>0</v>
      </c>
      <c r="AU132">
        <v>0.6</v>
      </c>
      <c r="AV132" s="35">
        <f t="shared" si="16"/>
        <v>0</v>
      </c>
    </row>
    <row r="133" spans="12:48" x14ac:dyDescent="0.4">
      <c r="L133" s="121"/>
      <c r="M133" s="121"/>
      <c r="N133" s="131"/>
      <c r="O133" s="131"/>
      <c r="P133" s="34"/>
      <c r="Q133" s="132"/>
      <c r="R133" s="176"/>
      <c r="S133" s="132"/>
      <c r="T133" s="132"/>
      <c r="U133" s="204"/>
      <c r="V133" s="159"/>
      <c r="W133" s="122"/>
      <c r="X133" s="159"/>
      <c r="Y133" s="159"/>
      <c r="AD133" s="131"/>
      <c r="AG133" s="1"/>
      <c r="AH133" s="1"/>
      <c r="AI133" s="1"/>
      <c r="AJ133" s="1"/>
      <c r="AK133" s="1">
        <f t="shared" si="13"/>
        <v>0</v>
      </c>
      <c r="AL133" s="1"/>
      <c r="AM133" s="1"/>
      <c r="AN133" s="1"/>
      <c r="AO133" s="1"/>
      <c r="AP133" s="35">
        <f t="shared" si="14"/>
        <v>0</v>
      </c>
      <c r="AS133" s="35">
        <f t="shared" si="15"/>
        <v>0</v>
      </c>
      <c r="AU133">
        <v>0.6</v>
      </c>
      <c r="AV133" s="35">
        <f t="shared" si="16"/>
        <v>0</v>
      </c>
    </row>
    <row r="134" spans="12:48" x14ac:dyDescent="0.4">
      <c r="M134" s="118"/>
      <c r="N134" s="131"/>
      <c r="O134" s="131"/>
      <c r="P134" s="121" t="s">
        <v>393</v>
      </c>
      <c r="Q134" s="141"/>
      <c r="R134" s="179"/>
      <c r="S134" s="141"/>
      <c r="T134" s="141"/>
      <c r="U134" s="200"/>
      <c r="V134" s="181"/>
      <c r="W134" s="122"/>
      <c r="X134" s="159"/>
      <c r="Y134" s="159"/>
      <c r="AD134" s="131"/>
      <c r="AG134" s="1"/>
      <c r="AH134" s="1"/>
      <c r="AI134" s="1"/>
      <c r="AJ134" s="1"/>
      <c r="AK134" s="1">
        <f t="shared" si="13"/>
        <v>0</v>
      </c>
      <c r="AL134" s="1"/>
      <c r="AM134" s="1"/>
      <c r="AN134" s="1"/>
      <c r="AO134" s="1"/>
      <c r="AP134" s="35">
        <f t="shared" si="14"/>
        <v>0</v>
      </c>
      <c r="AS134" s="35">
        <f t="shared" si="15"/>
        <v>0</v>
      </c>
      <c r="AU134">
        <v>0.6</v>
      </c>
      <c r="AV134" s="35">
        <f t="shared" si="16"/>
        <v>0</v>
      </c>
    </row>
    <row r="135" spans="12:48" x14ac:dyDescent="0.4">
      <c r="L135" s="121"/>
      <c r="M135" s="121" t="s">
        <v>394</v>
      </c>
      <c r="N135" s="131">
        <v>42583</v>
      </c>
      <c r="O135" s="131"/>
      <c r="P135" s="34">
        <v>63</v>
      </c>
      <c r="Q135" s="132">
        <v>2080</v>
      </c>
      <c r="R135" s="176">
        <v>38.5</v>
      </c>
      <c r="S135" s="132"/>
      <c r="T135" s="132"/>
      <c r="U135" s="204">
        <v>19.489999999999998</v>
      </c>
      <c r="V135" s="159">
        <f t="shared" ref="V135:V140" si="29">(Q135*U135)+(S135*U135)+(R135*(U135*1.5))+((U135*1.5)*T135)</f>
        <v>41664.747499999998</v>
      </c>
      <c r="W135" s="122">
        <v>150</v>
      </c>
      <c r="X135" s="159">
        <f t="shared" ref="X135:X140" si="30">V135+W135</f>
        <v>41814.747499999998</v>
      </c>
      <c r="Y135" s="159">
        <f t="shared" ref="Y135:Y140" si="31">Q135*U135</f>
        <v>40539.199999999997</v>
      </c>
      <c r="Z135" s="8">
        <f t="shared" ref="Z135:Z140" si="32">R135*U135*1.5</f>
        <v>1125.5474999999999</v>
      </c>
      <c r="AA135" s="8">
        <f t="shared" ref="AA135:AA140" si="33">S135*U135</f>
        <v>0</v>
      </c>
      <c r="AB135" s="8">
        <f t="shared" ref="AB135:AB140" si="34">T135*(U135*1.5)</f>
        <v>0</v>
      </c>
      <c r="AC135" s="24">
        <f t="shared" ref="AC135:AC140" si="35">SUM(Y135:AB135)</f>
        <v>41664.747499999998</v>
      </c>
      <c r="AD135" s="131"/>
      <c r="AE135" t="s">
        <v>341</v>
      </c>
      <c r="AG135" s="1">
        <v>834.83</v>
      </c>
      <c r="AH135" s="1"/>
      <c r="AI135" s="1">
        <v>25.91</v>
      </c>
      <c r="AJ135" s="1"/>
      <c r="AK135" s="1">
        <f t="shared" si="13"/>
        <v>860.74</v>
      </c>
      <c r="AL135" s="1" t="s">
        <v>341</v>
      </c>
      <c r="AM135" s="1">
        <v>19.3</v>
      </c>
      <c r="AN135" s="1"/>
      <c r="AO135" s="1">
        <v>2.82</v>
      </c>
      <c r="AP135" s="35">
        <f t="shared" si="14"/>
        <v>22.12</v>
      </c>
      <c r="AR135">
        <v>0.21</v>
      </c>
      <c r="AS135" s="35">
        <f t="shared" si="15"/>
        <v>180.75540000000001</v>
      </c>
      <c r="AU135">
        <v>0.6</v>
      </c>
      <c r="AV135" s="35">
        <f t="shared" si="16"/>
        <v>13.272</v>
      </c>
    </row>
    <row r="136" spans="12:48" x14ac:dyDescent="0.4">
      <c r="L136" s="121"/>
      <c r="M136" s="121" t="s">
        <v>395</v>
      </c>
      <c r="N136" s="131">
        <v>39626</v>
      </c>
      <c r="O136" s="131"/>
      <c r="P136" s="34">
        <v>38</v>
      </c>
      <c r="Q136" s="132">
        <v>2080</v>
      </c>
      <c r="R136" s="176">
        <v>5.75</v>
      </c>
      <c r="S136" s="132"/>
      <c r="T136" s="132"/>
      <c r="U136" s="204">
        <v>18.64</v>
      </c>
      <c r="V136" s="159">
        <f t="shared" si="29"/>
        <v>38931.97</v>
      </c>
      <c r="W136" s="122">
        <v>150</v>
      </c>
      <c r="X136" s="159">
        <f t="shared" si="30"/>
        <v>39081.97</v>
      </c>
      <c r="Y136" s="159">
        <f t="shared" si="31"/>
        <v>38771.200000000004</v>
      </c>
      <c r="Z136" s="8">
        <f t="shared" si="32"/>
        <v>160.77000000000001</v>
      </c>
      <c r="AA136" s="8">
        <f t="shared" si="33"/>
        <v>0</v>
      </c>
      <c r="AB136" s="8">
        <f t="shared" si="34"/>
        <v>0</v>
      </c>
      <c r="AC136" s="24">
        <f t="shared" si="35"/>
        <v>38931.97</v>
      </c>
      <c r="AD136" s="131"/>
      <c r="AE136" t="s">
        <v>349</v>
      </c>
      <c r="AG136" s="1">
        <v>1470.38</v>
      </c>
      <c r="AH136" s="1"/>
      <c r="AI136" s="1">
        <v>165.04</v>
      </c>
      <c r="AJ136" s="1"/>
      <c r="AK136" s="1">
        <f t="shared" si="13"/>
        <v>1635.42</v>
      </c>
      <c r="AL136" s="1" t="s">
        <v>349</v>
      </c>
      <c r="AM136" s="1">
        <v>15.9</v>
      </c>
      <c r="AN136" s="1"/>
      <c r="AO136" s="1">
        <v>35.85</v>
      </c>
      <c r="AP136" s="35">
        <f t="shared" si="14"/>
        <v>51.75</v>
      </c>
      <c r="AR136">
        <v>0.33</v>
      </c>
      <c r="AS136" s="35">
        <f t="shared" si="15"/>
        <v>539.68860000000006</v>
      </c>
      <c r="AU136">
        <v>0.6</v>
      </c>
      <c r="AV136" s="35">
        <f t="shared" si="16"/>
        <v>31.049999999999997</v>
      </c>
    </row>
    <row r="137" spans="12:48" x14ac:dyDescent="0.4">
      <c r="L137" s="121"/>
      <c r="M137" s="121" t="s">
        <v>396</v>
      </c>
      <c r="N137" s="131">
        <v>42619</v>
      </c>
      <c r="O137" s="131"/>
      <c r="P137" s="34">
        <v>66</v>
      </c>
      <c r="Q137" s="132">
        <v>2080</v>
      </c>
      <c r="R137" s="176">
        <v>80</v>
      </c>
      <c r="S137" s="132"/>
      <c r="T137" s="132"/>
      <c r="U137" s="204">
        <v>20</v>
      </c>
      <c r="V137" s="159">
        <f t="shared" si="29"/>
        <v>44000</v>
      </c>
      <c r="W137" s="122">
        <v>250</v>
      </c>
      <c r="X137" s="159">
        <f t="shared" si="30"/>
        <v>44250</v>
      </c>
      <c r="Y137" s="159">
        <f t="shared" si="31"/>
        <v>41600</v>
      </c>
      <c r="Z137" s="8">
        <f t="shared" si="32"/>
        <v>2400</v>
      </c>
      <c r="AA137" s="8">
        <f t="shared" si="33"/>
        <v>0</v>
      </c>
      <c r="AB137" s="8">
        <f t="shared" si="34"/>
        <v>0</v>
      </c>
      <c r="AC137" s="24">
        <f t="shared" si="35"/>
        <v>44000</v>
      </c>
      <c r="AD137" s="131"/>
      <c r="AE137" t="s">
        <v>343</v>
      </c>
      <c r="AG137" s="1">
        <v>2367.96</v>
      </c>
      <c r="AH137" s="1"/>
      <c r="AI137" s="1">
        <v>386.43</v>
      </c>
      <c r="AJ137" s="1"/>
      <c r="AK137" s="1">
        <f t="shared" si="13"/>
        <v>2754.39</v>
      </c>
      <c r="AL137" s="1" t="s">
        <v>383</v>
      </c>
      <c r="AM137" s="1">
        <v>23.63</v>
      </c>
      <c r="AN137" s="1"/>
      <c r="AO137" s="1">
        <v>20.6</v>
      </c>
      <c r="AP137" s="35">
        <f t="shared" si="14"/>
        <v>44.230000000000004</v>
      </c>
      <c r="AR137">
        <v>0.33</v>
      </c>
      <c r="AS137" s="35">
        <f t="shared" si="15"/>
        <v>908.94870000000003</v>
      </c>
      <c r="AU137">
        <v>0.6</v>
      </c>
      <c r="AV137" s="35">
        <f t="shared" si="16"/>
        <v>26.538</v>
      </c>
    </row>
    <row r="138" spans="12:48" x14ac:dyDescent="0.4">
      <c r="L138" s="121"/>
      <c r="M138" s="121" t="s">
        <v>397</v>
      </c>
      <c r="N138" s="131">
        <v>44882</v>
      </c>
      <c r="O138" s="131"/>
      <c r="P138" s="34">
        <v>135</v>
      </c>
      <c r="Q138" s="132">
        <v>2080</v>
      </c>
      <c r="R138" s="176">
        <v>34.5</v>
      </c>
      <c r="S138" s="132">
        <v>7.5</v>
      </c>
      <c r="T138" s="132">
        <v>11</v>
      </c>
      <c r="U138" s="204">
        <v>18.63</v>
      </c>
      <c r="V138" s="159">
        <f t="shared" si="29"/>
        <v>40161.622499999998</v>
      </c>
      <c r="W138" s="122">
        <v>250</v>
      </c>
      <c r="X138" s="159">
        <f t="shared" si="30"/>
        <v>40411.622499999998</v>
      </c>
      <c r="Y138" s="159">
        <f t="shared" si="31"/>
        <v>38750.400000000001</v>
      </c>
      <c r="Z138" s="8">
        <f t="shared" si="32"/>
        <v>964.10249999999996</v>
      </c>
      <c r="AA138" s="8">
        <f t="shared" si="33"/>
        <v>139.72499999999999</v>
      </c>
      <c r="AB138" s="8">
        <f t="shared" si="34"/>
        <v>307.39499999999998</v>
      </c>
      <c r="AC138" s="24">
        <f t="shared" si="35"/>
        <v>40161.622499999998</v>
      </c>
      <c r="AD138" s="131"/>
      <c r="AE138" t="s">
        <v>341</v>
      </c>
      <c r="AG138" s="1">
        <v>834.83</v>
      </c>
      <c r="AH138" s="1"/>
      <c r="AI138" s="1">
        <v>25.91</v>
      </c>
      <c r="AJ138" s="1"/>
      <c r="AK138" s="1">
        <f t="shared" si="13"/>
        <v>860.74</v>
      </c>
      <c r="AL138" s="1" t="s">
        <v>341</v>
      </c>
      <c r="AM138" s="1">
        <v>19.3</v>
      </c>
      <c r="AN138" s="1"/>
      <c r="AO138" s="1">
        <v>2.82</v>
      </c>
      <c r="AP138" s="35">
        <f t="shared" si="14"/>
        <v>22.12</v>
      </c>
      <c r="AR138">
        <v>0.21</v>
      </c>
      <c r="AS138" s="35">
        <f t="shared" si="15"/>
        <v>180.75540000000001</v>
      </c>
      <c r="AU138">
        <v>0.6</v>
      </c>
      <c r="AV138" s="35">
        <f t="shared" si="16"/>
        <v>13.272</v>
      </c>
    </row>
    <row r="139" spans="12:48" x14ac:dyDescent="0.4">
      <c r="L139" s="121"/>
      <c r="M139" s="121" t="s">
        <v>398</v>
      </c>
      <c r="N139" s="131">
        <v>43151</v>
      </c>
      <c r="O139" s="131"/>
      <c r="P139" s="34">
        <v>154</v>
      </c>
      <c r="Q139" s="132">
        <v>2080</v>
      </c>
      <c r="R139" s="176">
        <v>70.5</v>
      </c>
      <c r="S139" s="132">
        <v>12.5</v>
      </c>
      <c r="T139" s="132">
        <v>43.5</v>
      </c>
      <c r="U139" s="204">
        <v>16.559999999999999</v>
      </c>
      <c r="V139" s="159">
        <f t="shared" si="29"/>
        <v>37483.56</v>
      </c>
      <c r="W139" s="122">
        <v>250</v>
      </c>
      <c r="X139" s="159">
        <f t="shared" si="30"/>
        <v>37733.56</v>
      </c>
      <c r="Y139" s="159">
        <f t="shared" si="31"/>
        <v>34444.799999999996</v>
      </c>
      <c r="Z139" s="8">
        <f t="shared" si="32"/>
        <v>1751.22</v>
      </c>
      <c r="AA139" s="8">
        <f t="shared" si="33"/>
        <v>206.99999999999997</v>
      </c>
      <c r="AB139" s="8">
        <f t="shared" si="34"/>
        <v>1080.5399999999997</v>
      </c>
      <c r="AC139" s="24">
        <f t="shared" si="35"/>
        <v>37483.56</v>
      </c>
      <c r="AD139" s="131"/>
      <c r="AE139" t="s">
        <v>341</v>
      </c>
      <c r="AG139" s="1">
        <v>834.83</v>
      </c>
      <c r="AH139" s="1"/>
      <c r="AI139" s="1">
        <v>25.91</v>
      </c>
      <c r="AJ139" s="1"/>
      <c r="AK139" s="1">
        <f t="shared" si="13"/>
        <v>860.74</v>
      </c>
      <c r="AL139" s="1" t="s">
        <v>341</v>
      </c>
      <c r="AM139" s="1">
        <v>19.3</v>
      </c>
      <c r="AN139" s="1"/>
      <c r="AO139" s="1">
        <v>2.82</v>
      </c>
      <c r="AP139" s="35">
        <f t="shared" si="14"/>
        <v>22.12</v>
      </c>
      <c r="AR139">
        <v>0.21</v>
      </c>
      <c r="AS139" s="35">
        <f t="shared" si="15"/>
        <v>180.75540000000001</v>
      </c>
      <c r="AU139">
        <v>0.6</v>
      </c>
      <c r="AV139" s="35">
        <f t="shared" si="16"/>
        <v>13.272</v>
      </c>
    </row>
    <row r="140" spans="12:48" x14ac:dyDescent="0.4">
      <c r="L140" s="121"/>
      <c r="M140" s="121" t="s">
        <v>397</v>
      </c>
      <c r="N140" s="131">
        <v>34624</v>
      </c>
      <c r="O140" s="131"/>
      <c r="P140" s="34">
        <v>21</v>
      </c>
      <c r="Q140" s="132">
        <v>2080</v>
      </c>
      <c r="R140" s="176"/>
      <c r="S140" s="132"/>
      <c r="T140" s="132"/>
      <c r="U140" s="204">
        <v>19.489999999999998</v>
      </c>
      <c r="V140" s="159">
        <f t="shared" si="29"/>
        <v>40539.199999999997</v>
      </c>
      <c r="W140" s="122">
        <v>250</v>
      </c>
      <c r="X140" s="159">
        <f t="shared" si="30"/>
        <v>40789.199999999997</v>
      </c>
      <c r="Y140" s="159">
        <f t="shared" si="31"/>
        <v>40539.199999999997</v>
      </c>
      <c r="Z140" s="8">
        <f t="shared" si="32"/>
        <v>0</v>
      </c>
      <c r="AA140" s="8">
        <f t="shared" si="33"/>
        <v>0</v>
      </c>
      <c r="AB140" s="8">
        <f t="shared" si="34"/>
        <v>0</v>
      </c>
      <c r="AC140" s="24">
        <f t="shared" si="35"/>
        <v>40539.199999999997</v>
      </c>
      <c r="AD140" s="131"/>
      <c r="AE140" t="s">
        <v>345</v>
      </c>
      <c r="AG140" s="1">
        <v>828.85</v>
      </c>
      <c r="AH140" s="1"/>
      <c r="AI140" s="1"/>
      <c r="AJ140" s="1"/>
      <c r="AK140" s="1">
        <f t="shared" si="13"/>
        <v>828.85</v>
      </c>
      <c r="AL140" s="1" t="s">
        <v>383</v>
      </c>
      <c r="AM140" s="1">
        <v>23.63</v>
      </c>
      <c r="AN140" s="1"/>
      <c r="AO140" s="1">
        <v>20.6</v>
      </c>
      <c r="AP140" s="35">
        <f t="shared" si="14"/>
        <v>44.230000000000004</v>
      </c>
      <c r="AR140">
        <v>0.21</v>
      </c>
      <c r="AS140" s="35">
        <f t="shared" si="15"/>
        <v>174.05850000000001</v>
      </c>
      <c r="AU140">
        <v>0.6</v>
      </c>
      <c r="AV140" s="35">
        <f t="shared" si="16"/>
        <v>26.538</v>
      </c>
    </row>
    <row r="141" spans="12:48" x14ac:dyDescent="0.4">
      <c r="L141" s="121"/>
      <c r="M141" s="121" t="s">
        <v>402</v>
      </c>
      <c r="N141" s="131">
        <v>37802</v>
      </c>
      <c r="O141" s="131"/>
      <c r="P141" s="34">
        <v>40</v>
      </c>
      <c r="Q141" s="132">
        <v>2080</v>
      </c>
      <c r="R141" s="176"/>
      <c r="S141" s="132"/>
      <c r="T141" s="132"/>
      <c r="U141" s="204"/>
      <c r="V141" s="159">
        <v>96938.1</v>
      </c>
      <c r="W141" s="122">
        <v>150</v>
      </c>
      <c r="X141" s="159">
        <f t="shared" si="23"/>
        <v>97088.1</v>
      </c>
      <c r="Y141" s="159">
        <f t="shared" si="24"/>
        <v>0</v>
      </c>
      <c r="Z141" s="8">
        <f t="shared" si="25"/>
        <v>0</v>
      </c>
      <c r="AA141" s="8">
        <f t="shared" si="26"/>
        <v>0</v>
      </c>
      <c r="AB141" s="8">
        <f t="shared" si="27"/>
        <v>0</v>
      </c>
      <c r="AC141" s="24">
        <f>V141</f>
        <v>96938.1</v>
      </c>
      <c r="AD141" s="131"/>
      <c r="AE141" t="s">
        <v>341</v>
      </c>
      <c r="AG141" s="1">
        <v>834.83</v>
      </c>
      <c r="AH141" s="1"/>
      <c r="AI141" s="1">
        <v>25.91</v>
      </c>
      <c r="AJ141" s="1"/>
      <c r="AK141" s="1">
        <f t="shared" si="13"/>
        <v>860.74</v>
      </c>
      <c r="AL141" s="1" t="s">
        <v>341</v>
      </c>
      <c r="AM141" s="1">
        <v>19.3</v>
      </c>
      <c r="AN141" s="1"/>
      <c r="AO141" s="1">
        <v>2.82</v>
      </c>
      <c r="AP141" s="35">
        <f t="shared" si="14"/>
        <v>22.12</v>
      </c>
      <c r="AR141">
        <v>0.21</v>
      </c>
      <c r="AS141" s="35">
        <f t="shared" si="15"/>
        <v>180.75540000000001</v>
      </c>
      <c r="AU141">
        <v>0.6</v>
      </c>
      <c r="AV141" s="35">
        <f t="shared" si="16"/>
        <v>13.272</v>
      </c>
    </row>
    <row r="142" spans="12:48" x14ac:dyDescent="0.4">
      <c r="L142" s="121"/>
      <c r="M142" s="121" t="s">
        <v>403</v>
      </c>
      <c r="N142" s="131">
        <v>36293</v>
      </c>
      <c r="O142" s="131"/>
      <c r="P142" s="34">
        <v>10</v>
      </c>
      <c r="Q142" s="132">
        <v>2080</v>
      </c>
      <c r="R142" s="176"/>
      <c r="S142" s="132"/>
      <c r="T142" s="132"/>
      <c r="U142" s="204"/>
      <c r="V142" s="159">
        <v>76008.710000000006</v>
      </c>
      <c r="W142" s="122">
        <v>150</v>
      </c>
      <c r="X142" s="159">
        <f t="shared" si="23"/>
        <v>76158.710000000006</v>
      </c>
      <c r="Y142" s="159">
        <f t="shared" si="24"/>
        <v>0</v>
      </c>
      <c r="Z142" s="8">
        <f t="shared" si="25"/>
        <v>0</v>
      </c>
      <c r="AA142" s="8">
        <f t="shared" si="26"/>
        <v>0</v>
      </c>
      <c r="AB142" s="8">
        <f t="shared" si="27"/>
        <v>0</v>
      </c>
      <c r="AC142" s="24">
        <f t="shared" si="28"/>
        <v>76008.710000000006</v>
      </c>
      <c r="AD142" s="131"/>
      <c r="AE142" t="s">
        <v>341</v>
      </c>
      <c r="AG142" s="1">
        <v>834.83</v>
      </c>
      <c r="AH142" s="1"/>
      <c r="AI142" s="1">
        <v>25.91</v>
      </c>
      <c r="AJ142" s="1"/>
      <c r="AK142" s="1">
        <f t="shared" si="13"/>
        <v>860.74</v>
      </c>
      <c r="AL142" s="1" t="s">
        <v>404</v>
      </c>
      <c r="AM142" s="1">
        <v>25.68</v>
      </c>
      <c r="AN142" s="1"/>
      <c r="AO142" s="1">
        <v>56</v>
      </c>
      <c r="AP142" s="35">
        <f t="shared" si="14"/>
        <v>81.680000000000007</v>
      </c>
      <c r="AR142">
        <v>0.21</v>
      </c>
      <c r="AS142" s="35">
        <f t="shared" si="15"/>
        <v>180.75540000000001</v>
      </c>
      <c r="AU142">
        <v>0.6</v>
      </c>
      <c r="AV142" s="35">
        <f t="shared" si="16"/>
        <v>49.008000000000003</v>
      </c>
    </row>
    <row r="143" spans="12:48" x14ac:dyDescent="0.4">
      <c r="L143" s="121"/>
      <c r="M143" s="121" t="s">
        <v>405</v>
      </c>
      <c r="N143" s="131">
        <v>37413</v>
      </c>
      <c r="O143" s="131"/>
      <c r="P143" s="34">
        <v>60</v>
      </c>
      <c r="Q143" s="132">
        <v>2080</v>
      </c>
      <c r="R143" s="176"/>
      <c r="S143" s="132"/>
      <c r="T143" s="132"/>
      <c r="U143" s="204"/>
      <c r="V143" s="159">
        <v>52959.53</v>
      </c>
      <c r="W143" s="122">
        <v>150</v>
      </c>
      <c r="X143" s="159">
        <f t="shared" si="23"/>
        <v>53109.53</v>
      </c>
      <c r="Y143" s="159">
        <f t="shared" si="24"/>
        <v>0</v>
      </c>
      <c r="Z143" s="8">
        <f t="shared" si="25"/>
        <v>0</v>
      </c>
      <c r="AA143" s="8">
        <f t="shared" si="26"/>
        <v>0</v>
      </c>
      <c r="AB143" s="8">
        <f t="shared" si="27"/>
        <v>0</v>
      </c>
      <c r="AC143" s="24">
        <f t="shared" si="28"/>
        <v>52959.53</v>
      </c>
      <c r="AD143" s="131"/>
      <c r="AE143" t="s">
        <v>341</v>
      </c>
      <c r="AG143" s="1">
        <v>834.83</v>
      </c>
      <c r="AH143" s="1"/>
      <c r="AI143" s="1">
        <v>25.91</v>
      </c>
      <c r="AJ143" s="1"/>
      <c r="AK143" s="1">
        <f t="shared" si="13"/>
        <v>860.74</v>
      </c>
      <c r="AL143" s="1" t="s">
        <v>345</v>
      </c>
      <c r="AM143" s="1">
        <v>25.68</v>
      </c>
      <c r="AN143" s="1"/>
      <c r="AO143" s="1">
        <v>42.98</v>
      </c>
      <c r="AP143" s="35">
        <f t="shared" si="14"/>
        <v>68.66</v>
      </c>
      <c r="AR143">
        <v>0.21</v>
      </c>
      <c r="AS143" s="35">
        <f t="shared" si="15"/>
        <v>180.75540000000001</v>
      </c>
      <c r="AU143">
        <v>0.6</v>
      </c>
      <c r="AV143" s="35">
        <f t="shared" si="16"/>
        <v>41.195999999999998</v>
      </c>
    </row>
    <row r="144" spans="12:48" x14ac:dyDescent="0.4">
      <c r="L144" s="121"/>
      <c r="M144" s="121" t="s">
        <v>406</v>
      </c>
      <c r="N144" s="131">
        <v>36290</v>
      </c>
      <c r="O144" s="131"/>
      <c r="P144" s="34">
        <v>34</v>
      </c>
      <c r="Q144" s="132">
        <v>2080</v>
      </c>
      <c r="R144" s="176"/>
      <c r="S144" s="132"/>
      <c r="T144" s="132"/>
      <c r="U144" s="204"/>
      <c r="V144" s="159">
        <v>71285.119999999995</v>
      </c>
      <c r="W144" s="122">
        <v>150</v>
      </c>
      <c r="X144" s="159">
        <f t="shared" si="23"/>
        <v>71435.12</v>
      </c>
      <c r="Y144" s="159">
        <f t="shared" si="24"/>
        <v>0</v>
      </c>
      <c r="Z144" s="8">
        <f t="shared" si="25"/>
        <v>0</v>
      </c>
      <c r="AA144" s="8">
        <f t="shared" si="26"/>
        <v>0</v>
      </c>
      <c r="AB144" s="8">
        <f t="shared" si="27"/>
        <v>0</v>
      </c>
      <c r="AC144" s="24">
        <f t="shared" si="28"/>
        <v>71285.119999999995</v>
      </c>
      <c r="AD144" s="131"/>
      <c r="AE144" t="s">
        <v>360</v>
      </c>
      <c r="AG144" s="1">
        <v>1637.41</v>
      </c>
      <c r="AH144" s="1"/>
      <c r="AI144" s="1">
        <v>186.07</v>
      </c>
      <c r="AJ144" s="1"/>
      <c r="AK144" s="1">
        <f t="shared" si="13"/>
        <v>1823.48</v>
      </c>
      <c r="AL144" s="1" t="s">
        <v>383</v>
      </c>
      <c r="AM144" s="1">
        <v>23.63</v>
      </c>
      <c r="AN144" s="1"/>
      <c r="AO144" s="1">
        <v>20.6</v>
      </c>
      <c r="AP144" s="35">
        <f t="shared" si="14"/>
        <v>44.230000000000004</v>
      </c>
      <c r="AR144">
        <v>0.33</v>
      </c>
      <c r="AS144" s="35">
        <f t="shared" si="15"/>
        <v>601.74840000000006</v>
      </c>
      <c r="AU144">
        <v>0.6</v>
      </c>
      <c r="AV144" s="35">
        <f t="shared" si="16"/>
        <v>26.538</v>
      </c>
    </row>
    <row r="145" spans="12:57" x14ac:dyDescent="0.4">
      <c r="L145" s="27"/>
      <c r="P145" t="s">
        <v>418</v>
      </c>
      <c r="R145" s="180"/>
      <c r="V145" s="122">
        <v>26999.7</v>
      </c>
      <c r="W145" s="122"/>
      <c r="X145" s="122">
        <v>27000</v>
      </c>
      <c r="Y145" s="122"/>
      <c r="AC145" s="24">
        <f t="shared" si="28"/>
        <v>26999.7</v>
      </c>
      <c r="AG145" s="1"/>
      <c r="AH145" s="1"/>
      <c r="AI145" s="1"/>
      <c r="AJ145" s="1"/>
      <c r="AK145" s="1"/>
      <c r="AL145" s="1"/>
      <c r="AM145" s="1"/>
      <c r="AN145" s="1"/>
      <c r="AO145" s="1"/>
    </row>
    <row r="146" spans="12:57" x14ac:dyDescent="0.4">
      <c r="R146" s="180"/>
      <c r="V146" s="122"/>
      <c r="W146" s="122"/>
      <c r="X146" s="122"/>
      <c r="Y146" s="122"/>
      <c r="AG146" s="280">
        <f>SUM(AG45:AG145)</f>
        <v>69390.599999999991</v>
      </c>
      <c r="AH146" s="35"/>
      <c r="AI146" s="35">
        <f>SUM(AI45:AI145)</f>
        <v>5287.3299999999972</v>
      </c>
      <c r="AJ146" s="35"/>
      <c r="AK146" s="35">
        <f>SUM(AK45:AK145)</f>
        <v>74677.929999999978</v>
      </c>
      <c r="AM146" s="280">
        <f>SUM(AM45:AM145)</f>
        <v>1381.0799999999995</v>
      </c>
      <c r="AN146" s="280"/>
      <c r="AO146" s="35">
        <f t="shared" ref="AO146" si="36">SUM(AO45:AO145)</f>
        <v>1137.7200000000007</v>
      </c>
      <c r="AP146" s="35">
        <f>SUM(AP45:AP145)</f>
        <v>2518.7999999999984</v>
      </c>
      <c r="AS146" s="35">
        <f>SUM(AS45:AS145)</f>
        <v>20194.679700000004</v>
      </c>
      <c r="AV146" s="35">
        <f>SUM(AV45:AV145)</f>
        <v>1511.2799999999997</v>
      </c>
    </row>
    <row r="147" spans="12:57" x14ac:dyDescent="0.4">
      <c r="AE147" t="s">
        <v>546</v>
      </c>
      <c r="AG147" s="1">
        <v>12</v>
      </c>
      <c r="AH147" s="1"/>
      <c r="AI147" s="1">
        <v>12</v>
      </c>
      <c r="AJ147" s="1"/>
      <c r="AK147" s="1">
        <v>12</v>
      </c>
      <c r="AL147" s="1"/>
      <c r="AM147" s="1">
        <v>12</v>
      </c>
      <c r="AN147" s="1"/>
      <c r="AO147" s="1">
        <v>12</v>
      </c>
      <c r="AP147" s="1">
        <v>12</v>
      </c>
      <c r="AQ147" s="1"/>
      <c r="AR147" s="1"/>
      <c r="AS147" s="1">
        <v>12</v>
      </c>
      <c r="AT147" s="1"/>
      <c r="AU147" s="1"/>
      <c r="AV147" s="1">
        <v>12</v>
      </c>
    </row>
    <row r="148" spans="12:57" x14ac:dyDescent="0.4">
      <c r="Q148" s="122">
        <f>SUM(Q45:Q147)</f>
        <v>149847</v>
      </c>
      <c r="V148" s="122">
        <f>SUM(V45:V147)</f>
        <v>3315318.5350000006</v>
      </c>
      <c r="W148" s="122">
        <f t="shared" ref="W148" si="37">SUM(W45:W147)</f>
        <v>16758.400000000001</v>
      </c>
      <c r="X148" s="122">
        <f>SUM(X45:X147)</f>
        <v>3332077.2350000003</v>
      </c>
      <c r="AC148" s="24">
        <f>SUM(AC46:AC147)</f>
        <v>3246318.5350000006</v>
      </c>
    </row>
    <row r="149" spans="12:57" x14ac:dyDescent="0.4">
      <c r="V149" s="122">
        <v>3315319</v>
      </c>
      <c r="X149" s="218">
        <f>W148+V149</f>
        <v>3332077.4</v>
      </c>
      <c r="AE149" t="s">
        <v>179</v>
      </c>
      <c r="AG149" s="223">
        <f>AG146*AG147</f>
        <v>832687.2</v>
      </c>
      <c r="AH149" s="223"/>
      <c r="AI149" s="8">
        <f t="shared" ref="AI149:AV149" si="38">AI146*AI147</f>
        <v>63447.959999999963</v>
      </c>
      <c r="AJ149" s="8"/>
      <c r="AK149" s="8">
        <f t="shared" si="38"/>
        <v>896135.15999999968</v>
      </c>
      <c r="AL149" s="8"/>
      <c r="AM149" s="223">
        <f t="shared" si="38"/>
        <v>16572.959999999992</v>
      </c>
      <c r="AN149" s="223"/>
      <c r="AO149" s="8">
        <f t="shared" si="38"/>
        <v>13652.640000000009</v>
      </c>
      <c r="AP149" s="8">
        <f t="shared" si="38"/>
        <v>30225.59999999998</v>
      </c>
      <c r="AS149" s="223">
        <f t="shared" si="38"/>
        <v>242336.15640000004</v>
      </c>
      <c r="AT149" s="8"/>
      <c r="AU149" s="8"/>
      <c r="AV149" s="8">
        <f t="shared" si="38"/>
        <v>18135.359999999997</v>
      </c>
      <c r="AW149" s="24">
        <f>SUM(AS149:AV149)</f>
        <v>260471.51640000002</v>
      </c>
      <c r="AY149" t="s">
        <v>2722</v>
      </c>
      <c r="BA149" s="24">
        <f>AQ196</f>
        <v>700942.5874522212</v>
      </c>
      <c r="BC149">
        <f>BA149/$BA$152</f>
        <v>0.82535672867572318</v>
      </c>
      <c r="BE149" s="35">
        <f>BC149*$BE$152</f>
        <v>214981.91868910901</v>
      </c>
    </row>
    <row r="150" spans="12:57" x14ac:dyDescent="0.4">
      <c r="U150"/>
      <c r="V150"/>
      <c r="X150" s="30" t="s">
        <v>179</v>
      </c>
      <c r="AE150" t="s">
        <v>547</v>
      </c>
      <c r="AG150" s="223">
        <v>-561004</v>
      </c>
      <c r="AH150" s="223"/>
      <c r="AM150" s="223">
        <v>-9989</v>
      </c>
      <c r="AN150" s="223"/>
      <c r="AY150" t="s">
        <v>49</v>
      </c>
      <c r="BA150" s="24">
        <f>AQ207</f>
        <v>148317.57254777875</v>
      </c>
      <c r="BC150">
        <f>BA150/$BA$152</f>
        <v>0.17464327132427684</v>
      </c>
      <c r="BE150" s="35">
        <f>BC150*$BE$152</f>
        <v>45489.59771089103</v>
      </c>
    </row>
    <row r="151" spans="12:57" x14ac:dyDescent="0.4">
      <c r="U151"/>
      <c r="V151"/>
      <c r="X151" s="30" t="s">
        <v>436</v>
      </c>
      <c r="AE151" t="s">
        <v>49</v>
      </c>
      <c r="AG151" s="224">
        <v>-140172</v>
      </c>
      <c r="AH151" s="224"/>
      <c r="AM151" s="223">
        <v>-2965</v>
      </c>
      <c r="AN151" s="223"/>
    </row>
    <row r="152" spans="12:57" x14ac:dyDescent="0.4">
      <c r="N152" t="s">
        <v>548</v>
      </c>
      <c r="U152"/>
      <c r="V152"/>
      <c r="AE152" s="225" t="s">
        <v>21</v>
      </c>
      <c r="AF152" s="225"/>
      <c r="AG152" s="224">
        <f>SUM(AG149:AG151)</f>
        <v>131511.19999999995</v>
      </c>
      <c r="AH152" s="224"/>
      <c r="AM152" s="224">
        <f>SUM(AM149:AM151)</f>
        <v>3618.9599999999919</v>
      </c>
      <c r="AN152" s="224"/>
      <c r="AY152" t="s">
        <v>25</v>
      </c>
      <c r="BA152" s="24">
        <f>BA149+BA150</f>
        <v>849260.15999999992</v>
      </c>
      <c r="BC152">
        <f>SUM(BC149:BC151)</f>
        <v>1</v>
      </c>
      <c r="BE152" s="24">
        <f>AW149</f>
        <v>260471.51640000002</v>
      </c>
    </row>
    <row r="153" spans="12:57" x14ac:dyDescent="0.4">
      <c r="O153" s="24">
        <f>X148-X145</f>
        <v>3305077.2350000003</v>
      </c>
      <c r="S153" s="27"/>
      <c r="AS153" t="s">
        <v>541</v>
      </c>
      <c r="BE153" s="35">
        <f>BE149+BE150</f>
        <v>260471.51640000002</v>
      </c>
    </row>
    <row r="154" spans="12:57" x14ac:dyDescent="0.4">
      <c r="O154">
        <v>0.1862</v>
      </c>
      <c r="S154" s="27"/>
      <c r="AS154" t="s">
        <v>540</v>
      </c>
    </row>
    <row r="155" spans="12:57" x14ac:dyDescent="0.4">
      <c r="AD155" s="270" t="s">
        <v>2637</v>
      </c>
    </row>
    <row r="156" spans="12:57" x14ac:dyDescent="0.4">
      <c r="O156" s="35">
        <f>O153*O154</f>
        <v>615405.38115700008</v>
      </c>
      <c r="AD156" t="s">
        <v>514</v>
      </c>
      <c r="AG156" s="220">
        <f>SUM(AG45:AG49)</f>
        <v>5695.3200000000006</v>
      </c>
      <c r="AH156" s="220"/>
      <c r="AK156" s="220">
        <f>SUM(AK45:AK49)</f>
        <v>6133.57</v>
      </c>
      <c r="AM156" s="220">
        <f>SUM(AM45:AM49)</f>
        <v>109.25999999999999</v>
      </c>
      <c r="AN156" s="220"/>
      <c r="AP156" s="220">
        <f>SUM(AP45:AP49)</f>
        <v>211.06000000000003</v>
      </c>
    </row>
    <row r="157" spans="12:57" x14ac:dyDescent="0.4">
      <c r="O157">
        <v>-618154</v>
      </c>
      <c r="AD157" t="s">
        <v>519</v>
      </c>
      <c r="AG157" s="220"/>
      <c r="AH157" s="220"/>
      <c r="AK157" s="220"/>
      <c r="AM157" s="220"/>
      <c r="AN157" s="220"/>
      <c r="AP157" s="220"/>
    </row>
    <row r="158" spans="12:57" x14ac:dyDescent="0.4">
      <c r="AD158" t="s">
        <v>520</v>
      </c>
      <c r="AG158" s="218">
        <f>SUM(AG52:AG67)</f>
        <v>16820.350000000002</v>
      </c>
      <c r="AH158" s="218"/>
      <c r="AK158" s="218">
        <f>SUM(AK52:AK67)</f>
        <v>18496.41</v>
      </c>
      <c r="AM158" s="218">
        <f>SUM(AM52:AM67)</f>
        <v>283.73</v>
      </c>
      <c r="AN158" s="218"/>
      <c r="AP158" s="218">
        <f>SUM(AP52:AP67)</f>
        <v>602.15</v>
      </c>
    </row>
    <row r="159" spans="12:57" x14ac:dyDescent="0.4">
      <c r="N159" s="30"/>
      <c r="O159" s="35">
        <f>O156+O157</f>
        <v>-2748.6188429999165</v>
      </c>
      <c r="AD159" t="s">
        <v>521</v>
      </c>
      <c r="AG159" s="218">
        <f>SUM(AG84:AG91)</f>
        <v>7713.4500000000007</v>
      </c>
      <c r="AH159" s="218"/>
      <c r="AK159" s="218">
        <f>SUM(AK84:AK91)</f>
        <v>8232</v>
      </c>
      <c r="AM159" s="218">
        <f>SUM(AM84:AM91)</f>
        <v>157.38</v>
      </c>
      <c r="AN159" s="218"/>
      <c r="AP159" s="218">
        <f>SUM(AP84:AP91)</f>
        <v>241.85</v>
      </c>
    </row>
    <row r="160" spans="12:57" x14ac:dyDescent="0.4">
      <c r="N160" s="271"/>
      <c r="O160" s="222"/>
      <c r="P160" s="222"/>
      <c r="Q160" s="246"/>
      <c r="R160" s="246"/>
      <c r="S160" s="246"/>
      <c r="T160" s="246"/>
      <c r="U160" s="247"/>
      <c r="V160" s="246"/>
      <c r="W160" s="246"/>
      <c r="X160" s="246"/>
      <c r="Y160" s="97"/>
      <c r="Z160" s="97"/>
      <c r="AA160" s="97"/>
      <c r="AB160" s="248"/>
      <c r="AD160" t="s">
        <v>525</v>
      </c>
      <c r="AG160" s="218"/>
      <c r="AH160" s="218"/>
      <c r="AK160" s="218"/>
      <c r="AM160" s="218"/>
      <c r="AN160" s="218"/>
      <c r="AP160" s="218"/>
    </row>
    <row r="161" spans="14:42" x14ac:dyDescent="0.4">
      <c r="N161" s="36"/>
      <c r="P161" t="s">
        <v>2640</v>
      </c>
      <c r="R161" s="249">
        <f>'New Connections Wage Cap Rate'!I41</f>
        <v>6.4164959859039625E-2</v>
      </c>
      <c r="U161" s="250"/>
      <c r="Y161" s="26"/>
      <c r="Z161" s="26"/>
      <c r="AA161" s="26"/>
      <c r="AB161" s="89"/>
      <c r="AD161" t="s">
        <v>528</v>
      </c>
      <c r="AG161" s="218">
        <f>AG125</f>
        <v>828.85</v>
      </c>
      <c r="AH161" s="218"/>
      <c r="AK161" s="218">
        <f>AK125</f>
        <v>828.85</v>
      </c>
      <c r="AM161" s="218">
        <f>AM125</f>
        <v>19.3</v>
      </c>
      <c r="AN161" s="218"/>
      <c r="AP161" s="218">
        <f>AP125</f>
        <v>22.12</v>
      </c>
    </row>
    <row r="162" spans="14:42" x14ac:dyDescent="0.4">
      <c r="N162" s="36"/>
      <c r="P162" s="30" t="s">
        <v>2641</v>
      </c>
      <c r="R162" s="249">
        <f>'New Connections Wage Cap Rate'!X40</f>
        <v>5.7452312539957209E-2</v>
      </c>
      <c r="U162" s="250"/>
      <c r="Y162" s="26"/>
      <c r="Z162" s="26"/>
      <c r="AA162" s="26"/>
      <c r="AB162" s="89"/>
      <c r="AD162" t="s">
        <v>522</v>
      </c>
      <c r="AG162" s="218">
        <f>SUM(AG70:AG71)</f>
        <v>1658.9</v>
      </c>
      <c r="AH162" s="218"/>
      <c r="AK162" s="218">
        <f>SUM(AK70:AK71)</f>
        <v>1893.64</v>
      </c>
      <c r="AM162" s="218">
        <f>SUM(AM70:AM71)</f>
        <v>23.63</v>
      </c>
      <c r="AN162" s="218"/>
      <c r="AP162" s="218">
        <f>SUM(AP70:AP71)</f>
        <v>44.230000000000004</v>
      </c>
    </row>
    <row r="163" spans="14:42" x14ac:dyDescent="0.4">
      <c r="N163" s="36"/>
      <c r="U163" s="250"/>
      <c r="Y163" s="26"/>
      <c r="Z163" s="26"/>
      <c r="AA163" s="26"/>
      <c r="AB163" s="89"/>
      <c r="AD163" t="s">
        <v>523</v>
      </c>
      <c r="AG163" s="218">
        <f>SUM(AG74:AG75)</f>
        <v>1657.7</v>
      </c>
      <c r="AH163" s="218"/>
      <c r="AK163" s="218">
        <f>SUM(AK74:AK75)</f>
        <v>1657.7</v>
      </c>
      <c r="AM163" s="218">
        <f>SUM(AM74:AM75)</f>
        <v>38.6</v>
      </c>
      <c r="AN163" s="218"/>
      <c r="AP163" s="218">
        <f>SUM(AP74:AP75)</f>
        <v>38.6</v>
      </c>
    </row>
    <row r="164" spans="14:42" x14ac:dyDescent="0.4">
      <c r="N164" s="36"/>
      <c r="O164" s="400" t="s">
        <v>3453</v>
      </c>
      <c r="P164" s="400"/>
      <c r="Q164" s="400"/>
      <c r="R164" s="400"/>
      <c r="S164" s="400"/>
      <c r="T164" s="400"/>
      <c r="U164" s="400"/>
      <c r="V164" s="400"/>
      <c r="W164" s="400"/>
      <c r="X164" s="400"/>
      <c r="Y164" s="400"/>
      <c r="Z164" s="400"/>
      <c r="AA164" s="400"/>
      <c r="AB164" s="89"/>
      <c r="AD164" t="s">
        <v>515</v>
      </c>
      <c r="AG164" s="218">
        <f>SUM(AG94:AG100)</f>
        <v>4866.47</v>
      </c>
      <c r="AH164" s="218"/>
      <c r="AK164" s="218">
        <f>SUM(AK94:AK100)</f>
        <v>5304.72</v>
      </c>
      <c r="AM164" s="218">
        <f>SUM(AM94:AM100)</f>
        <v>109.32</v>
      </c>
      <c r="AN164" s="218"/>
      <c r="AP164" s="218">
        <f>SUM(AP94:AP100)</f>
        <v>226.96000000000004</v>
      </c>
    </row>
    <row r="165" spans="14:42" x14ac:dyDescent="0.4">
      <c r="N165" s="36"/>
      <c r="Q165" s="2" t="s">
        <v>2642</v>
      </c>
      <c r="R165" s="2" t="s">
        <v>179</v>
      </c>
      <c r="U165" s="250"/>
      <c r="V165" s="400" t="s">
        <v>2691</v>
      </c>
      <c r="W165" s="400"/>
      <c r="X165" s="400"/>
      <c r="Y165" s="400"/>
      <c r="Z165" s="400"/>
      <c r="AA165"/>
      <c r="AB165" s="89"/>
    </row>
    <row r="166" spans="14:42" x14ac:dyDescent="0.4">
      <c r="N166" s="36"/>
      <c r="P166" s="68" t="s">
        <v>623</v>
      </c>
      <c r="Q166" s="68" t="s">
        <v>447</v>
      </c>
      <c r="R166" s="68" t="s">
        <v>2634</v>
      </c>
      <c r="S166" s="400" t="s">
        <v>2648</v>
      </c>
      <c r="T166" s="400"/>
      <c r="U166" s="400"/>
      <c r="V166" s="101"/>
      <c r="W166" s="101" t="s">
        <v>2688</v>
      </c>
      <c r="X166" s="101"/>
      <c r="Y166" s="101" t="s">
        <v>461</v>
      </c>
      <c r="Z166" s="26"/>
      <c r="AA166" s="101"/>
      <c r="AB166" s="89"/>
      <c r="AD166" s="270" t="s">
        <v>2636</v>
      </c>
    </row>
    <row r="167" spans="14:42" ht="17.5" x14ac:dyDescent="0.55000000000000004">
      <c r="N167" s="36"/>
      <c r="O167" s="270" t="s">
        <v>2637</v>
      </c>
      <c r="P167" s="30"/>
      <c r="T167" s="23" t="s">
        <v>2650</v>
      </c>
      <c r="V167" s="269" t="s">
        <v>459</v>
      </c>
      <c r="W167" s="269" t="s">
        <v>2689</v>
      </c>
      <c r="X167" s="269" t="s">
        <v>460</v>
      </c>
      <c r="Y167" s="269" t="s">
        <v>466</v>
      </c>
      <c r="Z167" s="269" t="s">
        <v>2690</v>
      </c>
      <c r="AA167" s="269" t="s">
        <v>49</v>
      </c>
      <c r="AB167" s="89"/>
      <c r="AD167" t="s">
        <v>2706</v>
      </c>
      <c r="AG167" s="218">
        <f>AG131</f>
        <v>834.83</v>
      </c>
      <c r="AH167" s="218"/>
      <c r="AK167" s="218">
        <f>AK131</f>
        <v>860.74</v>
      </c>
      <c r="AM167" s="218">
        <f>AM131</f>
        <v>25.68</v>
      </c>
      <c r="AN167" s="218"/>
      <c r="AP167" s="218">
        <f>AP131</f>
        <v>68.66</v>
      </c>
    </row>
    <row r="168" spans="14:42" x14ac:dyDescent="0.4">
      <c r="N168" s="36"/>
      <c r="O168" t="s">
        <v>2638</v>
      </c>
      <c r="P168" s="122">
        <f>X128</f>
        <v>73173.87</v>
      </c>
      <c r="Q168" s="251"/>
      <c r="R168" s="251">
        <f>P168+Q168</f>
        <v>73173.87</v>
      </c>
      <c r="S168" s="122" t="s">
        <v>2649</v>
      </c>
      <c r="T168" s="2" t="s">
        <v>2705</v>
      </c>
      <c r="U168" s="251" t="s">
        <v>2655</v>
      </c>
      <c r="V168" s="122"/>
      <c r="W168" s="122"/>
      <c r="X168" s="26"/>
      <c r="Y168" s="26"/>
      <c r="Z168" s="26"/>
      <c r="AA168" s="26"/>
      <c r="AB168" s="89"/>
      <c r="AD168" t="s">
        <v>516</v>
      </c>
      <c r="AG168" s="218">
        <f>SUM(AG103:AG107)</f>
        <v>5695.3200000000006</v>
      </c>
      <c r="AH168" s="218"/>
      <c r="AK168" s="218">
        <f>SUM(AK103:AK107)</f>
        <v>6133.57</v>
      </c>
      <c r="AM168" s="218">
        <f>SUM(AM103:AM107)</f>
        <v>107.21000000000001</v>
      </c>
      <c r="AN168" s="218"/>
      <c r="AP168" s="218">
        <f>SUM(AP103:AP107)</f>
        <v>183.81</v>
      </c>
    </row>
    <row r="169" spans="14:42" x14ac:dyDescent="0.4">
      <c r="N169" s="36"/>
      <c r="O169" t="s">
        <v>2644</v>
      </c>
      <c r="P169" s="122">
        <f>SUM(X70:X71)</f>
        <v>83045.904999999999</v>
      </c>
      <c r="Q169" s="251"/>
      <c r="R169" s="251">
        <f>P169+Q169</f>
        <v>83045.904999999999</v>
      </c>
      <c r="S169" s="122">
        <f>R211</f>
        <v>3443.9869004127559</v>
      </c>
      <c r="T169" s="122"/>
      <c r="U169" s="251"/>
      <c r="V169" s="122"/>
      <c r="W169" s="122"/>
      <c r="X169" s="26"/>
      <c r="Y169" s="26"/>
      <c r="Z169" s="26"/>
      <c r="AA169" s="26"/>
      <c r="AB169" s="89"/>
      <c r="AD169" t="s">
        <v>517</v>
      </c>
      <c r="AG169" s="218">
        <f>SUM(AG110:AG113)</f>
        <v>3327.36</v>
      </c>
      <c r="AH169" s="218"/>
      <c r="AK169" s="218">
        <f>SUM(AK110:AK113)</f>
        <v>3379.18</v>
      </c>
      <c r="AM169" s="218">
        <f>SUM(AM110:AM113)</f>
        <v>77.2</v>
      </c>
      <c r="AN169" s="218"/>
      <c r="AP169" s="218">
        <f>SUM(AP110:AP113)</f>
        <v>77.2</v>
      </c>
    </row>
    <row r="170" spans="14:42" x14ac:dyDescent="0.4">
      <c r="N170" s="36"/>
      <c r="P170" s="8"/>
      <c r="Q170" s="122"/>
      <c r="R170" s="122"/>
      <c r="S170" s="122"/>
      <c r="T170" s="122"/>
      <c r="U170" s="251"/>
      <c r="V170" s="122"/>
      <c r="W170" s="122"/>
      <c r="X170" s="26"/>
      <c r="Y170" s="26"/>
      <c r="Z170" s="26"/>
      <c r="AA170" s="26"/>
      <c r="AB170" s="89"/>
    </row>
    <row r="171" spans="14:42" x14ac:dyDescent="0.4">
      <c r="N171" s="36"/>
      <c r="O171" t="s">
        <v>514</v>
      </c>
      <c r="P171" s="122">
        <f>SUM(X45:X49)</f>
        <v>284458.22000000003</v>
      </c>
      <c r="Q171" s="122"/>
      <c r="R171" s="122">
        <f>P171+Q171</f>
        <v>284458.22000000003</v>
      </c>
      <c r="S171" s="122">
        <f>R213</f>
        <v>11796.733185034589</v>
      </c>
      <c r="T171" s="122">
        <f>V213</f>
        <v>23682.559570616599</v>
      </c>
      <c r="U171" s="251">
        <f>R229</f>
        <v>39395.501540744284</v>
      </c>
      <c r="V171" s="122">
        <f>SUM(R171:U171)</f>
        <v>359333.01429639547</v>
      </c>
      <c r="W171" s="122"/>
      <c r="X171" s="26"/>
      <c r="Y171" s="26"/>
      <c r="Z171" s="26"/>
      <c r="AA171" s="26"/>
      <c r="AB171" s="89"/>
      <c r="AD171" s="270" t="s">
        <v>2707</v>
      </c>
      <c r="AG171" s="30"/>
      <c r="AH171" s="30"/>
      <c r="AK171" s="30"/>
      <c r="AM171" s="30"/>
      <c r="AN171" s="30"/>
      <c r="AP171" s="30"/>
    </row>
    <row r="172" spans="14:42" x14ac:dyDescent="0.4">
      <c r="N172" s="36"/>
      <c r="O172" t="s">
        <v>519</v>
      </c>
      <c r="P172" s="122"/>
      <c r="Q172" s="122"/>
      <c r="R172" s="122"/>
      <c r="S172" s="122"/>
      <c r="T172" s="122"/>
      <c r="U172" s="251"/>
      <c r="V172" s="122"/>
      <c r="W172" s="122"/>
      <c r="X172" s="26"/>
      <c r="Y172" s="26"/>
      <c r="Z172" s="26"/>
      <c r="AA172" s="26"/>
      <c r="AB172" s="89"/>
      <c r="AD172" t="s">
        <v>518</v>
      </c>
      <c r="AG172" s="218">
        <f>SUM(AG116:AG121)</f>
        <v>4123.96</v>
      </c>
      <c r="AH172" s="218"/>
      <c r="AK172" s="218">
        <f>SUM(AK116:AK121)</f>
        <v>4310.03</v>
      </c>
      <c r="AM172" s="218">
        <f>SUM(AM116:AM121)</f>
        <v>126.51</v>
      </c>
      <c r="AN172" s="218"/>
      <c r="AP172" s="218">
        <f>SUM(AP116:AP121)</f>
        <v>214.39000000000004</v>
      </c>
    </row>
    <row r="173" spans="14:42" x14ac:dyDescent="0.4">
      <c r="N173" s="36"/>
      <c r="O173" t="s">
        <v>520</v>
      </c>
      <c r="P173" s="122">
        <f>SUM(X52:X67)</f>
        <v>754397.42499999993</v>
      </c>
      <c r="Q173" s="251">
        <f>P173*-R161</f>
        <v>-48405.880492887853</v>
      </c>
      <c r="R173" s="251">
        <f>P173+Q173</f>
        <v>705991.54450711212</v>
      </c>
      <c r="S173" s="122">
        <f>R215</f>
        <v>31285.526353227342</v>
      </c>
      <c r="T173" s="122">
        <f>V215</f>
        <v>62807.332329796147</v>
      </c>
      <c r="U173" s="251">
        <f>R231</f>
        <v>104478.84022799908</v>
      </c>
      <c r="V173" s="122"/>
      <c r="W173" s="122">
        <f>SUM(R173:U173)</f>
        <v>904563.24341813475</v>
      </c>
      <c r="X173" s="26"/>
      <c r="Y173" s="26"/>
      <c r="Z173" s="26"/>
      <c r="AA173" s="26"/>
      <c r="AB173" s="89"/>
      <c r="AD173" t="s">
        <v>2645</v>
      </c>
      <c r="AG173" s="218">
        <f>SUM(AG78:AG81)</f>
        <v>4854.51</v>
      </c>
      <c r="AH173" s="218"/>
      <c r="AK173" s="218">
        <f>SUM(AK78:AK81)</f>
        <v>5240.9400000000005</v>
      </c>
      <c r="AM173" s="218">
        <f>SUM(AM78:AM81)</f>
        <v>87.91</v>
      </c>
      <c r="AN173" s="218"/>
      <c r="AP173" s="218">
        <f>SUM(AP78:AP81)</f>
        <v>164.51000000000002</v>
      </c>
    </row>
    <row r="174" spans="14:42" x14ac:dyDescent="0.4">
      <c r="N174" s="36"/>
      <c r="O174" t="s">
        <v>521</v>
      </c>
      <c r="P174" s="122">
        <f>SUM(X84:X91)</f>
        <v>323517.76</v>
      </c>
      <c r="Q174" s="251"/>
      <c r="R174" s="251">
        <f>P174+Q174</f>
        <v>323517.76</v>
      </c>
      <c r="S174" s="122">
        <f>R216</f>
        <v>13416.566746920009</v>
      </c>
      <c r="T174" s="122"/>
      <c r="U174" s="251"/>
      <c r="V174" s="122"/>
      <c r="W174" s="122">
        <f>SUM(R174:U174)</f>
        <v>336934.32674692001</v>
      </c>
      <c r="X174" s="26"/>
      <c r="Y174" s="26"/>
      <c r="Z174" s="26"/>
      <c r="AA174" s="26"/>
      <c r="AB174" s="89"/>
      <c r="AD174" t="s">
        <v>526</v>
      </c>
      <c r="AG174" s="221">
        <f>SUM(AG135:AG145)</f>
        <v>11313.58</v>
      </c>
      <c r="AH174" s="218"/>
      <c r="AK174" s="221">
        <f>SUM(AK135:AK145)</f>
        <v>12206.579999999998</v>
      </c>
      <c r="AM174" s="221">
        <f>SUM(AM135:AM145)</f>
        <v>215.35</v>
      </c>
      <c r="AN174" s="218"/>
      <c r="AP174" s="221">
        <f>SUM(AP135:AP145)</f>
        <v>423.26</v>
      </c>
    </row>
    <row r="175" spans="14:42" x14ac:dyDescent="0.4">
      <c r="N175" s="36"/>
      <c r="O175" t="s">
        <v>523</v>
      </c>
      <c r="P175" s="122">
        <f>SUM(X74:X75)</f>
        <v>85839.372499999998</v>
      </c>
      <c r="Q175" s="251"/>
      <c r="R175" s="251">
        <f>P175+Q175</f>
        <v>85839.372499999998</v>
      </c>
      <c r="S175" s="122">
        <f>R217</f>
        <v>3559.8344605872016</v>
      </c>
      <c r="T175" s="122"/>
      <c r="U175" s="251"/>
      <c r="V175" s="122"/>
      <c r="W175" s="122">
        <f>SUM(R175:U175)</f>
        <v>89399.206960587195</v>
      </c>
      <c r="X175" s="26"/>
      <c r="Y175" s="26"/>
      <c r="Z175" s="26"/>
      <c r="AA175" s="26"/>
      <c r="AB175" s="89"/>
    </row>
    <row r="176" spans="14:42" x14ac:dyDescent="0.4">
      <c r="N176" s="36"/>
      <c r="O176" t="s">
        <v>2643</v>
      </c>
      <c r="P176" s="122">
        <f>X125</f>
        <v>93096.26</v>
      </c>
      <c r="Q176" s="251"/>
      <c r="R176" s="251">
        <f>P176+Q176</f>
        <v>93096.26</v>
      </c>
      <c r="S176" s="122"/>
      <c r="T176" s="122"/>
      <c r="U176" s="251"/>
      <c r="V176" s="122"/>
      <c r="W176" s="122">
        <f>SUM(R176:U176)</f>
        <v>93096.26</v>
      </c>
      <c r="X176" s="26"/>
      <c r="Y176" s="26"/>
      <c r="Z176" s="26"/>
      <c r="AA176" s="26"/>
      <c r="AB176" s="89"/>
      <c r="AD176" t="s">
        <v>179</v>
      </c>
      <c r="AG176" s="50">
        <f>SUM(AG156:AG174)</f>
        <v>69390.600000000006</v>
      </c>
      <c r="AH176" s="50"/>
      <c r="AK176" s="50">
        <f>SUM(AK156:AK174)</f>
        <v>74677.929999999993</v>
      </c>
      <c r="AM176" s="50">
        <f>SUM(AM156:AM174)</f>
        <v>1381.0800000000002</v>
      </c>
      <c r="AN176" s="50"/>
      <c r="AP176" s="50">
        <f>SUM(AP156:AP174)</f>
        <v>2518.8000000000002</v>
      </c>
    </row>
    <row r="177" spans="14:65" x14ac:dyDescent="0.4">
      <c r="N177" s="36"/>
      <c r="O177" t="s">
        <v>515</v>
      </c>
      <c r="P177" s="122">
        <f>SUM(X94:X100)</f>
        <v>233205.13</v>
      </c>
      <c r="Q177" s="251"/>
      <c r="R177" s="251">
        <f>P177+Q177</f>
        <v>233205.13</v>
      </c>
      <c r="S177" s="122">
        <f>R220</f>
        <v>9671.2223538180951</v>
      </c>
      <c r="T177" s="122"/>
      <c r="U177" s="251"/>
      <c r="V177" s="122"/>
      <c r="W177" s="122"/>
      <c r="X177" s="26">
        <f>SUM(R177:U177)</f>
        <v>242876.3523538181</v>
      </c>
      <c r="Y177" s="26"/>
      <c r="Z177" s="26"/>
      <c r="AA177" s="26"/>
      <c r="AB177" s="89"/>
    </row>
    <row r="178" spans="14:65" x14ac:dyDescent="0.4">
      <c r="N178" s="36"/>
      <c r="P178" s="122"/>
      <c r="Q178" s="251"/>
      <c r="R178" s="251"/>
      <c r="S178" s="122"/>
      <c r="T178" s="122"/>
      <c r="U178" s="251"/>
      <c r="V178" s="122"/>
      <c r="W178" s="122"/>
      <c r="X178" s="26"/>
      <c r="Y178" s="26"/>
      <c r="Z178" s="26"/>
      <c r="AA178" s="26"/>
      <c r="AB178" s="26"/>
      <c r="AC178" s="289"/>
      <c r="AD178" s="222"/>
      <c r="AE178" s="222"/>
      <c r="AF178" s="222"/>
      <c r="AG178" s="222"/>
      <c r="AH178" s="222"/>
      <c r="AI178" s="222"/>
      <c r="AJ178" s="222"/>
      <c r="AK178" s="222"/>
      <c r="AQ178" s="2" t="s">
        <v>623</v>
      </c>
      <c r="AV178" s="222"/>
      <c r="AW178" s="222"/>
      <c r="AX178" s="222"/>
      <c r="AY178" s="222"/>
      <c r="AZ178" s="222"/>
      <c r="BA178" s="222"/>
      <c r="BB178" s="222"/>
      <c r="BC178" s="222"/>
      <c r="BD178" s="222"/>
      <c r="BE178" s="222"/>
      <c r="BF178" s="222"/>
      <c r="BG178" s="222"/>
      <c r="BH178" s="222"/>
      <c r="BI178" s="222"/>
      <c r="BJ178" s="222"/>
      <c r="BK178" s="222"/>
      <c r="BL178" s="222"/>
      <c r="BM178" s="287"/>
    </row>
    <row r="179" spans="14:65" x14ac:dyDescent="0.4">
      <c r="N179" s="36"/>
      <c r="O179" s="270" t="s">
        <v>2692</v>
      </c>
      <c r="P179" s="122"/>
      <c r="Q179" s="251"/>
      <c r="R179" s="251"/>
      <c r="S179" s="122"/>
      <c r="T179" s="122"/>
      <c r="U179" s="251"/>
      <c r="V179" s="122"/>
      <c r="W179" s="122"/>
      <c r="X179" s="26"/>
      <c r="Y179" s="26"/>
      <c r="Z179" s="26"/>
      <c r="AA179" s="26"/>
      <c r="AB179" s="26"/>
      <c r="AC179" s="290"/>
      <c r="AQ179" s="2" t="s">
        <v>2711</v>
      </c>
      <c r="BM179" s="37"/>
    </row>
    <row r="180" spans="14:65" x14ac:dyDescent="0.4">
      <c r="N180" s="36"/>
      <c r="O180" t="s">
        <v>2645</v>
      </c>
      <c r="P180" s="122"/>
      <c r="Q180" s="251"/>
      <c r="R180" s="122"/>
      <c r="S180" s="251">
        <f>R197*$Z$211</f>
        <v>143874.34176874338</v>
      </c>
      <c r="T180" s="122"/>
      <c r="U180" s="251"/>
      <c r="V180" s="122"/>
      <c r="W180" s="122"/>
      <c r="X180" s="26"/>
      <c r="Y180" s="26"/>
      <c r="Z180" s="26"/>
      <c r="AA180" s="26"/>
      <c r="AB180" s="26"/>
      <c r="AC180" s="290"/>
      <c r="AG180" s="21" t="s">
        <v>427</v>
      </c>
      <c r="AH180" s="2"/>
      <c r="AI180" s="21" t="s">
        <v>430</v>
      </c>
      <c r="AJ180" s="2"/>
      <c r="AK180" s="21" t="s">
        <v>25</v>
      </c>
      <c r="AQ180" s="21" t="s">
        <v>2712</v>
      </c>
      <c r="AR180" s="2"/>
      <c r="AS180" s="21" t="s">
        <v>181</v>
      </c>
      <c r="AU180" s="21" t="s">
        <v>182</v>
      </c>
      <c r="AY180" s="101"/>
      <c r="AZ180" s="101"/>
      <c r="BA180" s="101" t="s">
        <v>464</v>
      </c>
      <c r="BB180" s="101"/>
      <c r="BC180" s="101"/>
      <c r="BD180" s="101"/>
      <c r="BE180" s="101" t="s">
        <v>461</v>
      </c>
      <c r="BF180" s="101"/>
      <c r="BG180" s="26"/>
      <c r="BM180" s="37"/>
    </row>
    <row r="181" spans="14:65" ht="17.5" x14ac:dyDescent="0.55000000000000004">
      <c r="N181" s="36"/>
      <c r="O181" t="s">
        <v>518</v>
      </c>
      <c r="P181" s="8"/>
      <c r="Q181" s="122"/>
      <c r="R181" s="122"/>
      <c r="S181" s="251">
        <f>AI253</f>
        <v>189647.75033597415</v>
      </c>
      <c r="T181" s="122"/>
      <c r="U181" s="251"/>
      <c r="V181" s="122"/>
      <c r="W181" s="122"/>
      <c r="X181" s="26"/>
      <c r="Y181" s="26">
        <f>SUM(Q181:U181)</f>
        <v>189647.75033597415</v>
      </c>
      <c r="Z181" s="26"/>
      <c r="AA181" s="26"/>
      <c r="AB181" s="26"/>
      <c r="AC181" s="290"/>
      <c r="AD181" s="270" t="s">
        <v>2637</v>
      </c>
      <c r="AM181" s="270" t="s">
        <v>2637</v>
      </c>
      <c r="AN181" s="270"/>
      <c r="AY181" s="286" t="s">
        <v>459</v>
      </c>
      <c r="AZ181" s="269"/>
      <c r="BA181" s="286" t="s">
        <v>465</v>
      </c>
      <c r="BB181" s="285"/>
      <c r="BC181" s="286" t="s">
        <v>460</v>
      </c>
      <c r="BD181" s="285"/>
      <c r="BE181" s="286" t="s">
        <v>466</v>
      </c>
      <c r="BF181" s="285"/>
      <c r="BG181" s="286" t="s">
        <v>2826</v>
      </c>
      <c r="BI181" s="21" t="s">
        <v>25</v>
      </c>
      <c r="BM181" s="37"/>
    </row>
    <row r="182" spans="14:65" x14ac:dyDescent="0.4">
      <c r="N182" s="36"/>
      <c r="O182" t="s">
        <v>526</v>
      </c>
      <c r="P182" s="8"/>
      <c r="Q182" s="122"/>
      <c r="R182" s="122"/>
      <c r="S182" s="251">
        <f>R199*$Z$211</f>
        <v>500992.30732840544</v>
      </c>
      <c r="T182" s="122"/>
      <c r="U182" s="251"/>
      <c r="V182" s="122"/>
      <c r="W182" s="122"/>
      <c r="X182" s="26"/>
      <c r="Y182" s="26"/>
      <c r="Z182" s="26">
        <f>SUM(S182:U182)</f>
        <v>500992.30732840544</v>
      </c>
      <c r="AA182" s="26"/>
      <c r="AB182" s="26"/>
      <c r="AC182" s="290"/>
      <c r="AD182" t="s">
        <v>514</v>
      </c>
      <c r="AG182" s="220">
        <f>AG156*12</f>
        <v>68343.840000000011</v>
      </c>
      <c r="AH182" s="220"/>
      <c r="AI182" s="50">
        <f>AM156*12</f>
        <v>1311.12</v>
      </c>
      <c r="AJ182" s="50"/>
      <c r="AK182" s="220">
        <f>AG182+AI182</f>
        <v>69654.960000000006</v>
      </c>
      <c r="AM182" t="s">
        <v>514</v>
      </c>
      <c r="AQ182" s="251">
        <f>AK182</f>
        <v>69654.960000000006</v>
      </c>
      <c r="AR182" s="220"/>
      <c r="AS182" s="50"/>
      <c r="AT182" s="50"/>
      <c r="AU182" s="220"/>
      <c r="BM182" s="37"/>
    </row>
    <row r="183" spans="14:65" x14ac:dyDescent="0.4">
      <c r="N183" s="36"/>
      <c r="P183" s="8"/>
      <c r="Q183" s="122"/>
      <c r="R183" s="122"/>
      <c r="S183" s="122"/>
      <c r="T183" s="122"/>
      <c r="U183" s="251"/>
      <c r="V183" s="122"/>
      <c r="W183" s="122"/>
      <c r="X183" s="26"/>
      <c r="Y183" s="26"/>
      <c r="Z183" s="26"/>
      <c r="AA183" s="26"/>
      <c r="AB183" s="26"/>
      <c r="AC183" s="290"/>
      <c r="AD183" t="s">
        <v>3549</v>
      </c>
      <c r="AG183" s="251"/>
      <c r="AH183" s="251"/>
      <c r="AI183" s="26"/>
      <c r="AJ183" s="26"/>
      <c r="AK183" s="251"/>
      <c r="AM183" t="s">
        <v>3549</v>
      </c>
      <c r="AQ183" s="251"/>
      <c r="AR183" s="251"/>
      <c r="AS183" s="26"/>
      <c r="AT183" s="26"/>
      <c r="AU183" s="251"/>
      <c r="AW183" t="s">
        <v>2723</v>
      </c>
      <c r="AY183" s="25">
        <f>V201</f>
        <v>359333.01429639547</v>
      </c>
      <c r="AZ183" s="25"/>
      <c r="BA183" s="25">
        <f>W201</f>
        <v>1423993.0371256422</v>
      </c>
      <c r="BB183" s="25"/>
      <c r="BC183" s="25">
        <f>X201</f>
        <v>242876.3523538181</v>
      </c>
      <c r="BD183" s="25"/>
      <c r="BE183" s="25">
        <f>Y201</f>
        <v>189647.75033597415</v>
      </c>
      <c r="BF183" s="25"/>
      <c r="BG183" s="25">
        <f>Z201</f>
        <v>500992.30732840544</v>
      </c>
      <c r="BH183" s="25"/>
      <c r="BI183" s="25">
        <f>SUM(AY183:BH183)</f>
        <v>2716842.4614402349</v>
      </c>
      <c r="BM183" s="37"/>
    </row>
    <row r="184" spans="14:65" x14ac:dyDescent="0.4">
      <c r="N184" s="36"/>
      <c r="O184" s="270" t="s">
        <v>2636</v>
      </c>
      <c r="P184" s="8"/>
      <c r="Q184" s="122"/>
      <c r="R184" s="122"/>
      <c r="S184" s="122"/>
      <c r="T184" s="122"/>
      <c r="U184" s="251"/>
      <c r="V184" s="122"/>
      <c r="W184" s="122"/>
      <c r="X184" s="26"/>
      <c r="Y184" s="26"/>
      <c r="Z184" s="26"/>
      <c r="AA184" s="26"/>
      <c r="AB184" s="26"/>
      <c r="AC184" s="290"/>
      <c r="AD184" t="s">
        <v>2710</v>
      </c>
      <c r="AG184" s="251">
        <f t="shared" ref="AG184:AG200" si="39">AG158*12</f>
        <v>201844.2</v>
      </c>
      <c r="AH184" s="251"/>
      <c r="AI184" s="26">
        <f t="shared" ref="AI184:AI200" si="40">AM158*12</f>
        <v>3404.76</v>
      </c>
      <c r="AJ184" s="26"/>
      <c r="AK184" s="251">
        <f t="shared" ref="AK184:AK200" si="41">AG184+AI184</f>
        <v>205248.96000000002</v>
      </c>
      <c r="AM184" t="s">
        <v>2710</v>
      </c>
      <c r="AQ184" s="251">
        <f t="shared" ref="AQ184:AQ190" si="42">AK184</f>
        <v>205248.96000000002</v>
      </c>
      <c r="AR184" s="251"/>
      <c r="AS184" s="26"/>
      <c r="AT184" s="26"/>
      <c r="AU184" s="251"/>
      <c r="AW184" t="s">
        <v>56</v>
      </c>
      <c r="AY184" s="112">
        <f>AY183/$BI$183</f>
        <v>0.13226126262245924</v>
      </c>
      <c r="AZ184" s="105"/>
      <c r="BA184" s="112">
        <f>BA183/$BI$183</f>
        <v>0.52413529946479276</v>
      </c>
      <c r="BB184" s="105"/>
      <c r="BC184" s="112">
        <f>BC183/$BI$183</f>
        <v>8.9396553462678899E-2</v>
      </c>
      <c r="BD184" s="105"/>
      <c r="BE184" s="112">
        <f>BE183/$BI$183</f>
        <v>6.9804470825091308E-2</v>
      </c>
      <c r="BF184" s="105"/>
      <c r="BG184" s="112">
        <f>BG183/$BI$183</f>
        <v>0.18440241362497797</v>
      </c>
      <c r="BH184" s="105"/>
      <c r="BI184" s="112">
        <f>SUM(AY184:BH184)</f>
        <v>1.0000000000000002</v>
      </c>
      <c r="BM184" s="37"/>
    </row>
    <row r="185" spans="14:65" x14ac:dyDescent="0.4">
      <c r="N185" s="36"/>
      <c r="O185" t="s">
        <v>2647</v>
      </c>
      <c r="P185" s="122">
        <f>X131</f>
        <v>72566.95</v>
      </c>
      <c r="Q185" s="251"/>
      <c r="R185" s="251">
        <f>P185+Q185</f>
        <v>72566.95</v>
      </c>
      <c r="S185" s="122"/>
      <c r="T185" s="122"/>
      <c r="U185" s="251"/>
      <c r="V185" s="122"/>
      <c r="W185" s="122"/>
      <c r="X185" s="26"/>
      <c r="Y185" s="26"/>
      <c r="Z185" s="26"/>
      <c r="AA185" s="26">
        <f>SUM(R185:Z185)</f>
        <v>72566.95</v>
      </c>
      <c r="AB185" s="26"/>
      <c r="AC185" s="290"/>
      <c r="AD185" t="s">
        <v>521</v>
      </c>
      <c r="AG185" s="251">
        <f t="shared" si="39"/>
        <v>92561.400000000009</v>
      </c>
      <c r="AH185" s="251"/>
      <c r="AI185" s="26">
        <f t="shared" si="40"/>
        <v>1888.56</v>
      </c>
      <c r="AJ185" s="26"/>
      <c r="AK185" s="251">
        <f t="shared" si="41"/>
        <v>94449.96</v>
      </c>
      <c r="AM185" t="s">
        <v>521</v>
      </c>
      <c r="AQ185" s="251">
        <f t="shared" si="42"/>
        <v>94449.96</v>
      </c>
      <c r="AR185" s="251"/>
      <c r="AS185" s="26"/>
      <c r="AT185" s="26"/>
      <c r="AU185" s="251"/>
      <c r="BM185" s="37"/>
    </row>
    <row r="186" spans="14:65" ht="16.5" thickBot="1" x14ac:dyDescent="0.45">
      <c r="N186" s="36"/>
      <c r="O186" t="s">
        <v>516</v>
      </c>
      <c r="P186" s="122">
        <f>SUM(X103:X107)</f>
        <v>222913.4375</v>
      </c>
      <c r="Q186" s="251"/>
      <c r="R186" s="251">
        <f>P186+Q186</f>
        <v>222913.4375</v>
      </c>
      <c r="S186" s="122"/>
      <c r="T186" s="122"/>
      <c r="U186" s="251"/>
      <c r="V186" s="122"/>
      <c r="W186" s="122"/>
      <c r="X186" s="26"/>
      <c r="Y186" s="26"/>
      <c r="Z186" s="26"/>
      <c r="AA186" s="26">
        <f>SUM(R186:Z186)</f>
        <v>222913.4375</v>
      </c>
      <c r="AB186" s="26"/>
      <c r="AC186" s="290"/>
      <c r="AD186" t="s">
        <v>2708</v>
      </c>
      <c r="AG186" s="251"/>
      <c r="AH186" s="251"/>
      <c r="AI186" s="26"/>
      <c r="AJ186" s="26"/>
      <c r="AK186" s="251"/>
      <c r="AM186" t="s">
        <v>2708</v>
      </c>
      <c r="AQ186" s="251"/>
      <c r="AR186" s="251"/>
      <c r="AS186" s="26"/>
      <c r="AT186" s="26"/>
      <c r="AU186" s="251"/>
      <c r="AW186" t="s">
        <v>2724</v>
      </c>
      <c r="AY186" s="31">
        <f>AY184*$BI$186</f>
        <v>92707.551642284336</v>
      </c>
      <c r="BA186" s="31">
        <f>BA184*$BI$186</f>
        <v>367388.75298189663</v>
      </c>
      <c r="BC186" s="31">
        <f>BC184*$BI$186</f>
        <v>62661.851493440969</v>
      </c>
      <c r="BE186" s="31">
        <f>BE184*$BI$186</f>
        <v>48928.926395872586</v>
      </c>
      <c r="BG186" s="31">
        <f>BG184*$BI$186</f>
        <v>129255.50493872679</v>
      </c>
      <c r="BI186" s="31">
        <f>AQ196</f>
        <v>700942.5874522212</v>
      </c>
      <c r="BK186" s="35">
        <f>SUM(AY186:BG186)</f>
        <v>700942.58745222131</v>
      </c>
      <c r="BM186" s="37"/>
    </row>
    <row r="187" spans="14:65" ht="16.5" thickTop="1" x14ac:dyDescent="0.4">
      <c r="N187" s="36"/>
      <c r="O187" t="s">
        <v>517</v>
      </c>
      <c r="P187" s="122">
        <f>SUM(X110:X113)</f>
        <v>168180.55499999999</v>
      </c>
      <c r="Q187" s="251">
        <f>P187*-R162</f>
        <v>-9662.3618090034633</v>
      </c>
      <c r="R187" s="251">
        <f>P187+Q187</f>
        <v>158518.19319099654</v>
      </c>
      <c r="S187" s="122"/>
      <c r="T187" s="122"/>
      <c r="U187" s="251"/>
      <c r="V187" s="122"/>
      <c r="W187" s="122"/>
      <c r="X187" s="26"/>
      <c r="Y187" s="26"/>
      <c r="Z187" s="26"/>
      <c r="AA187" s="26">
        <f>SUM(R187:Z187)</f>
        <v>158518.19319099654</v>
      </c>
      <c r="AB187" s="26"/>
      <c r="AC187" s="290"/>
      <c r="AD187" t="s">
        <v>2709</v>
      </c>
      <c r="AG187" s="251">
        <f t="shared" si="39"/>
        <v>9946.2000000000007</v>
      </c>
      <c r="AH187" s="251"/>
      <c r="AI187" s="26">
        <f t="shared" si="40"/>
        <v>231.60000000000002</v>
      </c>
      <c r="AJ187" s="26"/>
      <c r="AK187" s="251">
        <f t="shared" si="41"/>
        <v>10177.800000000001</v>
      </c>
      <c r="AM187" t="s">
        <v>2709</v>
      </c>
      <c r="AQ187" s="251">
        <f t="shared" si="42"/>
        <v>10177.800000000001</v>
      </c>
      <c r="AR187" s="251"/>
      <c r="AS187" s="26"/>
      <c r="AT187" s="26"/>
      <c r="AU187" s="251"/>
      <c r="BM187" s="37"/>
    </row>
    <row r="188" spans="14:65" x14ac:dyDescent="0.4">
      <c r="N188" s="36"/>
      <c r="P188" s="122"/>
      <c r="Q188" s="251"/>
      <c r="R188" s="251"/>
      <c r="T188" s="122"/>
      <c r="U188" s="251"/>
      <c r="V188" s="122"/>
      <c r="W188" s="122"/>
      <c r="X188" s="26"/>
      <c r="Y188" s="26"/>
      <c r="Z188" s="26"/>
      <c r="AA188" s="26"/>
      <c r="AB188" s="26"/>
      <c r="AC188" s="290"/>
      <c r="AD188" t="s">
        <v>522</v>
      </c>
      <c r="AG188" s="251">
        <f t="shared" si="39"/>
        <v>19906.800000000003</v>
      </c>
      <c r="AH188" s="251"/>
      <c r="AI188" s="26">
        <f t="shared" si="40"/>
        <v>283.56</v>
      </c>
      <c r="AJ188" s="26"/>
      <c r="AK188" s="251">
        <f t="shared" si="41"/>
        <v>20190.360000000004</v>
      </c>
      <c r="AM188" t="s">
        <v>522</v>
      </c>
      <c r="AQ188" s="251">
        <f t="shared" si="42"/>
        <v>20190.360000000004</v>
      </c>
      <c r="AR188" s="251"/>
      <c r="AS188" s="26"/>
      <c r="AT188" s="26"/>
      <c r="AU188" s="251"/>
      <c r="BM188" s="37"/>
    </row>
    <row r="189" spans="14:65" x14ac:dyDescent="0.4">
      <c r="N189" s="36"/>
      <c r="O189" s="270" t="s">
        <v>2659</v>
      </c>
      <c r="P189" s="122"/>
      <c r="Q189" s="251"/>
      <c r="R189" s="251"/>
      <c r="S189" s="122"/>
      <c r="T189" s="122"/>
      <c r="U189" s="251"/>
      <c r="V189" s="122"/>
      <c r="W189" s="122"/>
      <c r="X189" s="26"/>
      <c r="Y189" s="26"/>
      <c r="Z189" s="26"/>
      <c r="AA189" s="26"/>
      <c r="AB189" s="26"/>
      <c r="AC189" s="290"/>
      <c r="AD189" t="s">
        <v>523</v>
      </c>
      <c r="AG189" s="251">
        <f t="shared" si="39"/>
        <v>19892.400000000001</v>
      </c>
      <c r="AH189" s="251"/>
      <c r="AI189" s="26">
        <f t="shared" si="40"/>
        <v>463.20000000000005</v>
      </c>
      <c r="AJ189" s="26"/>
      <c r="AK189" s="251">
        <f t="shared" si="41"/>
        <v>20355.600000000002</v>
      </c>
      <c r="AM189" t="s">
        <v>523</v>
      </c>
      <c r="AQ189" s="251">
        <f t="shared" si="42"/>
        <v>20355.600000000002</v>
      </c>
      <c r="AR189" s="251"/>
      <c r="AS189" s="26"/>
      <c r="AT189" s="26"/>
      <c r="AU189" s="251"/>
      <c r="AY189" s="50"/>
      <c r="BM189" s="37"/>
    </row>
    <row r="190" spans="14:65" x14ac:dyDescent="0.4">
      <c r="N190" s="36"/>
      <c r="O190" t="s">
        <v>2645</v>
      </c>
      <c r="P190" s="122"/>
      <c r="Q190" s="251"/>
      <c r="R190" s="122"/>
      <c r="S190" s="251">
        <f>$Z$212*R197</f>
        <v>19493.765731256597</v>
      </c>
      <c r="T190" s="122"/>
      <c r="U190" s="251"/>
      <c r="V190" s="122"/>
      <c r="W190" s="122"/>
      <c r="X190" s="26"/>
      <c r="Y190" s="26"/>
      <c r="Z190" s="26"/>
      <c r="AA190" s="26">
        <f>SUM(R190:Z190)</f>
        <v>19493.765731256597</v>
      </c>
      <c r="AB190" s="26"/>
      <c r="AC190" s="290"/>
      <c r="AD190" t="s">
        <v>515</v>
      </c>
      <c r="AG190" s="251">
        <f t="shared" si="39"/>
        <v>58397.64</v>
      </c>
      <c r="AH190" s="251"/>
      <c r="AI190" s="26">
        <f t="shared" si="40"/>
        <v>1311.84</v>
      </c>
      <c r="AJ190" s="26"/>
      <c r="AK190" s="251">
        <f t="shared" si="41"/>
        <v>59709.479999999996</v>
      </c>
      <c r="AM190" t="s">
        <v>515</v>
      </c>
      <c r="AQ190" s="251">
        <f t="shared" si="42"/>
        <v>59709.479999999996</v>
      </c>
      <c r="AR190" s="251"/>
      <c r="AS190" s="26"/>
      <c r="AT190" s="26"/>
      <c r="AU190" s="251"/>
      <c r="BM190" s="37"/>
    </row>
    <row r="191" spans="14:65" x14ac:dyDescent="0.4">
      <c r="N191" s="36"/>
      <c r="O191" t="s">
        <v>518</v>
      </c>
      <c r="P191" s="122"/>
      <c r="Q191" s="251"/>
      <c r="R191" s="122"/>
      <c r="S191" s="251">
        <f>AK253</f>
        <v>15793.93216402582</v>
      </c>
      <c r="T191" s="122"/>
      <c r="U191" s="251"/>
      <c r="V191" s="122"/>
      <c r="W191" s="122"/>
      <c r="X191" s="26"/>
      <c r="Y191" s="26"/>
      <c r="Z191" s="26"/>
      <c r="AA191" s="26">
        <f>SUM(R191:Z191)</f>
        <v>15793.93216402582</v>
      </c>
      <c r="AB191" s="26"/>
      <c r="AC191" s="290"/>
      <c r="AG191" s="251"/>
      <c r="AH191" s="251"/>
      <c r="AI191" s="26"/>
      <c r="AJ191" s="26"/>
      <c r="AK191" s="251"/>
      <c r="AM191" s="270" t="s">
        <v>2715</v>
      </c>
      <c r="AN191" s="270"/>
      <c r="AQ191" s="26"/>
      <c r="AS191" s="26"/>
      <c r="AT191" s="26"/>
      <c r="AU191" s="251"/>
      <c r="BM191" s="37"/>
    </row>
    <row r="192" spans="14:65" x14ac:dyDescent="0.4">
      <c r="N192" s="36"/>
      <c r="O192" t="s">
        <v>526</v>
      </c>
      <c r="P192" s="122"/>
      <c r="Q192" s="251"/>
      <c r="R192" s="122"/>
      <c r="S192" s="251">
        <f>$Z$212*R199</f>
        <v>67880.252671594499</v>
      </c>
      <c r="T192" s="122"/>
      <c r="U192" s="251"/>
      <c r="V192" s="122"/>
      <c r="W192" s="122"/>
      <c r="X192" s="26"/>
      <c r="Y192" s="26"/>
      <c r="Z192" s="26"/>
      <c r="AA192" s="26">
        <f>SUM(R192:Z192)</f>
        <v>67880.252671594499</v>
      </c>
      <c r="AB192" s="26"/>
      <c r="AC192" s="290"/>
      <c r="AD192" s="270" t="s">
        <v>2636</v>
      </c>
      <c r="AG192" s="251"/>
      <c r="AH192" s="251"/>
      <c r="AI192" s="26"/>
      <c r="AJ192" s="26"/>
      <c r="AK192" s="251"/>
      <c r="AM192" t="s">
        <v>524</v>
      </c>
      <c r="AQ192" s="26">
        <f>AK198*(S180/R197)</f>
        <v>52232.03733896515</v>
      </c>
      <c r="AY192" s="400" t="s">
        <v>2728</v>
      </c>
      <c r="AZ192" s="400"/>
      <c r="BA192" s="400"/>
      <c r="BB192" s="400"/>
      <c r="BC192" s="400"/>
      <c r="BD192" s="400"/>
      <c r="BE192" s="400"/>
      <c r="BF192" s="400"/>
      <c r="BG192" s="400"/>
      <c r="BM192" s="37"/>
    </row>
    <row r="193" spans="14:65" x14ac:dyDescent="0.4">
      <c r="N193" s="36"/>
      <c r="P193" s="8"/>
      <c r="Q193" s="122"/>
      <c r="R193" s="122"/>
      <c r="S193" s="122"/>
      <c r="T193" s="122"/>
      <c r="U193" s="251"/>
      <c r="V193" s="122"/>
      <c r="W193" s="122"/>
      <c r="X193" s="26"/>
      <c r="Y193" s="26"/>
      <c r="Z193" s="26"/>
      <c r="AA193" s="26"/>
      <c r="AB193" s="26"/>
      <c r="AC193" s="290"/>
      <c r="AD193" t="s">
        <v>3550</v>
      </c>
      <c r="AG193" s="251">
        <f t="shared" si="39"/>
        <v>10017.960000000001</v>
      </c>
      <c r="AH193" s="251"/>
      <c r="AI193" s="26">
        <f t="shared" si="40"/>
        <v>308.15999999999997</v>
      </c>
      <c r="AJ193" s="26"/>
      <c r="AK193" s="251">
        <f t="shared" si="41"/>
        <v>10326.120000000001</v>
      </c>
      <c r="AM193" t="s">
        <v>2716</v>
      </c>
      <c r="AQ193" s="26">
        <f>AK199*(S181/R198)</f>
        <v>47084.431760563377</v>
      </c>
      <c r="AY193" s="101"/>
      <c r="AZ193" s="101"/>
      <c r="BA193" s="101" t="s">
        <v>464</v>
      </c>
      <c r="BB193" s="101"/>
      <c r="BC193" s="101"/>
      <c r="BD193" s="101"/>
      <c r="BE193" s="101" t="s">
        <v>461</v>
      </c>
      <c r="BF193" s="101"/>
      <c r="BG193" s="26"/>
      <c r="BM193" s="37"/>
    </row>
    <row r="194" spans="14:65" ht="17.5" x14ac:dyDescent="0.55000000000000004">
      <c r="N194" s="36"/>
      <c r="O194" t="s">
        <v>2658</v>
      </c>
      <c r="P194" s="8"/>
      <c r="Q194" s="122"/>
      <c r="R194" s="122"/>
      <c r="S194" s="122"/>
      <c r="T194" s="122"/>
      <c r="U194" s="251"/>
      <c r="V194" s="122"/>
      <c r="W194" s="122"/>
      <c r="X194" s="26"/>
      <c r="Y194" s="26"/>
      <c r="Z194" s="26"/>
      <c r="AA194" s="26"/>
      <c r="AB194" s="26"/>
      <c r="AC194" s="290"/>
      <c r="AD194" t="s">
        <v>516</v>
      </c>
      <c r="AG194" s="251">
        <f t="shared" si="39"/>
        <v>68343.840000000011</v>
      </c>
      <c r="AH194" s="251"/>
      <c r="AI194" s="26">
        <f t="shared" si="40"/>
        <v>1286.52</v>
      </c>
      <c r="AJ194" s="26"/>
      <c r="AK194" s="251">
        <f t="shared" si="41"/>
        <v>69630.360000000015</v>
      </c>
      <c r="AM194" t="s">
        <v>2717</v>
      </c>
      <c r="AQ194" s="10">
        <f>AK200*(S182/R199)</f>
        <v>121838.99835269271</v>
      </c>
      <c r="AR194" s="24"/>
      <c r="AY194" s="286" t="s">
        <v>459</v>
      </c>
      <c r="AZ194" s="269"/>
      <c r="BA194" s="286" t="s">
        <v>465</v>
      </c>
      <c r="BB194" s="285"/>
      <c r="BC194" s="286" t="s">
        <v>460</v>
      </c>
      <c r="BD194" s="285"/>
      <c r="BE194" s="286" t="s">
        <v>466</v>
      </c>
      <c r="BF194" s="285"/>
      <c r="BG194" s="286" t="s">
        <v>2826</v>
      </c>
      <c r="BI194" s="21" t="s">
        <v>49</v>
      </c>
      <c r="BK194" t="s">
        <v>25</v>
      </c>
      <c r="BM194" s="37"/>
    </row>
    <row r="195" spans="14:65" x14ac:dyDescent="0.4">
      <c r="N195" s="36"/>
      <c r="P195" s="8"/>
      <c r="Q195" s="122"/>
      <c r="R195" s="122"/>
      <c r="S195" s="122"/>
      <c r="T195" s="122"/>
      <c r="U195" s="251"/>
      <c r="V195" s="122"/>
      <c r="W195" s="122"/>
      <c r="X195" s="26"/>
      <c r="Y195" s="26"/>
      <c r="Z195" s="26"/>
      <c r="AA195" s="26"/>
      <c r="AB195" s="26"/>
      <c r="AC195" s="290"/>
      <c r="AD195" t="s">
        <v>517</v>
      </c>
      <c r="AG195" s="251">
        <f t="shared" si="39"/>
        <v>39928.32</v>
      </c>
      <c r="AH195" s="251"/>
      <c r="AI195" s="26">
        <f t="shared" si="40"/>
        <v>926.40000000000009</v>
      </c>
      <c r="AJ195" s="26"/>
      <c r="AK195" s="251">
        <f t="shared" si="41"/>
        <v>40854.720000000001</v>
      </c>
      <c r="AQ195" s="26"/>
      <c r="BM195" s="37"/>
    </row>
    <row r="196" spans="14:65" x14ac:dyDescent="0.4">
      <c r="N196" s="36"/>
      <c r="O196" s="270" t="s">
        <v>2693</v>
      </c>
      <c r="P196" s="8"/>
      <c r="Q196" s="122"/>
      <c r="R196" s="122"/>
      <c r="S196" s="122"/>
      <c r="T196" s="122"/>
      <c r="U196" s="251"/>
      <c r="V196" s="122"/>
      <c r="W196" s="122"/>
      <c r="X196" s="26"/>
      <c r="Y196" s="26"/>
      <c r="Z196" s="26"/>
      <c r="AA196" s="26"/>
      <c r="AB196" s="26"/>
      <c r="AC196" s="290"/>
      <c r="AG196" s="251"/>
      <c r="AH196" s="251"/>
      <c r="AI196" s="26"/>
      <c r="AJ196" s="26"/>
      <c r="AK196" s="251"/>
      <c r="AM196" s="270" t="s">
        <v>2713</v>
      </c>
      <c r="AN196" s="270"/>
      <c r="AQ196" s="217">
        <f>SUM(AQ182:AQ195)</f>
        <v>700942.5874522212</v>
      </c>
      <c r="AS196" s="25">
        <v>-577349</v>
      </c>
      <c r="AT196" s="25"/>
      <c r="AU196" s="25">
        <f>AQ196+AS196</f>
        <v>123593.5874522212</v>
      </c>
      <c r="AW196" t="s">
        <v>2725</v>
      </c>
      <c r="AY196" s="25">
        <f>AY183</f>
        <v>359333.01429639547</v>
      </c>
      <c r="AZ196" s="25"/>
      <c r="BA196" s="25">
        <f>BA183-Q173</f>
        <v>1472398.9176185301</v>
      </c>
      <c r="BB196" s="25"/>
      <c r="BC196" s="25">
        <f>BC183</f>
        <v>242876.3523538181</v>
      </c>
      <c r="BD196" s="25"/>
      <c r="BE196" s="25">
        <f>BE183</f>
        <v>189647.75033597415</v>
      </c>
      <c r="BF196" s="25"/>
      <c r="BG196" s="25">
        <f>BG183</f>
        <v>500992.30732840544</v>
      </c>
      <c r="BH196" s="25"/>
      <c r="BI196" s="25">
        <f>AA203-Q187</f>
        <v>566828.89306687692</v>
      </c>
      <c r="BK196" s="50">
        <f>SUM(AY196:BJ196)</f>
        <v>3332077.2350000003</v>
      </c>
      <c r="BM196" s="37"/>
    </row>
    <row r="197" spans="14:65" x14ac:dyDescent="0.4">
      <c r="N197" s="36"/>
      <c r="O197" t="s">
        <v>2645</v>
      </c>
      <c r="P197" s="122">
        <f>SUM(X78:X81)</f>
        <v>163368.10749999998</v>
      </c>
      <c r="Q197" s="251"/>
      <c r="R197" s="251">
        <f>P197+Q197</f>
        <v>163368.10749999998</v>
      </c>
      <c r="S197" s="122"/>
      <c r="T197" s="122"/>
      <c r="U197" s="251"/>
      <c r="V197" s="122"/>
      <c r="W197" s="122"/>
      <c r="X197" s="26"/>
      <c r="Y197" s="26"/>
      <c r="Z197" s="26"/>
      <c r="AA197" s="26"/>
      <c r="AB197" s="26"/>
      <c r="AC197" s="290"/>
      <c r="AD197" s="270" t="s">
        <v>2707</v>
      </c>
      <c r="AG197" s="251"/>
      <c r="AH197" s="251"/>
      <c r="AI197" s="26"/>
      <c r="AJ197" s="26"/>
      <c r="AK197" s="251"/>
      <c r="AS197" s="25"/>
      <c r="AT197" s="25"/>
      <c r="AU197" s="32"/>
      <c r="AW197" t="s">
        <v>2726</v>
      </c>
      <c r="AY197" s="112">
        <v>0.1862</v>
      </c>
      <c r="AZ197" s="105"/>
      <c r="BA197" s="112">
        <v>0.1862</v>
      </c>
      <c r="BB197" s="105"/>
      <c r="BC197" s="112">
        <v>0.1862</v>
      </c>
      <c r="BD197" s="105"/>
      <c r="BE197" s="112">
        <v>0.1862</v>
      </c>
      <c r="BF197" s="105"/>
      <c r="BG197" s="112">
        <v>0.1862</v>
      </c>
      <c r="BH197" s="105"/>
      <c r="BI197" s="112">
        <v>0.1862</v>
      </c>
      <c r="BM197" s="37"/>
    </row>
    <row r="198" spans="14:65" x14ac:dyDescent="0.4">
      <c r="N198" s="36"/>
      <c r="O198" t="s">
        <v>518</v>
      </c>
      <c r="P198" s="122">
        <f>SUM(X116:X121)</f>
        <v>205441.6825</v>
      </c>
      <c r="Q198" s="251"/>
      <c r="R198" s="251">
        <f>P198+Q198</f>
        <v>205441.6825</v>
      </c>
      <c r="S198" s="122"/>
      <c r="T198" s="122"/>
      <c r="U198" s="251"/>
      <c r="V198" s="122"/>
      <c r="W198" s="122"/>
      <c r="X198" s="26"/>
      <c r="Y198" s="26"/>
      <c r="Z198" s="26"/>
      <c r="AA198" s="26"/>
      <c r="AB198" s="26"/>
      <c r="AC198" s="290"/>
      <c r="AD198" t="s">
        <v>2645</v>
      </c>
      <c r="AG198" s="251">
        <f>AG173*12</f>
        <v>58254.12</v>
      </c>
      <c r="AH198" s="251"/>
      <c r="AI198" s="26">
        <f>AM173*12</f>
        <v>1054.92</v>
      </c>
      <c r="AJ198" s="26"/>
      <c r="AK198" s="251">
        <f>AG198+AI198</f>
        <v>59309.04</v>
      </c>
      <c r="AM198" s="270" t="s">
        <v>2636</v>
      </c>
      <c r="AN198" s="270"/>
      <c r="AQ198" s="251"/>
      <c r="AR198" s="251"/>
      <c r="AS198" s="26"/>
      <c r="AT198" s="26"/>
      <c r="AU198" s="251"/>
      <c r="BM198" s="37"/>
    </row>
    <row r="199" spans="14:65" ht="16.5" thickBot="1" x14ac:dyDescent="0.45">
      <c r="N199" s="36"/>
      <c r="O199" t="s">
        <v>526</v>
      </c>
      <c r="P199" s="259">
        <f>SUM(X135:X145)</f>
        <v>568872.55999999994</v>
      </c>
      <c r="Q199" s="259"/>
      <c r="R199" s="259">
        <f>P199+Q199</f>
        <v>568872.55999999994</v>
      </c>
      <c r="S199" s="259"/>
      <c r="T199" s="259"/>
      <c r="U199" s="259"/>
      <c r="V199" s="259"/>
      <c r="W199" s="259"/>
      <c r="X199" s="10"/>
      <c r="Y199" s="10"/>
      <c r="Z199" s="10"/>
      <c r="AA199" s="10"/>
      <c r="AB199" s="26"/>
      <c r="AC199" s="290"/>
      <c r="AD199" t="s">
        <v>518</v>
      </c>
      <c r="AG199" s="251">
        <f>AG172*12</f>
        <v>49487.520000000004</v>
      </c>
      <c r="AH199" s="251"/>
      <c r="AI199" s="26">
        <f>AM172*12</f>
        <v>1518.1200000000001</v>
      </c>
      <c r="AJ199" s="26"/>
      <c r="AK199" s="251">
        <f>AG199+AI199</f>
        <v>51005.640000000007</v>
      </c>
      <c r="AM199" t="s">
        <v>3550</v>
      </c>
      <c r="AQ199" s="251">
        <f>AK193</f>
        <v>10326.120000000001</v>
      </c>
      <c r="AR199" s="251"/>
      <c r="AS199" s="26"/>
      <c r="AT199" s="26"/>
      <c r="AU199" s="251"/>
      <c r="AW199" t="s">
        <v>2727</v>
      </c>
      <c r="AY199" s="31">
        <f>AY196*AY197</f>
        <v>66907.807261988841</v>
      </c>
      <c r="BA199" s="31">
        <f>BA196*BA197</f>
        <v>274160.67846057029</v>
      </c>
      <c r="BC199" s="31">
        <f>BC196*BC197</f>
        <v>45223.57680828093</v>
      </c>
      <c r="BE199" s="31">
        <f>BE196*BE197</f>
        <v>35312.411112558388</v>
      </c>
      <c r="BG199" s="31">
        <f>BG196*BG197</f>
        <v>93284.767624549102</v>
      </c>
      <c r="BI199" s="31">
        <f>BI196*BI197</f>
        <v>105543.53988905248</v>
      </c>
      <c r="BM199" s="37"/>
    </row>
    <row r="200" spans="14:65" ht="16.5" thickTop="1" x14ac:dyDescent="0.4">
      <c r="N200" s="36"/>
      <c r="P200" s="122"/>
      <c r="Q200" s="122"/>
      <c r="R200" s="251"/>
      <c r="S200" s="122"/>
      <c r="T200" s="122"/>
      <c r="U200" s="251"/>
      <c r="V200" s="122"/>
      <c r="W200" s="122"/>
      <c r="X200" s="26"/>
      <c r="Y200" s="26"/>
      <c r="Z200" s="26"/>
      <c r="AA200" s="26"/>
      <c r="AB200" s="26"/>
      <c r="AC200" s="290"/>
      <c r="AD200" t="s">
        <v>526</v>
      </c>
      <c r="AG200" s="259">
        <f t="shared" si="39"/>
        <v>135762.96</v>
      </c>
      <c r="AH200" s="251"/>
      <c r="AI200" s="10">
        <f t="shared" si="40"/>
        <v>2584.1999999999998</v>
      </c>
      <c r="AJ200" s="26"/>
      <c r="AK200" s="259">
        <f t="shared" si="41"/>
        <v>138347.16</v>
      </c>
      <c r="AM200" t="s">
        <v>516</v>
      </c>
      <c r="AQ200" s="251">
        <f>AK194</f>
        <v>69630.360000000015</v>
      </c>
      <c r="AR200" s="251"/>
      <c r="AS200" s="26"/>
      <c r="AT200" s="26"/>
      <c r="AU200" s="251"/>
      <c r="BM200" s="37"/>
    </row>
    <row r="201" spans="14:65" x14ac:dyDescent="0.4">
      <c r="N201" s="36"/>
      <c r="O201" t="s">
        <v>179</v>
      </c>
      <c r="P201" s="251">
        <f>SUM(P168:P200)</f>
        <v>3332077.2350000003</v>
      </c>
      <c r="Q201" s="251">
        <f>SUM(Q168:Q200)</f>
        <v>-58068.242301891318</v>
      </c>
      <c r="R201" s="284">
        <f>SUM(R168:R200)</f>
        <v>3274008.9926981083</v>
      </c>
      <c r="S201" s="122">
        <f>SUM(S169:S199)</f>
        <v>1010856.2199999999</v>
      </c>
      <c r="T201" s="122">
        <f>SUM(T169:T199)</f>
        <v>86489.891900412738</v>
      </c>
      <c r="U201" s="251">
        <f>SUM(U170:U200)</f>
        <v>143874.34176874335</v>
      </c>
      <c r="V201" s="251">
        <f>SUM(V169:V200)</f>
        <v>359333.01429639547</v>
      </c>
      <c r="W201" s="251">
        <f>SUM(W169:W200)</f>
        <v>1423993.0371256422</v>
      </c>
      <c r="X201" s="251">
        <f>SUM(X169:X200)</f>
        <v>242876.3523538181</v>
      </c>
      <c r="Y201" s="251">
        <f>SUM(Y169:Y200)</f>
        <v>189647.75033597415</v>
      </c>
      <c r="Z201" s="251">
        <f>SUM(Z169:Z200)</f>
        <v>500992.30732840544</v>
      </c>
      <c r="AA201" s="9"/>
      <c r="AB201" s="26"/>
      <c r="AC201" s="290"/>
      <c r="AM201" t="s">
        <v>517</v>
      </c>
      <c r="AQ201" s="251">
        <f>AK195</f>
        <v>40854.720000000001</v>
      </c>
      <c r="AR201" s="251"/>
      <c r="AS201" s="26"/>
      <c r="AT201" s="26"/>
      <c r="AU201" s="251"/>
      <c r="AW201" t="s">
        <v>2730</v>
      </c>
      <c r="BG201" s="50">
        <f>SUM(AY199:BG199)</f>
        <v>514889.2412679476</v>
      </c>
      <c r="BI201" s="50">
        <f>BI199</f>
        <v>105543.53988905248</v>
      </c>
      <c r="BK201" s="50">
        <f>SUM(BG201:BI201)</f>
        <v>620432.78115700011</v>
      </c>
      <c r="BM201" s="37"/>
    </row>
    <row r="202" spans="14:65" ht="16.5" thickBot="1" x14ac:dyDescent="0.45">
      <c r="N202" s="36"/>
      <c r="U202" s="250"/>
      <c r="V202" s="251"/>
      <c r="W202" s="251"/>
      <c r="X202" s="26"/>
      <c r="Y202" s="26" t="s">
        <v>454</v>
      </c>
      <c r="Z202" s="26">
        <f>SUM(V201:Z201)</f>
        <v>2716842.4614402349</v>
      </c>
      <c r="AB202" s="26"/>
      <c r="AC202" s="290"/>
      <c r="AD202" t="s">
        <v>179</v>
      </c>
      <c r="AG202" s="52">
        <f>SUM(AG182:AG200)</f>
        <v>832687.20000000007</v>
      </c>
      <c r="AH202" s="50"/>
      <c r="AI202" s="52">
        <f>SUM(AI182:AI200)</f>
        <v>16572.960000000003</v>
      </c>
      <c r="AK202" s="52">
        <f>SUM(AK182:AK200)</f>
        <v>849260.16</v>
      </c>
      <c r="AM202" s="270" t="s">
        <v>3525</v>
      </c>
      <c r="AN202" s="270"/>
      <c r="AQ202" s="26"/>
      <c r="AW202" t="s">
        <v>181</v>
      </c>
      <c r="BG202" s="10">
        <v>-618154</v>
      </c>
      <c r="BI202" s="41"/>
      <c r="BM202" s="37"/>
    </row>
    <row r="203" spans="14:65" ht="16.5" thickTop="1" x14ac:dyDescent="0.4">
      <c r="N203" s="36"/>
      <c r="Y203" s="8" t="s">
        <v>2694</v>
      </c>
      <c r="AA203" s="251">
        <f>SUM(AA169:AA200)</f>
        <v>557166.5312578734</v>
      </c>
      <c r="AB203" s="26"/>
      <c r="AC203" s="290"/>
      <c r="AM203" t="s">
        <v>524</v>
      </c>
      <c r="AQ203" s="26">
        <f>AK198*(S190/R197)</f>
        <v>7077.0026610348468</v>
      </c>
      <c r="BM203" s="37"/>
    </row>
    <row r="204" spans="14:65" ht="16.5" thickBot="1" x14ac:dyDescent="0.45">
      <c r="N204" s="36"/>
      <c r="O204" t="s">
        <v>2639</v>
      </c>
      <c r="P204" s="26">
        <v>3332077</v>
      </c>
      <c r="U204" s="250"/>
      <c r="V204" s="251"/>
      <c r="W204" s="251"/>
      <c r="X204" s="26"/>
      <c r="Y204" s="26" t="s">
        <v>281</v>
      </c>
      <c r="Z204" s="26"/>
      <c r="AA204" s="283">
        <f>Z202+AA203</f>
        <v>3274008.9926981083</v>
      </c>
      <c r="AB204" s="26"/>
      <c r="AC204" s="290"/>
      <c r="AM204" t="s">
        <v>2716</v>
      </c>
      <c r="AQ204" s="26">
        <f>AK199*(S191/R198)</f>
        <v>3921.2082394366203</v>
      </c>
      <c r="AW204" t="s">
        <v>182</v>
      </c>
      <c r="BG204" s="52">
        <f>BG201+BG202</f>
        <v>-103264.7587320524</v>
      </c>
      <c r="BI204" s="52">
        <f>BI201-BI202</f>
        <v>105543.53988905248</v>
      </c>
      <c r="BM204" s="37"/>
    </row>
    <row r="205" spans="14:65" ht="17" thickTop="1" thickBot="1" x14ac:dyDescent="0.45">
      <c r="N205" s="40"/>
      <c r="U205" s="250"/>
      <c r="V205" s="251"/>
      <c r="Y205" s="26"/>
      <c r="Z205" s="26"/>
      <c r="AA205" s="10"/>
      <c r="AB205" s="10"/>
      <c r="AC205" s="290"/>
      <c r="AM205" t="s">
        <v>2717</v>
      </c>
      <c r="AQ205" s="10">
        <f>AK200*(S192/R199)</f>
        <v>16508.161647307286</v>
      </c>
      <c r="AR205" s="24"/>
      <c r="AW205" t="s">
        <v>2729</v>
      </c>
      <c r="BI205" s="52">
        <f>BI204+BG204</f>
        <v>2278.7811570000777</v>
      </c>
      <c r="BM205" s="37"/>
    </row>
    <row r="206" spans="14:65" ht="16.5" thickTop="1" x14ac:dyDescent="0.4">
      <c r="O206" s="245"/>
      <c r="P206" s="222"/>
      <c r="Q206" s="246"/>
      <c r="R206" s="246"/>
      <c r="S206" s="246"/>
      <c r="T206" s="246"/>
      <c r="U206" s="247"/>
      <c r="V206" s="257"/>
      <c r="W206" s="246"/>
      <c r="X206" s="246"/>
      <c r="Y206" s="97"/>
      <c r="Z206" s="97"/>
      <c r="AA206" s="89"/>
      <c r="AC206" s="290"/>
      <c r="AQ206" s="35"/>
      <c r="AR206" s="251"/>
      <c r="AS206" s="26"/>
      <c r="AT206" s="26"/>
      <c r="AU206" s="251"/>
      <c r="BM206" s="37"/>
    </row>
    <row r="207" spans="14:65" x14ac:dyDescent="0.4">
      <c r="O207" s="36"/>
      <c r="U207" s="250"/>
      <c r="V207" s="251"/>
      <c r="X207" s="27" t="s">
        <v>2652</v>
      </c>
      <c r="Y207" s="26"/>
      <c r="Z207" s="26"/>
      <c r="AA207" s="89"/>
      <c r="AC207" s="290"/>
      <c r="AK207" s="37"/>
      <c r="AM207" s="270" t="s">
        <v>2714</v>
      </c>
      <c r="AN207" s="270"/>
      <c r="AQ207" s="217">
        <f>SUM(AQ199:AQ206)</f>
        <v>148317.57254777875</v>
      </c>
      <c r="AR207" s="251"/>
      <c r="AS207" s="10">
        <v>-143644</v>
      </c>
      <c r="AT207" s="26"/>
      <c r="AU207" s="259">
        <f>AQ207+AS207</f>
        <v>4673.5725477787491</v>
      </c>
      <c r="BM207" s="37"/>
    </row>
    <row r="208" spans="14:65" x14ac:dyDescent="0.4">
      <c r="O208" s="40" t="s">
        <v>2646</v>
      </c>
      <c r="P208" s="41"/>
      <c r="Q208" s="254"/>
      <c r="R208" s="254"/>
      <c r="T208" s="258" t="s">
        <v>2651</v>
      </c>
      <c r="U208" s="255"/>
      <c r="V208" s="259"/>
      <c r="X208" s="27" t="s">
        <v>2653</v>
      </c>
      <c r="Y208" s="26"/>
      <c r="Z208" s="26"/>
      <c r="AA208" s="89"/>
      <c r="AC208" s="290"/>
      <c r="AK208" s="37"/>
      <c r="AQ208" s="251"/>
      <c r="BM208" s="37"/>
    </row>
    <row r="209" spans="15:65" ht="16.5" thickBot="1" x14ac:dyDescent="0.45">
      <c r="O209" s="36"/>
      <c r="U209" s="250"/>
      <c r="V209" s="251"/>
      <c r="X209" s="400" t="s">
        <v>3300</v>
      </c>
      <c r="Y209" s="400"/>
      <c r="Z209" s="400"/>
      <c r="AA209" s="89"/>
      <c r="AC209" s="290"/>
      <c r="AK209" s="37"/>
      <c r="AM209" t="s">
        <v>2718</v>
      </c>
      <c r="AQ209" s="52">
        <f>AQ196+AQ207</f>
        <v>849260.15999999992</v>
      </c>
      <c r="AR209" s="50"/>
      <c r="AS209" s="52">
        <f>SUM(AS194:AS208)</f>
        <v>-720993</v>
      </c>
      <c r="AU209" s="52">
        <f>SUM(AU196:AU208)</f>
        <v>128267.15999999995</v>
      </c>
      <c r="BM209" s="37"/>
    </row>
    <row r="210" spans="15:65" ht="18" thickTop="1" x14ac:dyDescent="0.55000000000000004">
      <c r="O210" s="36" t="s">
        <v>2638</v>
      </c>
      <c r="R210" s="218">
        <f>R168</f>
        <v>73173.87</v>
      </c>
      <c r="U210" s="250"/>
      <c r="V210" s="218">
        <f>R169+S169</f>
        <v>86489.891900412753</v>
      </c>
      <c r="X210" s="272"/>
      <c r="Y210" s="269" t="s">
        <v>559</v>
      </c>
      <c r="Z210" s="269" t="s">
        <v>537</v>
      </c>
      <c r="AA210" s="89"/>
      <c r="AC210" s="290"/>
      <c r="AK210" s="37"/>
      <c r="BM210" s="37"/>
    </row>
    <row r="211" spans="15:65" x14ac:dyDescent="0.4">
      <c r="O211" s="36" t="s">
        <v>2644</v>
      </c>
      <c r="P211" s="24">
        <f>R169</f>
        <v>83045.904999999999</v>
      </c>
      <c r="Q211" s="30">
        <f>P211/$P$222</f>
        <v>4.706580232004616E-2</v>
      </c>
      <c r="R211" s="252">
        <f>$R$210*Q211</f>
        <v>3443.9869004127559</v>
      </c>
      <c r="U211" s="250"/>
      <c r="V211" s="251"/>
      <c r="X211" s="26" t="s">
        <v>2654</v>
      </c>
      <c r="Y211" s="26">
        <v>16680</v>
      </c>
      <c r="Z211" s="105">
        <f>Y211/Y214</f>
        <v>0.88067581837381204</v>
      </c>
      <c r="AA211" s="89"/>
      <c r="AC211" s="290"/>
      <c r="AI211" s="2" t="s">
        <v>17</v>
      </c>
      <c r="AJ211" s="2"/>
      <c r="AK211" s="291" t="s">
        <v>49</v>
      </c>
      <c r="BM211" s="37"/>
    </row>
    <row r="212" spans="15:65" x14ac:dyDescent="0.4">
      <c r="O212" s="36"/>
      <c r="P212" s="24"/>
      <c r="R212" s="252"/>
      <c r="U212" s="250"/>
      <c r="V212" s="251"/>
      <c r="X212" s="26" t="s">
        <v>49</v>
      </c>
      <c r="Y212" s="10">
        <v>2260</v>
      </c>
      <c r="Z212" s="112">
        <f>Y212/Y214</f>
        <v>0.11932418162618796</v>
      </c>
      <c r="AA212" s="89"/>
      <c r="AC212" s="290"/>
      <c r="AG212" s="41" t="s">
        <v>623</v>
      </c>
      <c r="AH212" s="279"/>
      <c r="AI212" s="278">
        <f>Z211</f>
        <v>0.88067581837381204</v>
      </c>
      <c r="AJ212" s="278"/>
      <c r="AK212" s="292">
        <f>Z212</f>
        <v>0.11932418162618796</v>
      </c>
      <c r="BM212" s="37"/>
    </row>
    <row r="213" spans="15:65" x14ac:dyDescent="0.4">
      <c r="O213" s="36" t="s">
        <v>514</v>
      </c>
      <c r="P213" s="24">
        <f>R171</f>
        <v>284458.22000000003</v>
      </c>
      <c r="Q213" s="30">
        <f>P213/$P$222</f>
        <v>0.16121510567959013</v>
      </c>
      <c r="R213" s="252">
        <f>$R$210*Q213</f>
        <v>11796.733185034589</v>
      </c>
      <c r="T213" s="218">
        <f>P213</f>
        <v>284458.22000000003</v>
      </c>
      <c r="U213" s="250">
        <f>T213/$T$222</f>
        <v>0.2738188133924998</v>
      </c>
      <c r="V213" s="251">
        <f>$V$210*U213</f>
        <v>23682.559570616599</v>
      </c>
      <c r="X213" s="26"/>
      <c r="Y213" s="26"/>
      <c r="Z213" s="26"/>
      <c r="AA213" s="89"/>
      <c r="AC213" s="290"/>
      <c r="AD213" t="s">
        <v>2698</v>
      </c>
      <c r="AG213" s="25">
        <f>R197</f>
        <v>163368.10749999998</v>
      </c>
      <c r="AH213" s="25"/>
      <c r="AI213" s="25">
        <f>AG213*$AI$212</f>
        <v>143874.34176874338</v>
      </c>
      <c r="AJ213" s="25"/>
      <c r="AK213" s="85">
        <f>$AK$212*AG213</f>
        <v>19493.765731256597</v>
      </c>
      <c r="BM213" s="37"/>
    </row>
    <row r="214" spans="15:65" ht="16.5" thickBot="1" x14ac:dyDescent="0.45">
      <c r="O214" s="36" t="s">
        <v>519</v>
      </c>
      <c r="P214" s="24"/>
      <c r="R214" s="252"/>
      <c r="U214" s="250"/>
      <c r="X214" s="26" t="s">
        <v>25</v>
      </c>
      <c r="Y214" s="11">
        <f>SUM(Y211:Y213)</f>
        <v>18940</v>
      </c>
      <c r="Z214" s="273">
        <f>SUM(Z211:Z213)</f>
        <v>1</v>
      </c>
      <c r="AA214" s="89"/>
      <c r="AC214" s="290"/>
      <c r="AD214" t="s">
        <v>2699</v>
      </c>
      <c r="AG214" s="24">
        <f>R199</f>
        <v>568872.55999999994</v>
      </c>
      <c r="AH214" s="24"/>
      <c r="AI214" s="24">
        <f>AG214*$AI$212</f>
        <v>500992.30732840544</v>
      </c>
      <c r="AJ214" s="24"/>
      <c r="AK214" s="86">
        <f>$AK$212*AG214</f>
        <v>67880.252671594499</v>
      </c>
      <c r="BM214" s="37"/>
    </row>
    <row r="215" spans="15:65" ht="16.5" thickTop="1" x14ac:dyDescent="0.4">
      <c r="O215" s="36" t="s">
        <v>520</v>
      </c>
      <c r="P215" s="24">
        <f>P173</f>
        <v>754397.42499999993</v>
      </c>
      <c r="Q215" s="30">
        <f>P215/$P$222</f>
        <v>0.42755052251886289</v>
      </c>
      <c r="R215" s="252">
        <f>$R$210*Q215</f>
        <v>31285.526353227342</v>
      </c>
      <c r="T215" s="218">
        <f>P215</f>
        <v>754397.42499999993</v>
      </c>
      <c r="U215" s="250">
        <f>T215/$T$222</f>
        <v>0.72618118660750008</v>
      </c>
      <c r="V215" s="251">
        <f>$V$210*U215</f>
        <v>62807.332329796147</v>
      </c>
      <c r="Y215" s="26"/>
      <c r="Z215" s="26"/>
      <c r="AA215" s="89"/>
      <c r="AC215" s="290"/>
      <c r="AK215" s="37"/>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288"/>
    </row>
    <row r="216" spans="15:65" x14ac:dyDescent="0.4">
      <c r="O216" s="36" t="s">
        <v>521</v>
      </c>
      <c r="P216" s="24">
        <f>R174</f>
        <v>323517.76</v>
      </c>
      <c r="Q216" s="30">
        <f>P216/$P$222</f>
        <v>0.1833518815790392</v>
      </c>
      <c r="R216" s="252">
        <f>$R$210*Q216</f>
        <v>13416.566746920009</v>
      </c>
      <c r="U216" s="250"/>
      <c r="Y216" s="26"/>
      <c r="Z216" s="26"/>
      <c r="AA216" s="89"/>
      <c r="AC216" s="290"/>
      <c r="AK216" s="37"/>
    </row>
    <row r="217" spans="15:65" x14ac:dyDescent="0.4">
      <c r="O217" s="36" t="s">
        <v>523</v>
      </c>
      <c r="P217" s="24">
        <f>R175</f>
        <v>85839.372499999998</v>
      </c>
      <c r="Q217" s="30">
        <f>P217/$P$222</f>
        <v>4.8648984406417232E-2</v>
      </c>
      <c r="R217" s="252">
        <f>$R$210*Q217</f>
        <v>3559.8344605872016</v>
      </c>
      <c r="U217" s="250"/>
      <c r="Y217" s="26"/>
      <c r="Z217" s="26"/>
      <c r="AA217" s="89"/>
      <c r="AC217" s="293"/>
      <c r="AD217" s="41"/>
      <c r="AE217" s="41"/>
      <c r="AF217" s="41"/>
      <c r="AG217" s="41"/>
      <c r="AH217" s="41"/>
      <c r="AI217" s="41"/>
      <c r="AJ217" s="41"/>
      <c r="AK217" s="288"/>
    </row>
    <row r="218" spans="15:65" x14ac:dyDescent="0.4">
      <c r="O218" s="36"/>
      <c r="P218" s="24"/>
      <c r="R218" s="252"/>
      <c r="U218" s="250"/>
      <c r="Y218" s="26"/>
      <c r="Z218" s="26"/>
      <c r="AA218" s="89"/>
      <c r="AY218" s="400" t="s">
        <v>3279</v>
      </c>
      <c r="AZ218" s="400"/>
      <c r="BA218" s="400"/>
      <c r="BB218" s="400"/>
      <c r="BC218" s="400"/>
      <c r="BD218" s="400"/>
      <c r="BE218" s="400"/>
      <c r="BF218" s="400"/>
      <c r="BG218" s="400"/>
    </row>
    <row r="219" spans="15:65" x14ac:dyDescent="0.4">
      <c r="O219" s="36"/>
      <c r="P219" s="24"/>
      <c r="R219" s="252"/>
      <c r="U219" s="250"/>
      <c r="Y219" s="26"/>
      <c r="Z219" s="26"/>
      <c r="AA219" s="89"/>
      <c r="AY219" s="101"/>
      <c r="AZ219" s="101"/>
      <c r="BA219" s="101" t="s">
        <v>464</v>
      </c>
      <c r="BB219" s="101"/>
      <c r="BC219" s="101"/>
      <c r="BD219" s="101"/>
      <c r="BE219" s="101" t="s">
        <v>461</v>
      </c>
      <c r="BF219" s="101"/>
      <c r="BG219" s="26"/>
    </row>
    <row r="220" spans="15:65" ht="17.5" x14ac:dyDescent="0.55000000000000004">
      <c r="O220" s="36" t="s">
        <v>515</v>
      </c>
      <c r="P220" s="24">
        <f>R177</f>
        <v>233205.13</v>
      </c>
      <c r="Q220" s="30">
        <f>P220/$P$222</f>
        <v>0.13216770349604437</v>
      </c>
      <c r="R220" s="252">
        <f>$R$210*Q220</f>
        <v>9671.2223538180951</v>
      </c>
      <c r="U220" s="250"/>
      <c r="Y220" s="26"/>
      <c r="Z220" s="26"/>
      <c r="AA220" s="89"/>
      <c r="AY220" s="286" t="s">
        <v>459</v>
      </c>
      <c r="AZ220" s="269"/>
      <c r="BA220" s="286" t="s">
        <v>465</v>
      </c>
      <c r="BB220" s="285"/>
      <c r="BC220" s="286" t="s">
        <v>460</v>
      </c>
      <c r="BD220" s="285"/>
      <c r="BE220" s="286" t="s">
        <v>466</v>
      </c>
      <c r="BF220" s="285"/>
      <c r="BG220" s="286" t="s">
        <v>2826</v>
      </c>
      <c r="BI220" s="21" t="s">
        <v>49</v>
      </c>
      <c r="BK220" t="s">
        <v>25</v>
      </c>
    </row>
    <row r="221" spans="15:65" x14ac:dyDescent="0.4">
      <c r="O221" s="36"/>
      <c r="U221" s="250"/>
      <c r="Y221" s="26"/>
      <c r="Z221" s="26"/>
      <c r="AA221" s="89"/>
    </row>
    <row r="222" spans="15:65" x14ac:dyDescent="0.4">
      <c r="O222" s="36" t="s">
        <v>25</v>
      </c>
      <c r="P222" s="24">
        <f>SUM(P211:P221)</f>
        <v>1764463.8125</v>
      </c>
      <c r="Q222" s="30">
        <f>SUM(Q211:Q221)</f>
        <v>0.99999999999999978</v>
      </c>
      <c r="R222" s="252">
        <f>SUM(R211:R220)</f>
        <v>73173.87</v>
      </c>
      <c r="T222" s="251">
        <f>SUM(T211:T221)</f>
        <v>1038855.645</v>
      </c>
      <c r="U222" s="251">
        <f>SUM(U211:U221)</f>
        <v>0.99999999999999989</v>
      </c>
      <c r="V222" s="218">
        <f>SUM(V213:V221)</f>
        <v>86489.891900412738</v>
      </c>
      <c r="Y222" s="26"/>
      <c r="Z222" s="26"/>
      <c r="AA222" s="89"/>
      <c r="AW222" t="s">
        <v>2725</v>
      </c>
      <c r="AY222" s="25">
        <f>AY196</f>
        <v>359333.01429639547</v>
      </c>
      <c r="AZ222" s="25"/>
      <c r="BA222" s="25">
        <f>BA196</f>
        <v>1472398.9176185301</v>
      </c>
      <c r="BB222" s="25"/>
      <c r="BC222" s="25">
        <f>BC196</f>
        <v>242876.3523538181</v>
      </c>
      <c r="BD222" s="25"/>
      <c r="BE222" s="25">
        <f>BE196</f>
        <v>189647.75033597415</v>
      </c>
      <c r="BF222" s="25"/>
      <c r="BG222" s="25">
        <f>BG196</f>
        <v>500992.30732840544</v>
      </c>
      <c r="BH222" s="25"/>
      <c r="BI222" s="25">
        <f>BI196</f>
        <v>566828.89306687692</v>
      </c>
      <c r="BK222" s="50">
        <f>SUM(AY222:BJ222)</f>
        <v>3332077.2350000003</v>
      </c>
    </row>
    <row r="223" spans="15:65" x14ac:dyDescent="0.4">
      <c r="O223" s="36"/>
      <c r="U223" s="250"/>
      <c r="Y223" s="26"/>
      <c r="Z223" s="26"/>
      <c r="AA223" s="89"/>
      <c r="AW223" t="s">
        <v>3282</v>
      </c>
      <c r="AY223" s="112">
        <v>7.6499999999999999E-2</v>
      </c>
      <c r="AZ223" s="105"/>
      <c r="BA223" s="112">
        <v>7.6499999999999999E-2</v>
      </c>
      <c r="BB223" s="105"/>
      <c r="BC223" s="112">
        <v>7.6499999999999999E-2</v>
      </c>
      <c r="BD223" s="105"/>
      <c r="BE223" s="112">
        <v>7.6499999999999999E-2</v>
      </c>
      <c r="BF223" s="105"/>
      <c r="BG223" s="112">
        <v>7.6499999999999999E-2</v>
      </c>
      <c r="BH223" s="105"/>
      <c r="BI223" s="112">
        <v>7.6499999999999999E-2</v>
      </c>
    </row>
    <row r="224" spans="15:65" x14ac:dyDescent="0.4">
      <c r="O224" s="245"/>
      <c r="P224" s="222"/>
      <c r="Q224" s="246"/>
      <c r="R224" s="246"/>
      <c r="S224" s="246"/>
      <c r="T224" s="260" t="s">
        <v>2664</v>
      </c>
      <c r="U224" s="261"/>
      <c r="V224" s="262"/>
      <c r="W224" s="262"/>
      <c r="X224" s="262"/>
      <c r="Y224" s="97"/>
      <c r="Z224" s="97"/>
      <c r="AA224" s="248"/>
    </row>
    <row r="225" spans="15:63" ht="16.5" thickBot="1" x14ac:dyDescent="0.45">
      <c r="O225" s="36"/>
      <c r="P225" s="24"/>
      <c r="Q225"/>
      <c r="R225"/>
      <c r="S225"/>
      <c r="U225" s="250"/>
      <c r="V225" s="2" t="s">
        <v>2660</v>
      </c>
      <c r="W225" s="30" t="s">
        <v>2662</v>
      </c>
      <c r="Y225" s="26"/>
      <c r="Z225" s="26"/>
      <c r="AA225" s="89"/>
      <c r="AW225" t="s">
        <v>3283</v>
      </c>
      <c r="AY225" s="31">
        <f>AY222*AY223</f>
        <v>27488.975593674251</v>
      </c>
      <c r="BA225" s="31">
        <f>BA222*BA223</f>
        <v>112638.51719781755</v>
      </c>
      <c r="BC225" s="31">
        <f>BC222*BC223</f>
        <v>18580.040955067085</v>
      </c>
      <c r="BE225" s="31">
        <f>BE222*BE223</f>
        <v>14508.052900702023</v>
      </c>
      <c r="BG225" s="31">
        <f>BG222*BG223</f>
        <v>38325.911510623017</v>
      </c>
      <c r="BI225" s="31">
        <f>BI222*BI223</f>
        <v>43362.410319616087</v>
      </c>
    </row>
    <row r="226" spans="15:63" ht="16.5" thickTop="1" x14ac:dyDescent="0.4">
      <c r="O226" s="84"/>
      <c r="P226" s="24"/>
      <c r="Q226"/>
      <c r="R226"/>
      <c r="S226"/>
      <c r="T226"/>
      <c r="U226" s="250" t="s">
        <v>2675</v>
      </c>
      <c r="V226" s="2" t="s">
        <v>2661</v>
      </c>
      <c r="W226" s="30" t="s">
        <v>559</v>
      </c>
      <c r="Y226" s="26" t="s">
        <v>2665</v>
      </c>
      <c r="Z226" s="26"/>
      <c r="AA226" s="89"/>
    </row>
    <row r="227" spans="15:63" x14ac:dyDescent="0.4">
      <c r="O227" s="99" t="s">
        <v>2657</v>
      </c>
      <c r="P227" s="217"/>
      <c r="Q227" s="41"/>
      <c r="R227" s="41"/>
      <c r="S227"/>
      <c r="T227"/>
      <c r="U227" s="250" t="s">
        <v>559</v>
      </c>
      <c r="V227" s="2" t="s">
        <v>278</v>
      </c>
      <c r="W227" s="30" t="s">
        <v>2663</v>
      </c>
      <c r="Y227" s="26">
        <f>R177+S177</f>
        <v>242876.3523538181</v>
      </c>
      <c r="Z227" s="26"/>
      <c r="AA227" s="89"/>
      <c r="AW227" t="s">
        <v>2730</v>
      </c>
      <c r="BG227" s="50">
        <f>SUM(AY225:BG225)</f>
        <v>211541.49815788394</v>
      </c>
      <c r="BI227" s="50">
        <f>BI225</f>
        <v>43362.410319616087</v>
      </c>
      <c r="BK227" s="50">
        <f>SUM(BG227:BI227)</f>
        <v>254903.90847750002</v>
      </c>
    </row>
    <row r="228" spans="15:63" x14ac:dyDescent="0.4">
      <c r="O228" s="84"/>
      <c r="Q228"/>
      <c r="R228" s="24">
        <f>S180</f>
        <v>143874.34176874338</v>
      </c>
      <c r="U228" s="26"/>
      <c r="Y228" s="26"/>
      <c r="Z228" s="26"/>
      <c r="AA228" s="89"/>
      <c r="AW228" t="s">
        <v>181</v>
      </c>
      <c r="BG228" s="10">
        <f>-'Water Pro forma Rev Req'!F73</f>
        <v>-205770</v>
      </c>
      <c r="BI228" s="41"/>
    </row>
    <row r="229" spans="15:63" x14ac:dyDescent="0.4">
      <c r="O229" s="84" t="s">
        <v>2656</v>
      </c>
      <c r="P229" s="50">
        <f>P171</f>
        <v>284458.22000000003</v>
      </c>
      <c r="Q229">
        <f>P229/$P$238</f>
        <v>0.2738188133924998</v>
      </c>
      <c r="R229" s="26">
        <f>$R$228*Q229</f>
        <v>39395.501540744284</v>
      </c>
      <c r="T229" s="26" t="s">
        <v>2654</v>
      </c>
      <c r="U229" s="26">
        <v>16680</v>
      </c>
      <c r="W229" s="218">
        <f>U229+V229</f>
        <v>16680</v>
      </c>
      <c r="X229" s="253">
        <f>W240</f>
        <v>0.94304556354916069</v>
      </c>
      <c r="Y229" s="26">
        <f>Y227*X229</f>
        <v>229043.46657827092</v>
      </c>
      <c r="Z229" s="26"/>
      <c r="AA229" s="89"/>
    </row>
    <row r="230" spans="15:63" ht="15.65" customHeight="1" thickBot="1" x14ac:dyDescent="0.45">
      <c r="O230" s="84" t="str">
        <f>O213</f>
        <v>Water Treatment Plant</v>
      </c>
      <c r="Q230"/>
      <c r="R230" s="26">
        <f>$R$228*Q230</f>
        <v>0</v>
      </c>
      <c r="T230" s="26" t="s">
        <v>49</v>
      </c>
      <c r="U230" s="26">
        <v>2260</v>
      </c>
      <c r="V230" s="251">
        <v>-360</v>
      </c>
      <c r="W230" s="218">
        <f>U230+V230</f>
        <v>1900</v>
      </c>
      <c r="X230" s="253">
        <f>W239</f>
        <v>5.6954436450839328E-2</v>
      </c>
      <c r="Y230" s="26">
        <f>Y227*X230</f>
        <v>13832.885775547194</v>
      </c>
      <c r="Z230" s="26" t="s">
        <v>2676</v>
      </c>
      <c r="AA230" s="89"/>
      <c r="AB230" s="264" t="s">
        <v>2677</v>
      </c>
      <c r="AC230" s="265"/>
      <c r="AD230" s="265"/>
      <c r="AE230" s="265"/>
      <c r="AF230" s="265"/>
      <c r="AG230" s="265"/>
      <c r="AH230" s="265"/>
      <c r="AI230" s="265"/>
      <c r="AJ230" s="265"/>
      <c r="AK230" s="265"/>
      <c r="AL230" s="265"/>
      <c r="AM230" s="265"/>
      <c r="AN230" s="265"/>
      <c r="AO230" s="265"/>
      <c r="AW230" t="s">
        <v>182</v>
      </c>
      <c r="BG230" s="52">
        <f>BG227+BG228</f>
        <v>5771.4981578839361</v>
      </c>
      <c r="BI230" s="52">
        <f>BI227-BI228</f>
        <v>43362.410319616087</v>
      </c>
    </row>
    <row r="231" spans="15:63" ht="17" thickTop="1" thickBot="1" x14ac:dyDescent="0.45">
      <c r="O231" s="84"/>
      <c r="P231" s="24">
        <f>T215</f>
        <v>754397.42499999993</v>
      </c>
      <c r="Q231">
        <f>P231/$P$238</f>
        <v>0.72618118660750008</v>
      </c>
      <c r="R231" s="26">
        <f>$R$228*Q231</f>
        <v>104478.84022799908</v>
      </c>
      <c r="U231" s="250"/>
      <c r="Y231" s="26"/>
      <c r="Z231" s="26"/>
      <c r="AA231" s="89"/>
      <c r="AB231" s="264"/>
      <c r="AC231" s="265"/>
      <c r="AD231" s="265"/>
      <c r="AE231" s="265"/>
      <c r="AF231" s="265"/>
      <c r="AG231" s="265"/>
      <c r="AH231" s="265"/>
      <c r="AI231" s="265"/>
      <c r="AJ231" s="265"/>
      <c r="AK231" s="265"/>
      <c r="AL231" s="265"/>
      <c r="AM231" s="265"/>
      <c r="AN231" s="265"/>
      <c r="AO231" s="265"/>
      <c r="AW231" t="s">
        <v>2729</v>
      </c>
      <c r="BI231" s="52">
        <f>BI230+BG230</f>
        <v>49133.908477500023</v>
      </c>
    </row>
    <row r="232" spans="15:63" ht="16.5" thickTop="1" x14ac:dyDescent="0.4">
      <c r="O232" s="84" t="str">
        <f>O215</f>
        <v xml:space="preserve">  Repair, Maint. Construction</v>
      </c>
      <c r="Q232"/>
      <c r="R232"/>
      <c r="T232" s="27" t="s">
        <v>25</v>
      </c>
      <c r="V232" s="24">
        <v>1</v>
      </c>
      <c r="W232"/>
      <c r="Y232" s="26">
        <f>SUM(Y229:Y231)</f>
        <v>242876.3523538181</v>
      </c>
      <c r="Z232" s="26"/>
      <c r="AA232" s="89"/>
      <c r="AB232" s="264"/>
      <c r="AC232" s="265"/>
      <c r="AD232" s="265"/>
      <c r="AE232" s="265"/>
      <c r="AF232" s="265"/>
      <c r="AG232" s="265"/>
      <c r="AH232" s="265"/>
      <c r="AI232" s="265"/>
      <c r="AJ232" s="265"/>
      <c r="AK232" s="265"/>
      <c r="AL232" s="265"/>
      <c r="AM232" s="265"/>
      <c r="AN232" s="265"/>
      <c r="AO232" s="265"/>
    </row>
    <row r="233" spans="15:63" x14ac:dyDescent="0.4">
      <c r="O233" s="84"/>
      <c r="Q233"/>
      <c r="R233"/>
      <c r="V233" s="217">
        <v>16680</v>
      </c>
      <c r="W233"/>
      <c r="Y233" s="26"/>
      <c r="Z233" s="26"/>
      <c r="AA233" s="89"/>
      <c r="AB233" s="264"/>
      <c r="AC233" s="265"/>
      <c r="AD233" s="265"/>
      <c r="AE233" s="265"/>
      <c r="AF233" s="265"/>
      <c r="AG233" s="265"/>
      <c r="AH233" s="265"/>
      <c r="AI233" s="265"/>
      <c r="AJ233" s="265"/>
      <c r="AK233" s="265"/>
      <c r="AL233" s="265"/>
      <c r="AM233" s="265"/>
      <c r="AN233" s="265"/>
      <c r="AO233" s="265"/>
    </row>
    <row r="234" spans="15:63" x14ac:dyDescent="0.4">
      <c r="O234" s="84"/>
      <c r="Q234"/>
      <c r="R234"/>
      <c r="V234" s="263">
        <f>V232/V233</f>
        <v>5.9952038369304558E-5</v>
      </c>
      <c r="W234"/>
      <c r="Y234" s="26"/>
      <c r="Z234" s="26"/>
      <c r="AA234" s="89"/>
      <c r="AB234" s="264"/>
      <c r="AC234" s="265"/>
      <c r="AD234" s="265"/>
      <c r="AE234" s="265"/>
      <c r="AF234" s="265"/>
      <c r="AG234" s="265"/>
      <c r="AH234" s="265"/>
      <c r="AI234" s="265"/>
      <c r="AJ234" s="265"/>
      <c r="AK234" s="265"/>
      <c r="AL234" s="265"/>
      <c r="AM234" s="265"/>
      <c r="AN234" s="265"/>
      <c r="AO234" s="265"/>
    </row>
    <row r="235" spans="15:63" x14ac:dyDescent="0.4">
      <c r="O235" s="84"/>
      <c r="Q235"/>
      <c r="R235"/>
      <c r="V235" s="217">
        <v>1900</v>
      </c>
      <c r="W235"/>
      <c r="Y235" s="26"/>
      <c r="Z235" s="26"/>
      <c r="AA235" s="89"/>
    </row>
    <row r="236" spans="15:63" x14ac:dyDescent="0.4">
      <c r="O236" s="84"/>
      <c r="Q236"/>
      <c r="R236"/>
      <c r="V236" s="24">
        <f>V234*V235</f>
        <v>0.11390887290167866</v>
      </c>
      <c r="W236"/>
      <c r="Y236" s="26"/>
      <c r="Z236" s="26"/>
      <c r="AA236" s="89"/>
    </row>
    <row r="237" spans="15:63" x14ac:dyDescent="0.4">
      <c r="O237" s="84"/>
      <c r="Q237"/>
      <c r="R237"/>
      <c r="V237" s="217">
        <v>2</v>
      </c>
      <c r="W237"/>
      <c r="Y237" s="26"/>
      <c r="Z237" s="26"/>
      <c r="AA237" s="89"/>
    </row>
    <row r="238" spans="15:63" x14ac:dyDescent="0.4">
      <c r="O238" s="84"/>
      <c r="P238" s="50">
        <f>SUM(P229:P237)</f>
        <v>1038855.645</v>
      </c>
      <c r="Q238"/>
      <c r="R238" s="24">
        <f>SUM(R229:R237)</f>
        <v>143874.34176874335</v>
      </c>
      <c r="V238" s="24"/>
      <c r="W238"/>
      <c r="Y238" s="26"/>
      <c r="Z238" s="26"/>
      <c r="AA238" s="89"/>
    </row>
    <row r="239" spans="15:63" x14ac:dyDescent="0.4">
      <c r="O239" s="84"/>
      <c r="V239" s="24">
        <f>V236/V237</f>
        <v>5.6954436450839328E-2</v>
      </c>
      <c r="W239">
        <f>V239/$V$232</f>
        <v>5.6954436450839328E-2</v>
      </c>
      <c r="Y239" s="26"/>
      <c r="Z239" s="26"/>
      <c r="AA239" s="89"/>
    </row>
    <row r="240" spans="15:63" x14ac:dyDescent="0.4">
      <c r="O240" s="40"/>
      <c r="P240" s="41"/>
      <c r="Q240" s="254"/>
      <c r="R240" s="254"/>
      <c r="S240" s="254"/>
      <c r="T240" s="254"/>
      <c r="U240" s="255"/>
      <c r="V240" s="217">
        <f>V232-V239</f>
        <v>0.94304556354916069</v>
      </c>
      <c r="W240" s="41">
        <f>V240/$V$232</f>
        <v>0.94304556354916069</v>
      </c>
      <c r="X240" s="254"/>
      <c r="Y240" s="10"/>
      <c r="Z240" s="10"/>
      <c r="AA240" s="256"/>
    </row>
    <row r="242" spans="15:40" x14ac:dyDescent="0.4">
      <c r="U242" s="266" t="s">
        <v>2685</v>
      </c>
    </row>
    <row r="243" spans="15:40" x14ac:dyDescent="0.4">
      <c r="U243" s="266" t="s">
        <v>454</v>
      </c>
      <c r="W243" s="30">
        <v>16680</v>
      </c>
      <c r="AB243" s="402" t="s">
        <v>2701</v>
      </c>
      <c r="AC243" s="402"/>
      <c r="AD243" s="402"/>
      <c r="AE243" s="402"/>
      <c r="AF243" s="101"/>
      <c r="AI243" s="41" t="s">
        <v>2702</v>
      </c>
      <c r="AJ243" s="41"/>
      <c r="AK243" s="41"/>
      <c r="AL243" s="41"/>
    </row>
    <row r="244" spans="15:40" x14ac:dyDescent="0.4">
      <c r="O244" t="s">
        <v>514</v>
      </c>
      <c r="R244" s="218">
        <f>V201</f>
        <v>359333.01429639547</v>
      </c>
      <c r="U244" s="201" t="s">
        <v>2681</v>
      </c>
      <c r="W244" s="30">
        <f>-V250</f>
        <v>-1900</v>
      </c>
      <c r="AB244" s="27" t="s">
        <v>3298</v>
      </c>
      <c r="AD244" s="8"/>
      <c r="AE244" s="25">
        <f>R198</f>
        <v>205441.6825</v>
      </c>
      <c r="AF244" s="25"/>
      <c r="AI244" s="21" t="s">
        <v>17</v>
      </c>
      <c r="AJ244" s="21"/>
      <c r="AK244" s="21" t="s">
        <v>49</v>
      </c>
      <c r="AL244" s="21" t="s">
        <v>25</v>
      </c>
    </row>
    <row r="245" spans="15:40" x14ac:dyDescent="0.4">
      <c r="O245" t="s">
        <v>414</v>
      </c>
      <c r="R245" s="218">
        <f>W201</f>
        <v>1423993.0371256422</v>
      </c>
      <c r="U245" s="201" t="s">
        <v>2682</v>
      </c>
      <c r="W245" s="30">
        <f>W243+W244</f>
        <v>14780</v>
      </c>
      <c r="AB245" s="27" t="s">
        <v>2700</v>
      </c>
      <c r="AE245" s="10">
        <f>SUM(AE249:AE251)</f>
        <v>17040</v>
      </c>
    </row>
    <row r="246" spans="15:40" ht="16.5" thickBot="1" x14ac:dyDescent="0.45">
      <c r="O246" t="s">
        <v>2666</v>
      </c>
      <c r="R246" s="218">
        <f>X201</f>
        <v>242876.3523538181</v>
      </c>
      <c r="AB246" s="27" t="s">
        <v>2683</v>
      </c>
      <c r="AE246" s="274">
        <f>AE244/AE245</f>
        <v>12.056436766431924</v>
      </c>
    </row>
    <row r="247" spans="15:40" ht="16.5" thickTop="1" x14ac:dyDescent="0.4">
      <c r="O247" t="s">
        <v>2667</v>
      </c>
      <c r="R247" s="218">
        <f>Y201</f>
        <v>189647.75033597415</v>
      </c>
      <c r="U247" s="267" t="s">
        <v>2678</v>
      </c>
      <c r="V247" s="30">
        <v>2260</v>
      </c>
    </row>
    <row r="248" spans="15:40" x14ac:dyDescent="0.4">
      <c r="O248" t="s">
        <v>526</v>
      </c>
      <c r="R248" s="218">
        <f>Z201</f>
        <v>500992.30732840544</v>
      </c>
      <c r="U248" s="266" t="s">
        <v>2680</v>
      </c>
      <c r="V248" s="30">
        <v>360</v>
      </c>
      <c r="AB248" s="27" t="s">
        <v>3452</v>
      </c>
    </row>
    <row r="249" spans="15:40" x14ac:dyDescent="0.4">
      <c r="AB249" s="27" t="s">
        <v>2682</v>
      </c>
      <c r="AE249" s="8">
        <f>W245</f>
        <v>14780</v>
      </c>
      <c r="AF249" s="30" t="s">
        <v>615</v>
      </c>
      <c r="AG249" s="66">
        <f>AE246</f>
        <v>12.056436766431924</v>
      </c>
      <c r="AH249" s="276" t="s">
        <v>612</v>
      </c>
      <c r="AI249" s="9">
        <f>AE249*AG249</f>
        <v>178194.13540786383</v>
      </c>
      <c r="AJ249" s="9"/>
      <c r="AK249" s="8"/>
      <c r="AL249" s="9">
        <f>AI249+AK249</f>
        <v>178194.13540786383</v>
      </c>
    </row>
    <row r="250" spans="15:40" x14ac:dyDescent="0.4">
      <c r="R250" s="218">
        <f>SUM(R244:R249)</f>
        <v>2716842.4614402349</v>
      </c>
      <c r="U250" s="201" t="s">
        <v>2681</v>
      </c>
      <c r="V250" s="30">
        <f>V247-V248</f>
        <v>1900</v>
      </c>
      <c r="AB250" s="27" t="s">
        <v>3450</v>
      </c>
      <c r="AE250" s="8">
        <f>V250</f>
        <v>1900</v>
      </c>
      <c r="AF250" s="30" t="s">
        <v>615</v>
      </c>
      <c r="AG250" s="1">
        <f>AE246/2</f>
        <v>6.0282183832159619</v>
      </c>
      <c r="AH250" s="277" t="s">
        <v>612</v>
      </c>
      <c r="AI250" s="8">
        <f>AE250*AG250</f>
        <v>11453.614928110328</v>
      </c>
      <c r="AJ250" s="8"/>
      <c r="AK250" s="9">
        <f>AE250*AG250</f>
        <v>11453.614928110328</v>
      </c>
      <c r="AL250" s="8">
        <f>AI250+AK250</f>
        <v>22907.229856220656</v>
      </c>
    </row>
    <row r="251" spans="15:40" x14ac:dyDescent="0.4">
      <c r="AB251" s="27" t="s">
        <v>2679</v>
      </c>
      <c r="AE251" s="10">
        <f>V248</f>
        <v>360</v>
      </c>
      <c r="AF251" s="30" t="s">
        <v>615</v>
      </c>
      <c r="AG251" s="1">
        <f>AE246</f>
        <v>12.056436766431924</v>
      </c>
      <c r="AH251" s="277" t="s">
        <v>612</v>
      </c>
      <c r="AI251" s="10"/>
      <c r="AJ251" s="10"/>
      <c r="AK251" s="10">
        <f>AE251*AG251</f>
        <v>4340.3172359154923</v>
      </c>
      <c r="AL251" s="10">
        <f>AI251+AK251</f>
        <v>4340.3172359154923</v>
      </c>
    </row>
    <row r="252" spans="15:40" x14ac:dyDescent="0.4">
      <c r="AI252" s="8"/>
      <c r="AJ252" s="8"/>
      <c r="AK252" s="8"/>
      <c r="AL252" s="8"/>
    </row>
    <row r="253" spans="15:40" ht="16.5" thickBot="1" x14ac:dyDescent="0.45">
      <c r="AB253" s="27" t="s">
        <v>3451</v>
      </c>
      <c r="AC253" s="8"/>
      <c r="AD253" s="8"/>
      <c r="AE253" s="282">
        <f>SUM(AE249:AE252)</f>
        <v>17040</v>
      </c>
      <c r="AI253" s="31">
        <f>SUM(AI249:AI252)</f>
        <v>189647.75033597415</v>
      </c>
      <c r="AJ253" s="31"/>
      <c r="AK253" s="31">
        <f>SUM(AK250:AK252)</f>
        <v>15793.93216402582</v>
      </c>
      <c r="AL253" s="31">
        <f>SUM(AL249:AL251)</f>
        <v>205441.68249999997</v>
      </c>
    </row>
    <row r="254" spans="15:40" ht="17" thickTop="1" thickBot="1" x14ac:dyDescent="0.45">
      <c r="AB254" s="8" t="s">
        <v>56</v>
      </c>
      <c r="AI254" s="53">
        <f>AI253/AL253</f>
        <v>0.92312206572769961</v>
      </c>
      <c r="AJ254" s="53"/>
      <c r="AK254" s="53">
        <f>AK253/AL253</f>
        <v>7.6877934272300483E-2</v>
      </c>
      <c r="AL254" s="53">
        <f>SUM(AI254:AK254)</f>
        <v>1</v>
      </c>
    </row>
    <row r="255" spans="15:40" ht="16.5" thickTop="1" x14ac:dyDescent="0.4"/>
    <row r="256" spans="15:40" x14ac:dyDescent="0.4">
      <c r="AI256" s="400" t="s">
        <v>2702</v>
      </c>
      <c r="AJ256" s="400"/>
      <c r="AK256" s="400"/>
      <c r="AL256" s="400"/>
      <c r="AM256" s="400"/>
      <c r="AN256" s="2"/>
    </row>
    <row r="257" spans="12:41" x14ac:dyDescent="0.4">
      <c r="AK257" s="21" t="s">
        <v>17</v>
      </c>
      <c r="AL257" s="21" t="s">
        <v>49</v>
      </c>
      <c r="AM257" s="21" t="s">
        <v>25</v>
      </c>
      <c r="AN257" s="2"/>
    </row>
    <row r="258" spans="12:41" x14ac:dyDescent="0.4">
      <c r="AI258" t="s">
        <v>2682</v>
      </c>
      <c r="AK258" s="9">
        <f>AM258</f>
        <v>178194.13540786383</v>
      </c>
      <c r="AL258" s="9"/>
      <c r="AM258" s="9">
        <f>AE249*AE246</f>
        <v>178194.13540786383</v>
      </c>
      <c r="AN258" s="9"/>
    </row>
    <row r="259" spans="12:41" x14ac:dyDescent="0.4">
      <c r="AI259" t="s">
        <v>2679</v>
      </c>
      <c r="AL259" s="9">
        <f>AM259</f>
        <v>4340.3172359154923</v>
      </c>
      <c r="AM259" s="8">
        <f>AE251*AE246</f>
        <v>4340.3172359154923</v>
      </c>
      <c r="AN259" s="8"/>
    </row>
    <row r="260" spans="12:41" x14ac:dyDescent="0.4">
      <c r="AI260" t="s">
        <v>2681</v>
      </c>
      <c r="AK260" s="10">
        <f>AM260/2</f>
        <v>11453.614928110328</v>
      </c>
      <c r="AL260" s="10">
        <f>AM260/2</f>
        <v>11453.614928110328</v>
      </c>
      <c r="AM260" s="10">
        <f>AE250*AE246</f>
        <v>22907.229856220656</v>
      </c>
      <c r="AN260" s="26"/>
    </row>
    <row r="261" spans="12:41" x14ac:dyDescent="0.4">
      <c r="AB261" s="30" t="s">
        <v>2684</v>
      </c>
      <c r="AC261" s="8">
        <f>AE250*AE246/2</f>
        <v>11453.614928110328</v>
      </c>
      <c r="AD261" s="8">
        <f>AC261</f>
        <v>11453.614928110328</v>
      </c>
      <c r="AM261" s="1"/>
      <c r="AN261" s="1"/>
    </row>
    <row r="262" spans="12:41" ht="16.5" thickBot="1" x14ac:dyDescent="0.45">
      <c r="AB262" s="30" t="s">
        <v>2679</v>
      </c>
      <c r="AC262" s="8">
        <f>AE246*AE251</f>
        <v>4340.3172359154923</v>
      </c>
      <c r="AD262" s="8">
        <f>AE249*AE246</f>
        <v>178194.13540786383</v>
      </c>
      <c r="AK262" s="52">
        <f>SUM(AK258:AK261)</f>
        <v>189647.75033597415</v>
      </c>
      <c r="AL262" s="52">
        <f t="shared" ref="AL262:AM262" si="43">SUM(AL258:AL261)</f>
        <v>15793.93216402582</v>
      </c>
      <c r="AM262" s="52">
        <f t="shared" si="43"/>
        <v>205441.68249999997</v>
      </c>
      <c r="AN262" s="50"/>
    </row>
    <row r="263" spans="12:41" ht="16.5" thickTop="1" x14ac:dyDescent="0.4">
      <c r="AB263" s="30"/>
      <c r="AC263" s="8"/>
      <c r="AD263" s="8"/>
    </row>
    <row r="264" spans="12:41" x14ac:dyDescent="0.4">
      <c r="Z264" s="67"/>
      <c r="AB264" s="30"/>
      <c r="AC264" s="5">
        <f>SUM(AC261:AC263)</f>
        <v>15793.93216402582</v>
      </c>
      <c r="AD264" s="5">
        <f>SUM(AD261:AD263)</f>
        <v>189647.75033597415</v>
      </c>
      <c r="AI264" t="s">
        <v>2703</v>
      </c>
    </row>
    <row r="265" spans="12:41" x14ac:dyDescent="0.4">
      <c r="L265" t="s">
        <v>413</v>
      </c>
      <c r="AB265" s="30" t="s">
        <v>2686</v>
      </c>
      <c r="AC265" s="268">
        <f>P198*AC264</f>
        <v>3244731997.0683303</v>
      </c>
      <c r="AD265" s="5">
        <f>AC264+AD264</f>
        <v>205441.68249999997</v>
      </c>
      <c r="AI265" t="s">
        <v>2704</v>
      </c>
    </row>
    <row r="266" spans="12:41" x14ac:dyDescent="0.4">
      <c r="L266" t="s">
        <v>414</v>
      </c>
      <c r="AB266" s="30" t="s">
        <v>2687</v>
      </c>
      <c r="AC266" s="8">
        <f>S191</f>
        <v>15793.93216402582</v>
      </c>
      <c r="AD266" s="8"/>
    </row>
    <row r="267" spans="12:41" x14ac:dyDescent="0.4">
      <c r="L267" s="160"/>
      <c r="M267" s="160" t="s">
        <v>351</v>
      </c>
      <c r="N267" s="161">
        <v>44900</v>
      </c>
      <c r="O267" s="161"/>
      <c r="P267" s="162">
        <v>138</v>
      </c>
      <c r="Q267" s="165">
        <v>2080</v>
      </c>
      <c r="R267" s="165">
        <v>168.5</v>
      </c>
      <c r="S267" s="165"/>
      <c r="T267" s="165"/>
      <c r="U267" s="213">
        <v>20</v>
      </c>
      <c r="V267" s="169"/>
      <c r="W267" s="170">
        <v>0</v>
      </c>
      <c r="X267" s="171">
        <f>(Q267*U267)+(R267*(U267*1.5))</f>
        <v>46655</v>
      </c>
      <c r="Y267" s="188"/>
      <c r="Z267" s="194"/>
      <c r="AA267" s="194"/>
      <c r="AB267" s="194"/>
      <c r="AC267" s="195"/>
      <c r="AD267" s="161"/>
      <c r="AE267" s="163" t="s">
        <v>341</v>
      </c>
      <c r="AF267" s="163"/>
      <c r="AG267" s="163">
        <v>834.83</v>
      </c>
      <c r="AH267" s="163"/>
      <c r="AI267" s="163">
        <v>25.91</v>
      </c>
      <c r="AJ267" s="163"/>
      <c r="AK267" s="163"/>
      <c r="AL267" s="163" t="s">
        <v>341</v>
      </c>
      <c r="AM267" s="163">
        <v>19.3</v>
      </c>
      <c r="AN267" s="163"/>
      <c r="AO267" s="163">
        <v>2.82</v>
      </c>
    </row>
    <row r="272" spans="12:41" x14ac:dyDescent="0.4">
      <c r="L272" t="s">
        <v>415</v>
      </c>
    </row>
    <row r="273" spans="12:41" x14ac:dyDescent="0.4">
      <c r="L273" s="151"/>
      <c r="M273" s="151" t="s">
        <v>355</v>
      </c>
      <c r="N273" s="152">
        <v>45012</v>
      </c>
      <c r="O273" s="152"/>
      <c r="P273" s="153">
        <v>145</v>
      </c>
      <c r="Q273" s="154">
        <v>2080</v>
      </c>
      <c r="R273" s="154">
        <v>27.5</v>
      </c>
      <c r="S273" s="154"/>
      <c r="T273" s="154"/>
      <c r="U273" s="214">
        <v>13.5</v>
      </c>
      <c r="V273" s="155"/>
      <c r="W273" s="172">
        <v>0</v>
      </c>
      <c r="X273" s="155">
        <f>(Q273*U273)+(R273*(U273*1.5))</f>
        <v>28636.875</v>
      </c>
      <c r="Y273" s="189"/>
      <c r="Z273" s="196"/>
      <c r="AA273" s="196"/>
      <c r="AB273" s="196"/>
      <c r="AC273" s="197"/>
      <c r="AD273" s="152"/>
      <c r="AE273" s="156" t="s">
        <v>353</v>
      </c>
      <c r="AF273" s="156"/>
      <c r="AG273" s="156"/>
      <c r="AH273" s="156"/>
      <c r="AI273" s="156"/>
      <c r="AJ273" s="156"/>
      <c r="AK273" s="156"/>
      <c r="AL273" s="156" t="s">
        <v>353</v>
      </c>
      <c r="AM273" s="156"/>
      <c r="AN273" s="156"/>
      <c r="AO273" s="156"/>
    </row>
    <row r="274" spans="12:41" x14ac:dyDescent="0.4">
      <c r="L274" s="151"/>
      <c r="M274" s="151" t="s">
        <v>355</v>
      </c>
      <c r="N274" s="152">
        <v>45573</v>
      </c>
      <c r="O274" s="152"/>
      <c r="P274" s="153">
        <v>165</v>
      </c>
      <c r="Q274" s="154">
        <v>2080</v>
      </c>
      <c r="R274" s="154">
        <v>1</v>
      </c>
      <c r="S274" s="154"/>
      <c r="T274" s="154"/>
      <c r="U274" s="214">
        <v>14</v>
      </c>
      <c r="V274" s="155"/>
      <c r="W274" s="172">
        <v>0</v>
      </c>
      <c r="X274" s="155">
        <f>(Q274*U274)+(R274*(U274*1.5))</f>
        <v>29141</v>
      </c>
      <c r="Y274" s="189"/>
      <c r="Z274" s="196"/>
      <c r="AA274" s="196"/>
      <c r="AB274" s="196"/>
      <c r="AC274" s="197"/>
      <c r="AD274" s="152"/>
      <c r="AE274" s="156" t="s">
        <v>341</v>
      </c>
      <c r="AF274" s="156"/>
      <c r="AG274" s="156">
        <v>834.83</v>
      </c>
      <c r="AH274" s="156"/>
      <c r="AI274" s="156">
        <v>25.91</v>
      </c>
      <c r="AJ274" s="156"/>
      <c r="AK274" s="156"/>
      <c r="AL274" s="156" t="s">
        <v>341</v>
      </c>
      <c r="AM274" s="156">
        <v>19.3</v>
      </c>
      <c r="AN274" s="156"/>
      <c r="AO274" s="156">
        <v>2.82</v>
      </c>
    </row>
    <row r="275" spans="12:41" x14ac:dyDescent="0.4">
      <c r="L275" s="151"/>
      <c r="M275" s="151" t="s">
        <v>355</v>
      </c>
      <c r="N275" s="152">
        <v>45586</v>
      </c>
      <c r="O275" s="152"/>
      <c r="P275" s="153">
        <v>167</v>
      </c>
      <c r="Q275" s="154">
        <v>2080</v>
      </c>
      <c r="R275" s="154">
        <v>4</v>
      </c>
      <c r="S275" s="154"/>
      <c r="T275" s="154"/>
      <c r="U275" s="214">
        <v>14</v>
      </c>
      <c r="V275" s="155"/>
      <c r="W275" s="172">
        <v>41.68</v>
      </c>
      <c r="X275" s="155">
        <f>(Q275*U275)+(R275*(U275*1.5))</f>
        <v>29204</v>
      </c>
      <c r="Y275" s="189"/>
      <c r="Z275" s="196"/>
      <c r="AA275" s="196"/>
      <c r="AB275" s="196"/>
      <c r="AC275" s="197"/>
      <c r="AD275" s="152"/>
      <c r="AE275" s="156" t="s">
        <v>353</v>
      </c>
      <c r="AF275" s="156"/>
      <c r="AG275" s="156"/>
      <c r="AH275" s="156"/>
      <c r="AI275" s="156"/>
      <c r="AJ275" s="156"/>
      <c r="AK275" s="156"/>
      <c r="AL275" s="156" t="s">
        <v>353</v>
      </c>
      <c r="AM275" s="156"/>
      <c r="AN275" s="156"/>
      <c r="AO275" s="156"/>
    </row>
    <row r="276" spans="12:41" x14ac:dyDescent="0.4">
      <c r="L276" s="144"/>
      <c r="M276" s="145" t="s">
        <v>378</v>
      </c>
      <c r="N276" s="146">
        <v>37474</v>
      </c>
      <c r="O276" s="146"/>
      <c r="P276" s="147">
        <v>15</v>
      </c>
      <c r="Q276" s="148"/>
      <c r="R276" s="148"/>
      <c r="S276" s="148"/>
      <c r="T276" s="148"/>
      <c r="U276" s="215"/>
      <c r="V276" s="175">
        <f>(Q276*U276)+(S276*U276)+(R276*(U276*1.5))</f>
        <v>0</v>
      </c>
      <c r="W276" s="125">
        <v>250</v>
      </c>
      <c r="X276" s="149"/>
      <c r="Y276" s="190"/>
      <c r="Z276" s="198"/>
      <c r="AA276" s="198"/>
      <c r="AB276" s="198"/>
      <c r="AC276" s="199"/>
      <c r="AD276" s="146"/>
      <c r="AE276" s="150" t="s">
        <v>345</v>
      </c>
      <c r="AF276" s="150"/>
      <c r="AG276" s="150">
        <v>828.85</v>
      </c>
      <c r="AH276" s="150"/>
      <c r="AI276" s="150"/>
      <c r="AJ276" s="150"/>
      <c r="AK276" s="150"/>
      <c r="AL276" s="150" t="s">
        <v>361</v>
      </c>
      <c r="AM276" s="150">
        <v>23.63</v>
      </c>
      <c r="AN276" s="150"/>
      <c r="AO276" s="150">
        <v>15.28</v>
      </c>
    </row>
    <row r="282" spans="12:41" x14ac:dyDescent="0.4">
      <c r="L282" t="s">
        <v>416</v>
      </c>
    </row>
    <row r="283" spans="12:41" x14ac:dyDescent="0.4">
      <c r="L283" s="151"/>
      <c r="M283" s="151" t="s">
        <v>392</v>
      </c>
      <c r="N283" s="152">
        <v>42619</v>
      </c>
      <c r="O283" s="152"/>
      <c r="P283" s="153">
        <v>68</v>
      </c>
      <c r="Q283" s="154">
        <v>2080</v>
      </c>
      <c r="R283" s="154">
        <v>23.75</v>
      </c>
      <c r="S283" s="154"/>
      <c r="T283" s="154"/>
      <c r="U283" s="214">
        <v>14.63</v>
      </c>
      <c r="V283" s="155"/>
      <c r="W283" s="172">
        <v>0</v>
      </c>
      <c r="X283" s="155">
        <f>(Q283*U283)+(R283*(U283*1.5))</f>
        <v>30951.59375</v>
      </c>
      <c r="Y283" s="189"/>
      <c r="Z283" s="196"/>
      <c r="AA283" s="196"/>
      <c r="AB283" s="196"/>
      <c r="AC283" s="197"/>
      <c r="AD283" s="152"/>
      <c r="AE283" s="156" t="s">
        <v>345</v>
      </c>
      <c r="AF283" s="156"/>
      <c r="AG283" s="156">
        <v>828.85</v>
      </c>
      <c r="AH283" s="156"/>
      <c r="AI283" s="156"/>
      <c r="AJ283" s="156"/>
      <c r="AK283" s="156"/>
      <c r="AL283" s="156" t="s">
        <v>341</v>
      </c>
      <c r="AM283" s="156">
        <v>19.3</v>
      </c>
      <c r="AN283" s="156"/>
      <c r="AO283" s="156">
        <v>2.82</v>
      </c>
    </row>
    <row r="284" spans="12:41" x14ac:dyDescent="0.4">
      <c r="L284" s="151"/>
      <c r="M284" s="151" t="s">
        <v>392</v>
      </c>
      <c r="N284" s="152">
        <v>44501</v>
      </c>
      <c r="O284" s="152"/>
      <c r="P284" s="153">
        <v>126</v>
      </c>
      <c r="Q284" s="154">
        <v>2080</v>
      </c>
      <c r="R284" s="154">
        <v>16.5</v>
      </c>
      <c r="S284" s="154"/>
      <c r="T284" s="154"/>
      <c r="U284" s="214">
        <v>16.309999999999999</v>
      </c>
      <c r="V284" s="155"/>
      <c r="W284" s="172">
        <v>0</v>
      </c>
      <c r="X284" s="155">
        <f>(Q284*U284)+(R284*(U284*1.5))</f>
        <v>34328.472499999996</v>
      </c>
      <c r="Y284" s="189"/>
      <c r="Z284" s="196"/>
      <c r="AA284" s="196"/>
      <c r="AB284" s="196"/>
      <c r="AC284" s="197"/>
      <c r="AD284" s="152"/>
      <c r="AE284" s="156" t="s">
        <v>345</v>
      </c>
      <c r="AF284" s="156"/>
      <c r="AG284" s="156">
        <v>828.85</v>
      </c>
      <c r="AH284" s="156"/>
      <c r="AI284" s="156"/>
      <c r="AJ284" s="156"/>
      <c r="AK284" s="156"/>
      <c r="AL284" s="156" t="s">
        <v>341</v>
      </c>
      <c r="AM284" s="156">
        <v>19.3</v>
      </c>
      <c r="AN284" s="156"/>
      <c r="AO284" s="156">
        <v>2.82</v>
      </c>
    </row>
    <row r="289" spans="12:41" x14ac:dyDescent="0.4">
      <c r="L289" t="s">
        <v>417</v>
      </c>
    </row>
    <row r="290" spans="12:41" x14ac:dyDescent="0.4">
      <c r="L290" s="151"/>
      <c r="M290" s="151" t="s">
        <v>398</v>
      </c>
      <c r="N290" s="152">
        <v>44781</v>
      </c>
      <c r="O290" s="152"/>
      <c r="P290" s="153">
        <v>133</v>
      </c>
      <c r="Q290" s="154">
        <v>2080</v>
      </c>
      <c r="R290" s="154"/>
      <c r="S290" s="154"/>
      <c r="T290" s="154"/>
      <c r="U290" s="214">
        <v>16.88</v>
      </c>
      <c r="V290" s="173"/>
      <c r="W290" s="172">
        <v>0</v>
      </c>
      <c r="X290" s="155">
        <f>(Q290*U290)+(R290*(U290*1.5))</f>
        <v>35110.400000000001</v>
      </c>
      <c r="Y290" s="189"/>
      <c r="Z290" s="196"/>
      <c r="AA290" s="196"/>
      <c r="AB290" s="196"/>
      <c r="AC290" s="197"/>
      <c r="AD290" s="152"/>
      <c r="AE290" s="156" t="s">
        <v>341</v>
      </c>
      <c r="AF290" s="156"/>
      <c r="AG290" s="156">
        <v>834.83</v>
      </c>
      <c r="AH290" s="156"/>
      <c r="AI290" s="156">
        <v>25.91</v>
      </c>
      <c r="AJ290" s="156"/>
      <c r="AK290" s="156"/>
      <c r="AL290" s="156" t="s">
        <v>350</v>
      </c>
      <c r="AM290" s="156">
        <v>25.68</v>
      </c>
      <c r="AN290" s="156"/>
      <c r="AO290" s="156">
        <v>42.98</v>
      </c>
    </row>
  </sheetData>
  <mergeCells count="24">
    <mergeCell ref="AO2:AQ2"/>
    <mergeCell ref="AY218:BG218"/>
    <mergeCell ref="AR39:AV39"/>
    <mergeCell ref="AR41:AS41"/>
    <mergeCell ref="AR42:AS42"/>
    <mergeCell ref="AR40:AS40"/>
    <mergeCell ref="AY192:BG192"/>
    <mergeCell ref="AU40:AV40"/>
    <mergeCell ref="AU41:AV41"/>
    <mergeCell ref="AU42:AV42"/>
    <mergeCell ref="G1:I1"/>
    <mergeCell ref="X209:Z209"/>
    <mergeCell ref="AI256:AM256"/>
    <mergeCell ref="G12:I12"/>
    <mergeCell ref="S166:U166"/>
    <mergeCell ref="G24:I24"/>
    <mergeCell ref="V165:Z165"/>
    <mergeCell ref="L19:Q19"/>
    <mergeCell ref="L24:Q24"/>
    <mergeCell ref="R24:S24"/>
    <mergeCell ref="Q42:T42"/>
    <mergeCell ref="AB243:AE243"/>
    <mergeCell ref="AD1:AF1"/>
    <mergeCell ref="O164:AA164"/>
  </mergeCells>
  <conditionalFormatting sqref="A45:XFD145 AE147:AV147">
    <cfRule type="expression" dxfId="1" priority="1">
      <formula>MOD(ROW(),2)=0</formula>
    </cfRule>
    <cfRule type="expression" dxfId="0" priority="2">
      <formula>MOD(ROW(),)=0</formula>
    </cfRule>
  </conditionalFormatting>
  <pageMargins left="0.7" right="0.7" top="0.75" bottom="0.75" header="0.3" footer="0.3"/>
  <pageSetup orientation="portrait" r:id="rId1"/>
  <ignoredErrors>
    <ignoredError sqref="S181 S191"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72765-DE9B-4544-9051-340D978E9113}">
  <dimension ref="B6:AH42"/>
  <sheetViews>
    <sheetView workbookViewId="0"/>
  </sheetViews>
  <sheetFormatPr defaultRowHeight="16" x14ac:dyDescent="0.4"/>
  <cols>
    <col min="2" max="2" width="11.08203125" customWidth="1"/>
    <col min="3" max="3" width="8.9140625" bestFit="1" customWidth="1"/>
    <col min="4" max="4" width="10.08203125" bestFit="1" customWidth="1"/>
    <col min="5" max="6" width="9.08203125" bestFit="1" customWidth="1"/>
    <col min="7" max="7" width="11.08203125" bestFit="1" customWidth="1"/>
    <col min="8" max="8" width="10.08203125" bestFit="1" customWidth="1"/>
    <col min="9" max="9" width="12.58203125" bestFit="1" customWidth="1"/>
    <col min="11" max="11" width="8.9140625" bestFit="1" customWidth="1"/>
    <col min="12" max="12" width="9.08203125" bestFit="1" customWidth="1"/>
    <col min="13" max="15" width="8.9140625" bestFit="1" customWidth="1"/>
    <col min="16" max="16" width="9.08203125" bestFit="1" customWidth="1"/>
    <col min="20" max="20" width="9.6640625" bestFit="1" customWidth="1"/>
    <col min="22" max="22" width="11.08203125" bestFit="1" customWidth="1"/>
    <col min="24" max="24" width="11.08203125" bestFit="1" customWidth="1"/>
  </cols>
  <sheetData>
    <row r="6" spans="2:34" x14ac:dyDescent="0.4">
      <c r="B6" s="400" t="s">
        <v>17</v>
      </c>
      <c r="C6" s="400"/>
      <c r="D6" s="400"/>
      <c r="E6" s="400"/>
      <c r="F6" s="400"/>
      <c r="G6" s="400"/>
      <c r="H6" s="400"/>
      <c r="I6" s="400"/>
      <c r="J6" s="400"/>
      <c r="K6" s="400"/>
      <c r="L6" s="400"/>
      <c r="M6" s="400"/>
      <c r="N6" s="400"/>
      <c r="O6" s="400"/>
      <c r="P6" s="400"/>
      <c r="T6" s="400" t="s">
        <v>49</v>
      </c>
      <c r="U6" s="400"/>
      <c r="V6" s="400"/>
      <c r="W6" s="400"/>
      <c r="X6" s="400"/>
      <c r="Y6" s="400"/>
      <c r="Z6" s="400"/>
    </row>
    <row r="7" spans="2:34" x14ac:dyDescent="0.4">
      <c r="B7" s="216" t="s">
        <v>448</v>
      </c>
      <c r="J7" t="s">
        <v>450</v>
      </c>
      <c r="R7" t="s">
        <v>458</v>
      </c>
    </row>
    <row r="8" spans="2:34" x14ac:dyDescent="0.4">
      <c r="C8" s="2" t="s">
        <v>449</v>
      </c>
      <c r="D8" s="2" t="s">
        <v>444</v>
      </c>
      <c r="E8" s="2" t="s">
        <v>445</v>
      </c>
      <c r="F8" s="2" t="s">
        <v>446</v>
      </c>
      <c r="G8" s="2" t="s">
        <v>447</v>
      </c>
      <c r="H8" s="2" t="s">
        <v>25</v>
      </c>
      <c r="I8" s="2"/>
      <c r="J8" s="2" t="s">
        <v>451</v>
      </c>
      <c r="K8" s="2" t="s">
        <v>449</v>
      </c>
      <c r="L8" s="2" t="s">
        <v>444</v>
      </c>
      <c r="M8" s="2" t="s">
        <v>445</v>
      </c>
      <c r="N8" s="2" t="s">
        <v>446</v>
      </c>
      <c r="O8" s="2" t="s">
        <v>447</v>
      </c>
      <c r="P8" s="2" t="s">
        <v>25</v>
      </c>
      <c r="R8" s="2" t="s">
        <v>25</v>
      </c>
      <c r="U8" s="2" t="s">
        <v>449</v>
      </c>
      <c r="V8" s="2" t="s">
        <v>444</v>
      </c>
      <c r="W8" s="2" t="s">
        <v>445</v>
      </c>
      <c r="X8" s="2" t="s">
        <v>446</v>
      </c>
      <c r="Y8" s="2" t="s">
        <v>447</v>
      </c>
      <c r="Z8" s="2" t="s">
        <v>25</v>
      </c>
    </row>
    <row r="9" spans="2:34" x14ac:dyDescent="0.4">
      <c r="B9" t="s">
        <v>123</v>
      </c>
      <c r="C9" s="8">
        <v>3</v>
      </c>
      <c r="D9" s="8">
        <v>1279.18</v>
      </c>
      <c r="E9" s="8">
        <v>59.4</v>
      </c>
      <c r="F9" s="8">
        <v>220</v>
      </c>
      <c r="G9" s="8">
        <v>528.04</v>
      </c>
      <c r="H9" s="8">
        <f>SUM(D9:G9)</f>
        <v>2086.62</v>
      </c>
      <c r="I9" s="8"/>
      <c r="J9" s="8"/>
      <c r="K9" s="8"/>
      <c r="L9" s="8"/>
      <c r="M9" s="8"/>
      <c r="N9" s="8"/>
      <c r="O9" s="8"/>
      <c r="P9" s="8">
        <f>SUM(L9:O9)</f>
        <v>0</v>
      </c>
      <c r="Q9" s="8"/>
      <c r="R9" s="8">
        <f>H9+P9</f>
        <v>2086.62</v>
      </c>
      <c r="S9" s="8"/>
      <c r="T9" t="s">
        <v>123</v>
      </c>
      <c r="U9" s="8">
        <v>1</v>
      </c>
      <c r="V9" s="8">
        <v>2354.9299999999998</v>
      </c>
      <c r="W9" s="8">
        <v>26.4</v>
      </c>
      <c r="X9" s="8">
        <v>160</v>
      </c>
      <c r="Y9" s="8">
        <v>489.2</v>
      </c>
      <c r="Z9" s="8">
        <f>SUM(V9:Y9)</f>
        <v>3030.5299999999997</v>
      </c>
      <c r="AA9" s="8"/>
      <c r="AB9" s="8"/>
      <c r="AC9" s="8"/>
      <c r="AD9" s="8"/>
      <c r="AE9" s="8"/>
      <c r="AF9" s="8"/>
      <c r="AG9" s="8"/>
      <c r="AH9" s="8"/>
    </row>
    <row r="10" spans="2:34" x14ac:dyDescent="0.4">
      <c r="B10" t="s">
        <v>124</v>
      </c>
      <c r="C10" s="8">
        <v>3</v>
      </c>
      <c r="D10" s="8">
        <v>1382.09</v>
      </c>
      <c r="E10" s="8">
        <v>75.900000000000006</v>
      </c>
      <c r="F10" s="8">
        <v>372</v>
      </c>
      <c r="G10" s="8">
        <v>1056.54</v>
      </c>
      <c r="H10" s="8">
        <f t="shared" ref="H10:H20" si="0">SUM(D10:G10)</f>
        <v>2886.5299999999997</v>
      </c>
      <c r="I10" s="8"/>
      <c r="J10" s="8"/>
      <c r="K10" s="8"/>
      <c r="L10" s="8"/>
      <c r="M10" s="8"/>
      <c r="N10" s="8"/>
      <c r="O10" s="8"/>
      <c r="P10" s="8">
        <f t="shared" ref="P10:P20" si="1">SUM(L10:O10)</f>
        <v>0</v>
      </c>
      <c r="Q10" s="8"/>
      <c r="R10" s="8">
        <f t="shared" ref="R10:R20" si="2">H10+P10</f>
        <v>2886.5299999999997</v>
      </c>
      <c r="S10" s="8"/>
      <c r="T10" t="s">
        <v>124</v>
      </c>
      <c r="U10" s="8"/>
      <c r="V10" s="8"/>
      <c r="W10" s="8"/>
      <c r="X10" s="8"/>
      <c r="Y10" s="8"/>
      <c r="Z10" s="8">
        <f t="shared" ref="Z10:Z20" si="3">SUM(V10:Y10)</f>
        <v>0</v>
      </c>
      <c r="AA10" s="8"/>
      <c r="AB10" s="8"/>
      <c r="AC10" s="8"/>
      <c r="AD10" s="8"/>
      <c r="AE10" s="8"/>
      <c r="AF10" s="8"/>
      <c r="AG10" s="8"/>
      <c r="AH10" s="8"/>
    </row>
    <row r="11" spans="2:34" x14ac:dyDescent="0.4">
      <c r="B11" t="s">
        <v>125</v>
      </c>
      <c r="C11" s="8">
        <v>13</v>
      </c>
      <c r="D11" s="8">
        <v>6499.07</v>
      </c>
      <c r="E11" s="8">
        <v>314.82</v>
      </c>
      <c r="F11" s="8">
        <v>1965</v>
      </c>
      <c r="G11" s="8">
        <v>4986.12</v>
      </c>
      <c r="H11" s="8">
        <f t="shared" si="0"/>
        <v>13765.009999999998</v>
      </c>
      <c r="I11" s="8"/>
      <c r="J11" s="8" t="s">
        <v>452</v>
      </c>
      <c r="K11" s="8">
        <v>1</v>
      </c>
      <c r="L11" s="8">
        <v>4141.33</v>
      </c>
      <c r="M11" s="8">
        <v>191.4</v>
      </c>
      <c r="N11" s="8">
        <v>480</v>
      </c>
      <c r="O11" s="8">
        <v>2031.96</v>
      </c>
      <c r="P11" s="8">
        <f t="shared" si="1"/>
        <v>6844.69</v>
      </c>
      <c r="Q11" s="8"/>
      <c r="R11" s="8">
        <f t="shared" si="2"/>
        <v>20609.699999999997</v>
      </c>
      <c r="S11" s="8"/>
      <c r="T11" t="s">
        <v>125</v>
      </c>
      <c r="U11" s="8"/>
      <c r="V11" s="8"/>
      <c r="W11" s="8"/>
      <c r="X11" s="8"/>
      <c r="Y11" s="8"/>
      <c r="Z11" s="8">
        <f t="shared" si="3"/>
        <v>0</v>
      </c>
      <c r="AA11" s="8"/>
      <c r="AB11" s="8"/>
      <c r="AC11" s="8"/>
      <c r="AD11" s="8"/>
      <c r="AE11" s="8"/>
      <c r="AF11" s="8"/>
      <c r="AG11" s="8"/>
      <c r="AH11" s="8"/>
    </row>
    <row r="12" spans="2:34" x14ac:dyDescent="0.4">
      <c r="B12" t="s">
        <v>126</v>
      </c>
      <c r="C12" s="8">
        <v>13</v>
      </c>
      <c r="D12" s="8">
        <v>7506.07</v>
      </c>
      <c r="E12" s="8">
        <v>403</v>
      </c>
      <c r="F12" s="8">
        <v>1460</v>
      </c>
      <c r="G12" s="8">
        <v>4299.1400000000003</v>
      </c>
      <c r="H12" s="8">
        <f t="shared" si="0"/>
        <v>13668.21</v>
      </c>
      <c r="I12" s="8"/>
      <c r="J12" s="8"/>
      <c r="K12" s="8"/>
      <c r="L12" s="8"/>
      <c r="M12" s="8"/>
      <c r="N12" s="8"/>
      <c r="O12" s="8"/>
      <c r="P12" s="8">
        <f t="shared" si="1"/>
        <v>0</v>
      </c>
      <c r="Q12" s="8"/>
      <c r="R12" s="8">
        <f t="shared" si="2"/>
        <v>13668.21</v>
      </c>
      <c r="S12" s="8"/>
      <c r="T12" t="s">
        <v>126</v>
      </c>
      <c r="U12" s="8"/>
      <c r="V12" s="8"/>
      <c r="W12" s="8"/>
      <c r="X12" s="8"/>
      <c r="Y12" s="8"/>
      <c r="Z12" s="8">
        <f t="shared" si="3"/>
        <v>0</v>
      </c>
      <c r="AA12" s="8"/>
      <c r="AB12" s="8"/>
      <c r="AC12" s="8"/>
      <c r="AD12" s="8"/>
      <c r="AE12" s="8"/>
      <c r="AF12" s="8"/>
      <c r="AG12" s="8"/>
      <c r="AH12" s="8"/>
    </row>
    <row r="13" spans="2:34" x14ac:dyDescent="0.4">
      <c r="B13" t="s">
        <v>9</v>
      </c>
      <c r="C13" s="8">
        <v>10</v>
      </c>
      <c r="D13" s="8">
        <v>5200.9399999999996</v>
      </c>
      <c r="E13" s="8">
        <v>269.27999999999997</v>
      </c>
      <c r="F13" s="8">
        <v>1615</v>
      </c>
      <c r="G13" s="8">
        <v>3426.2</v>
      </c>
      <c r="H13" s="8">
        <f t="shared" si="0"/>
        <v>10511.419999999998</v>
      </c>
      <c r="I13" s="8"/>
      <c r="J13" s="8" t="s">
        <v>453</v>
      </c>
      <c r="K13" s="8">
        <v>1</v>
      </c>
      <c r="L13" s="8">
        <v>1261.01</v>
      </c>
      <c r="M13" s="8">
        <v>5.28</v>
      </c>
      <c r="N13" s="8">
        <v>1110</v>
      </c>
      <c r="O13" s="8">
        <v>6243.52</v>
      </c>
      <c r="P13" s="8">
        <f t="shared" si="1"/>
        <v>8619.8100000000013</v>
      </c>
      <c r="Q13" s="8"/>
      <c r="R13" s="8">
        <f t="shared" si="2"/>
        <v>19131.23</v>
      </c>
      <c r="S13" s="8"/>
      <c r="T13" t="s">
        <v>9</v>
      </c>
      <c r="U13" s="8">
        <v>2</v>
      </c>
      <c r="V13" s="8">
        <v>5656.75</v>
      </c>
      <c r="W13" s="8">
        <v>20.46</v>
      </c>
      <c r="X13" s="8">
        <v>640</v>
      </c>
      <c r="Y13" s="8">
        <v>2568.89</v>
      </c>
      <c r="Z13" s="8">
        <f>SUM(V13:Y13)</f>
        <v>8886.1</v>
      </c>
      <c r="AA13" s="8"/>
      <c r="AB13" s="8"/>
      <c r="AC13" s="8"/>
      <c r="AD13" s="8"/>
      <c r="AE13" s="8"/>
      <c r="AF13" s="8"/>
      <c r="AG13" s="8"/>
      <c r="AH13" s="8"/>
    </row>
    <row r="14" spans="2:34" x14ac:dyDescent="0.4">
      <c r="B14" t="s">
        <v>10</v>
      </c>
      <c r="C14" s="8">
        <v>10</v>
      </c>
      <c r="D14" s="8">
        <v>4813.2299999999996</v>
      </c>
      <c r="E14" s="8">
        <v>233.64</v>
      </c>
      <c r="F14" s="8">
        <v>945</v>
      </c>
      <c r="G14" s="8">
        <v>4379.01</v>
      </c>
      <c r="H14" s="8">
        <f t="shared" si="0"/>
        <v>10370.880000000001</v>
      </c>
      <c r="I14" s="8"/>
      <c r="J14" s="8" t="s">
        <v>258</v>
      </c>
      <c r="K14" s="8">
        <v>1</v>
      </c>
      <c r="L14" s="8">
        <v>935.25</v>
      </c>
      <c r="M14" s="8">
        <v>1.32</v>
      </c>
      <c r="N14" s="8">
        <v>80</v>
      </c>
      <c r="O14" s="8">
        <v>137.66</v>
      </c>
      <c r="P14" s="8">
        <f>SUM(L14:O14)</f>
        <v>1154.23</v>
      </c>
      <c r="Q14" s="8"/>
      <c r="R14" s="8">
        <f t="shared" si="2"/>
        <v>11525.11</v>
      </c>
      <c r="S14" s="8"/>
      <c r="T14" t="s">
        <v>10</v>
      </c>
      <c r="U14" s="8">
        <v>2</v>
      </c>
      <c r="V14" s="8">
        <v>4734.5200000000004</v>
      </c>
      <c r="W14" s="8">
        <v>52.8</v>
      </c>
      <c r="X14" s="8">
        <v>560</v>
      </c>
      <c r="Y14" s="8">
        <v>2031.34</v>
      </c>
      <c r="Z14" s="8">
        <f t="shared" si="3"/>
        <v>7378.6600000000008</v>
      </c>
      <c r="AA14" s="8"/>
      <c r="AB14" s="8"/>
      <c r="AC14" s="8"/>
      <c r="AD14" s="8"/>
      <c r="AE14" s="8"/>
      <c r="AF14" s="8"/>
      <c r="AG14" s="8"/>
      <c r="AH14" s="8"/>
    </row>
    <row r="15" spans="2:34" x14ac:dyDescent="0.4">
      <c r="B15" t="s">
        <v>11</v>
      </c>
      <c r="C15" s="8">
        <v>12</v>
      </c>
      <c r="D15" s="8">
        <v>6091.61</v>
      </c>
      <c r="E15" s="8">
        <v>68.64</v>
      </c>
      <c r="F15" s="8">
        <v>770</v>
      </c>
      <c r="G15" s="8">
        <v>3785.42</v>
      </c>
      <c r="H15" s="8">
        <f t="shared" si="0"/>
        <v>10715.67</v>
      </c>
      <c r="I15" s="8"/>
      <c r="J15" s="8" t="str">
        <f>J14</f>
        <v>1"</v>
      </c>
      <c r="K15" s="8">
        <v>1</v>
      </c>
      <c r="L15" s="8">
        <v>1214.6400000000001</v>
      </c>
      <c r="M15" s="8">
        <v>39.6</v>
      </c>
      <c r="N15" s="8">
        <v>50</v>
      </c>
      <c r="O15" s="8">
        <v>342.52</v>
      </c>
      <c r="P15" s="8">
        <f t="shared" si="1"/>
        <v>1646.76</v>
      </c>
      <c r="Q15" s="8"/>
      <c r="R15" s="8">
        <f t="shared" si="2"/>
        <v>12362.43</v>
      </c>
      <c r="S15" s="8"/>
      <c r="T15" t="s">
        <v>11</v>
      </c>
      <c r="U15" s="8">
        <v>1</v>
      </c>
      <c r="V15" s="8">
        <v>432.38</v>
      </c>
      <c r="W15" s="8">
        <v>49.5</v>
      </c>
      <c r="X15" s="8">
        <v>240</v>
      </c>
      <c r="Y15" s="8">
        <v>1403.22</v>
      </c>
      <c r="Z15" s="8">
        <f t="shared" si="3"/>
        <v>2125.1</v>
      </c>
      <c r="AA15" s="8"/>
      <c r="AB15" s="8"/>
      <c r="AC15" s="8"/>
      <c r="AD15" s="8"/>
      <c r="AE15" s="8"/>
      <c r="AF15" s="8"/>
      <c r="AG15" s="8"/>
      <c r="AH15" s="8"/>
    </row>
    <row r="16" spans="2:34" x14ac:dyDescent="0.4">
      <c r="B16" t="s">
        <v>127</v>
      </c>
      <c r="C16" s="8">
        <v>6</v>
      </c>
      <c r="D16" s="8">
        <v>2953.59</v>
      </c>
      <c r="E16" s="8">
        <v>138.6</v>
      </c>
      <c r="F16" s="8">
        <v>370</v>
      </c>
      <c r="G16" s="8">
        <v>1315.64</v>
      </c>
      <c r="H16" s="8">
        <f t="shared" si="0"/>
        <v>4777.83</v>
      </c>
      <c r="I16" s="8"/>
      <c r="J16" s="8" t="str">
        <f>J15</f>
        <v>1"</v>
      </c>
      <c r="K16" s="8">
        <v>1</v>
      </c>
      <c r="L16" s="8">
        <v>1310.22</v>
      </c>
      <c r="M16" s="8">
        <v>66</v>
      </c>
      <c r="N16" s="8">
        <v>75</v>
      </c>
      <c r="O16" s="8">
        <v>513.78</v>
      </c>
      <c r="P16" s="8">
        <f t="shared" si="1"/>
        <v>1965</v>
      </c>
      <c r="Q16" s="8"/>
      <c r="R16" s="8">
        <f t="shared" si="2"/>
        <v>6742.83</v>
      </c>
      <c r="S16" s="8"/>
      <c r="T16" t="s">
        <v>127</v>
      </c>
      <c r="U16" s="8"/>
      <c r="V16" s="8"/>
      <c r="W16" s="8"/>
      <c r="X16" s="8"/>
      <c r="Y16" s="8"/>
      <c r="Z16" s="8">
        <f t="shared" si="3"/>
        <v>0</v>
      </c>
      <c r="AA16" s="8"/>
      <c r="AB16" s="8"/>
      <c r="AC16" s="8"/>
      <c r="AD16" s="8"/>
      <c r="AE16" s="8"/>
      <c r="AF16" s="8"/>
      <c r="AG16" s="8"/>
      <c r="AH16" s="8"/>
    </row>
    <row r="17" spans="2:34" x14ac:dyDescent="0.4">
      <c r="B17" t="s">
        <v>128</v>
      </c>
      <c r="C17" s="8">
        <v>5</v>
      </c>
      <c r="D17" s="8">
        <v>2166.7199999999998</v>
      </c>
      <c r="E17" s="8">
        <v>99</v>
      </c>
      <c r="F17" s="8">
        <v>295</v>
      </c>
      <c r="G17" s="8">
        <v>961.66</v>
      </c>
      <c r="H17" s="8">
        <f t="shared" si="0"/>
        <v>3522.3799999999997</v>
      </c>
      <c r="I17" s="8"/>
      <c r="J17" s="8"/>
      <c r="K17" s="8"/>
      <c r="L17" s="8"/>
      <c r="M17" s="8"/>
      <c r="N17" s="8"/>
      <c r="O17" s="8"/>
      <c r="P17" s="8">
        <f t="shared" si="1"/>
        <v>0</v>
      </c>
      <c r="Q17" s="8"/>
      <c r="R17" s="8">
        <f t="shared" si="2"/>
        <v>3522.3799999999997</v>
      </c>
      <c r="S17" s="8"/>
      <c r="T17" t="s">
        <v>128</v>
      </c>
      <c r="U17" s="8"/>
      <c r="V17" s="8"/>
      <c r="W17" s="8"/>
      <c r="X17" s="8"/>
      <c r="Y17" s="8"/>
      <c r="Z17" s="8">
        <f t="shared" si="3"/>
        <v>0</v>
      </c>
      <c r="AA17" s="8"/>
      <c r="AB17" s="8"/>
      <c r="AC17" s="8"/>
      <c r="AD17" s="8"/>
      <c r="AE17" s="8"/>
      <c r="AF17" s="8"/>
      <c r="AG17" s="8"/>
      <c r="AH17" s="8"/>
    </row>
    <row r="18" spans="2:34" x14ac:dyDescent="0.4">
      <c r="B18" t="s">
        <v>129</v>
      </c>
      <c r="C18" s="8">
        <v>10</v>
      </c>
      <c r="D18" s="8">
        <v>5350.83</v>
      </c>
      <c r="E18" s="8">
        <v>320.76</v>
      </c>
      <c r="F18" s="8">
        <v>1100</v>
      </c>
      <c r="G18" s="8">
        <v>3549.21</v>
      </c>
      <c r="H18" s="8">
        <f t="shared" si="0"/>
        <v>10320.799999999999</v>
      </c>
      <c r="I18" s="8"/>
      <c r="J18" s="8" t="str">
        <f>J11</f>
        <v>2"</v>
      </c>
      <c r="K18" s="8">
        <v>1</v>
      </c>
      <c r="L18" s="8">
        <v>3960.16</v>
      </c>
      <c r="M18" s="8">
        <v>52.8</v>
      </c>
      <c r="N18" s="8">
        <v>200</v>
      </c>
      <c r="O18" s="8">
        <v>1202.5999999999999</v>
      </c>
      <c r="P18" s="8">
        <f t="shared" si="1"/>
        <v>5415.5599999999995</v>
      </c>
      <c r="Q18" s="8"/>
      <c r="R18" s="8">
        <f t="shared" si="2"/>
        <v>15736.359999999999</v>
      </c>
      <c r="S18" s="8"/>
      <c r="T18" t="s">
        <v>129</v>
      </c>
      <c r="U18" s="8"/>
      <c r="V18" s="8"/>
      <c r="W18" s="8"/>
      <c r="X18" s="8"/>
      <c r="Y18" s="8"/>
      <c r="Z18" s="8">
        <f t="shared" si="3"/>
        <v>0</v>
      </c>
      <c r="AA18" s="8"/>
      <c r="AB18" s="8"/>
      <c r="AC18" s="8"/>
      <c r="AD18" s="8"/>
      <c r="AE18" s="8"/>
      <c r="AF18" s="8"/>
      <c r="AG18" s="8"/>
      <c r="AH18" s="8"/>
    </row>
    <row r="19" spans="2:34" x14ac:dyDescent="0.4">
      <c r="B19" t="s">
        <v>130</v>
      </c>
      <c r="C19" s="8">
        <v>7</v>
      </c>
      <c r="D19" s="8">
        <v>3411.62</v>
      </c>
      <c r="E19" s="8">
        <v>188.1</v>
      </c>
      <c r="F19" s="8">
        <v>735</v>
      </c>
      <c r="G19" s="8">
        <v>2170.83</v>
      </c>
      <c r="H19" s="8">
        <f t="shared" si="0"/>
        <v>6505.5499999999993</v>
      </c>
      <c r="I19" s="8"/>
      <c r="J19" s="8"/>
      <c r="K19" s="8"/>
      <c r="L19" s="8"/>
      <c r="M19" s="8"/>
      <c r="N19" s="8"/>
      <c r="O19" s="8"/>
      <c r="P19" s="8">
        <f t="shared" si="1"/>
        <v>0</v>
      </c>
      <c r="Q19" s="8"/>
      <c r="R19" s="8">
        <f t="shared" si="2"/>
        <v>6505.5499999999993</v>
      </c>
      <c r="S19" s="8"/>
      <c r="T19" t="s">
        <v>130</v>
      </c>
      <c r="U19" s="8"/>
      <c r="V19" s="8"/>
      <c r="W19" s="8"/>
      <c r="X19" s="8"/>
      <c r="Y19" s="8"/>
      <c r="Z19" s="8">
        <f t="shared" si="3"/>
        <v>0</v>
      </c>
      <c r="AA19" s="8"/>
      <c r="AB19" s="8"/>
      <c r="AC19" s="8"/>
      <c r="AD19" s="8"/>
      <c r="AE19" s="8"/>
      <c r="AF19" s="8"/>
      <c r="AG19" s="8"/>
      <c r="AH19" s="8"/>
    </row>
    <row r="20" spans="2:34" x14ac:dyDescent="0.4">
      <c r="B20" t="s">
        <v>131</v>
      </c>
      <c r="C20" s="10">
        <v>1</v>
      </c>
      <c r="D20" s="10">
        <v>522.03</v>
      </c>
      <c r="E20" s="10">
        <v>11.88</v>
      </c>
      <c r="F20" s="10">
        <v>75</v>
      </c>
      <c r="G20" s="10">
        <v>517.98</v>
      </c>
      <c r="H20" s="10">
        <f t="shared" si="0"/>
        <v>1126.8899999999999</v>
      </c>
      <c r="I20" s="8"/>
      <c r="J20" s="8"/>
      <c r="K20" s="10"/>
      <c r="L20" s="10"/>
      <c r="M20" s="10"/>
      <c r="N20" s="10"/>
      <c r="O20" s="10"/>
      <c r="P20" s="10">
        <f t="shared" si="1"/>
        <v>0</v>
      </c>
      <c r="Q20" s="8"/>
      <c r="R20" s="8">
        <f t="shared" si="2"/>
        <v>1126.8899999999999</v>
      </c>
      <c r="S20" s="8"/>
      <c r="T20" t="s">
        <v>131</v>
      </c>
      <c r="U20" s="10">
        <v>1</v>
      </c>
      <c r="V20" s="10">
        <v>799.68</v>
      </c>
      <c r="W20" s="10">
        <v>105.6</v>
      </c>
      <c r="X20" s="10">
        <v>100</v>
      </c>
      <c r="Y20" s="10">
        <v>2212.61</v>
      </c>
      <c r="Z20" s="10">
        <f t="shared" si="3"/>
        <v>3217.8900000000003</v>
      </c>
      <c r="AA20" s="8"/>
      <c r="AB20" s="8"/>
      <c r="AC20" s="8"/>
      <c r="AD20" s="8"/>
      <c r="AE20" s="8"/>
      <c r="AF20" s="8"/>
      <c r="AG20" s="8"/>
      <c r="AH20" s="8"/>
    </row>
    <row r="21" spans="2:34" x14ac:dyDescent="0.4">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row>
    <row r="22" spans="2:34" ht="16.5" thickBot="1" x14ac:dyDescent="0.45">
      <c r="C22" s="11">
        <f>SUM(C9:C21)</f>
        <v>93</v>
      </c>
      <c r="D22" s="11">
        <f t="shared" ref="D22:H22" si="4">SUM(D9:D21)</f>
        <v>47176.98</v>
      </c>
      <c r="E22" s="11">
        <f t="shared" si="4"/>
        <v>2183.02</v>
      </c>
      <c r="F22" s="11">
        <f t="shared" si="4"/>
        <v>9922</v>
      </c>
      <c r="G22" s="11">
        <f t="shared" si="4"/>
        <v>30975.789999999997</v>
      </c>
      <c r="H22" s="11">
        <f t="shared" si="4"/>
        <v>90257.790000000008</v>
      </c>
      <c r="I22" s="8"/>
      <c r="J22" s="8"/>
      <c r="K22" s="11">
        <f>SUM(K9:K21)</f>
        <v>6</v>
      </c>
      <c r="L22" s="11">
        <f t="shared" ref="L22:P22" si="5">SUM(L9:L21)</f>
        <v>12822.61</v>
      </c>
      <c r="M22" s="11">
        <f t="shared" si="5"/>
        <v>356.40000000000003</v>
      </c>
      <c r="N22" s="11">
        <f t="shared" si="5"/>
        <v>1995</v>
      </c>
      <c r="O22" s="11">
        <f>SUM(O9:O21)</f>
        <v>10472.040000000001</v>
      </c>
      <c r="P22" s="11">
        <f t="shared" si="5"/>
        <v>25646.049999999996</v>
      </c>
      <c r="Q22" s="8"/>
      <c r="R22" s="8"/>
      <c r="S22" s="8"/>
      <c r="T22" s="8"/>
      <c r="U22" s="11">
        <f>SUM(U9:U21)</f>
        <v>7</v>
      </c>
      <c r="V22" s="11">
        <f t="shared" ref="V22:Z22" si="6">SUM(V9:V21)</f>
        <v>13978.26</v>
      </c>
      <c r="W22" s="11">
        <f t="shared" si="6"/>
        <v>254.76</v>
      </c>
      <c r="X22" s="11">
        <f t="shared" si="6"/>
        <v>1700</v>
      </c>
      <c r="Y22" s="11">
        <f t="shared" si="6"/>
        <v>8705.26</v>
      </c>
      <c r="Z22" s="11">
        <f t="shared" si="6"/>
        <v>24638.28</v>
      </c>
      <c r="AA22" s="8"/>
      <c r="AB22" s="8"/>
      <c r="AC22" s="8"/>
      <c r="AD22" s="8"/>
      <c r="AE22" s="8"/>
      <c r="AF22" s="8"/>
      <c r="AG22" s="8"/>
      <c r="AH22" s="8"/>
    </row>
    <row r="23" spans="2:34" ht="16.5" thickTop="1" x14ac:dyDescent="0.4"/>
    <row r="25" spans="2:34" x14ac:dyDescent="0.4">
      <c r="B25" t="s">
        <v>454</v>
      </c>
      <c r="C25" s="24">
        <f>C22+K22</f>
        <v>99</v>
      </c>
      <c r="D25" s="24">
        <f t="shared" ref="D25:G25" si="7">D22+L22</f>
        <v>59999.590000000004</v>
      </c>
      <c r="E25" s="24">
        <f t="shared" si="7"/>
        <v>2539.42</v>
      </c>
      <c r="F25" s="24">
        <f t="shared" si="7"/>
        <v>11917</v>
      </c>
      <c r="G25" s="24">
        <f t="shared" si="7"/>
        <v>41447.83</v>
      </c>
      <c r="H25" s="24">
        <f>H22+P22</f>
        <v>115903.84</v>
      </c>
    </row>
    <row r="26" spans="2:34" x14ac:dyDescent="0.4">
      <c r="T26" t="s">
        <v>447</v>
      </c>
      <c r="V26" s="9">
        <f>Y22</f>
        <v>8705.26</v>
      </c>
    </row>
    <row r="27" spans="2:34" x14ac:dyDescent="0.4">
      <c r="E27" t="s">
        <v>447</v>
      </c>
      <c r="G27" s="9">
        <f>G25</f>
        <v>41447.83</v>
      </c>
      <c r="T27" t="s">
        <v>444</v>
      </c>
      <c r="V27" s="24">
        <f>V22</f>
        <v>13978.26</v>
      </c>
    </row>
    <row r="28" spans="2:34" x14ac:dyDescent="0.4">
      <c r="E28" t="s">
        <v>444</v>
      </c>
      <c r="G28" s="24">
        <f>D25</f>
        <v>59999.590000000004</v>
      </c>
      <c r="T28" t="s">
        <v>446</v>
      </c>
      <c r="V28" s="217">
        <f>X22+W22</f>
        <v>1954.76</v>
      </c>
    </row>
    <row r="29" spans="2:34" x14ac:dyDescent="0.4">
      <c r="E29" t="s">
        <v>446</v>
      </c>
      <c r="G29" s="217">
        <f>E25+F25</f>
        <v>14456.42</v>
      </c>
    </row>
    <row r="30" spans="2:34" ht="16.5" thickBot="1" x14ac:dyDescent="0.45">
      <c r="T30" t="s">
        <v>25</v>
      </c>
      <c r="U30" s="24"/>
      <c r="V30" s="31">
        <f>SUM(V26:V29)</f>
        <v>24638.28</v>
      </c>
    </row>
    <row r="31" spans="2:34" ht="17" thickTop="1" thickBot="1" x14ac:dyDescent="0.45">
      <c r="E31" t="s">
        <v>25</v>
      </c>
      <c r="G31" s="52">
        <f>SUM(G27:G30)</f>
        <v>115903.84000000001</v>
      </c>
    </row>
    <row r="32" spans="2:34" ht="16.5" thickTop="1" x14ac:dyDescent="0.4"/>
    <row r="36" spans="5:25" x14ac:dyDescent="0.4">
      <c r="T36" t="s">
        <v>530</v>
      </c>
      <c r="X36" s="50">
        <f>V26</f>
        <v>8705.26</v>
      </c>
    </row>
    <row r="37" spans="5:25" x14ac:dyDescent="0.4">
      <c r="E37" t="s">
        <v>530</v>
      </c>
      <c r="I37" s="50">
        <f>G27</f>
        <v>41447.83</v>
      </c>
      <c r="T37" t="s">
        <v>532</v>
      </c>
    </row>
    <row r="38" spans="5:25" x14ac:dyDescent="0.4">
      <c r="E38" t="s">
        <v>532</v>
      </c>
      <c r="T38" t="s">
        <v>531</v>
      </c>
      <c r="X38" s="10">
        <v>151521.49</v>
      </c>
      <c r="Y38" t="s">
        <v>533</v>
      </c>
    </row>
    <row r="39" spans="5:25" x14ac:dyDescent="0.4">
      <c r="E39" t="s">
        <v>531</v>
      </c>
      <c r="I39" s="10">
        <v>645957.39</v>
      </c>
      <c r="J39" t="str">
        <f>Y38</f>
        <v>Taken from file name "Employee List for 2024" in "Hatfield" folder</v>
      </c>
    </row>
    <row r="40" spans="5:25" ht="16.5" thickBot="1" x14ac:dyDescent="0.45">
      <c r="T40" t="s">
        <v>529</v>
      </c>
      <c r="X40" s="106">
        <f>X36/X38</f>
        <v>5.7452312539957209E-2</v>
      </c>
    </row>
    <row r="41" spans="5:25" ht="17" thickTop="1" thickBot="1" x14ac:dyDescent="0.45">
      <c r="E41" t="s">
        <v>529</v>
      </c>
      <c r="I41" s="106">
        <f>I37/I39</f>
        <v>6.4164959859039625E-2</v>
      </c>
    </row>
    <row r="42" spans="5:25" ht="16.5" thickTop="1" x14ac:dyDescent="0.4"/>
  </sheetData>
  <mergeCells count="2">
    <mergeCell ref="B6:P6"/>
    <mergeCell ref="T6:Z6"/>
  </mergeCells>
  <phoneticPr fontId="4"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75A2D-91CF-4A05-90DB-5CE360B665BB}">
  <dimension ref="B3:Y44"/>
  <sheetViews>
    <sheetView workbookViewId="0"/>
  </sheetViews>
  <sheetFormatPr defaultColWidth="8.83203125" defaultRowHeight="16" x14ac:dyDescent="0.4"/>
  <cols>
    <col min="1" max="2" width="8.83203125" style="1"/>
    <col min="3" max="3" width="17.83203125" style="1" customWidth="1"/>
    <col min="4" max="4" width="12.4140625" style="1" customWidth="1"/>
    <col min="5" max="5" width="12.58203125" style="1" bestFit="1" customWidth="1"/>
    <col min="6" max="6" width="12.4140625" style="1" bestFit="1" customWidth="1"/>
    <col min="7" max="7" width="12.58203125" style="1" bestFit="1" customWidth="1"/>
    <col min="8" max="8" width="8.83203125" style="1"/>
    <col min="9" max="9" width="10.08203125" style="1" bestFit="1" customWidth="1"/>
    <col min="10" max="10" width="8.83203125" style="1"/>
    <col min="11" max="11" width="10" style="1" customWidth="1"/>
    <col min="12" max="12" width="0.9140625" style="1" customWidth="1"/>
    <col min="13" max="13" width="8.83203125" style="1"/>
    <col min="14" max="14" width="0.9140625" style="1" customWidth="1"/>
    <col min="15" max="15" width="13.08203125" style="1" bestFit="1" customWidth="1"/>
    <col min="16" max="19" width="8.83203125" style="1"/>
    <col min="20" max="20" width="9.58203125" style="1" customWidth="1"/>
    <col min="21" max="21" width="13.6640625" style="1" bestFit="1" customWidth="1"/>
    <col min="22" max="22" width="0.9140625" style="1" customWidth="1"/>
    <col min="23" max="23" width="8.83203125" style="1"/>
    <col min="24" max="24" width="0.9140625" style="1" customWidth="1"/>
    <col min="25" max="25" width="12.6640625" style="1" bestFit="1" customWidth="1"/>
    <col min="26" max="16384" width="8.83203125" style="1"/>
  </cols>
  <sheetData>
    <row r="3" spans="2:15" x14ac:dyDescent="0.4">
      <c r="D3" s="420" t="s">
        <v>2625</v>
      </c>
      <c r="E3" s="420"/>
      <c r="F3" s="420"/>
      <c r="G3" s="420"/>
      <c r="H3" s="420"/>
      <c r="I3" s="420"/>
      <c r="J3" s="420"/>
      <c r="K3" s="420"/>
      <c r="L3" s="420"/>
      <c r="M3" s="420"/>
    </row>
    <row r="4" spans="2:15" x14ac:dyDescent="0.4">
      <c r="D4" s="1" t="s">
        <v>549</v>
      </c>
      <c r="I4" s="422" t="s">
        <v>2622</v>
      </c>
      <c r="J4" s="422"/>
      <c r="K4" s="422"/>
      <c r="L4" s="422"/>
      <c r="M4" s="422"/>
      <c r="N4" s="422"/>
      <c r="O4" s="422"/>
    </row>
    <row r="5" spans="2:15" x14ac:dyDescent="0.4">
      <c r="D5" s="1" t="s">
        <v>49</v>
      </c>
      <c r="E5" s="1" t="s">
        <v>17</v>
      </c>
      <c r="F5" s="1" t="s">
        <v>509</v>
      </c>
      <c r="G5" s="23" t="s">
        <v>25</v>
      </c>
      <c r="I5" s="1" t="s">
        <v>2623</v>
      </c>
      <c r="K5" s="1" t="s">
        <v>2624</v>
      </c>
      <c r="O5" s="1" t="s">
        <v>25</v>
      </c>
    </row>
    <row r="6" spans="2:15" x14ac:dyDescent="0.4">
      <c r="I6" s="1" t="s">
        <v>2626</v>
      </c>
      <c r="K6" s="1" t="s">
        <v>2627</v>
      </c>
    </row>
    <row r="7" spans="2:15" x14ac:dyDescent="0.4">
      <c r="B7" s="1" t="s">
        <v>123</v>
      </c>
      <c r="D7" s="1">
        <v>21364.58</v>
      </c>
      <c r="E7" s="1">
        <v>109594.63</v>
      </c>
      <c r="F7" s="1">
        <v>2176.08</v>
      </c>
      <c r="G7" s="1">
        <f>SUM(D7:F7)</f>
        <v>133135.29</v>
      </c>
      <c r="I7" s="8">
        <v>4786.13</v>
      </c>
      <c r="J7" s="8"/>
      <c r="K7" s="8">
        <v>6018.86</v>
      </c>
      <c r="O7" s="8">
        <f>I7+K7</f>
        <v>10804.99</v>
      </c>
    </row>
    <row r="8" spans="2:15" x14ac:dyDescent="0.4">
      <c r="B8" s="1" t="s">
        <v>124</v>
      </c>
      <c r="D8" s="1">
        <v>22644.91</v>
      </c>
      <c r="E8" s="1">
        <v>114880.76</v>
      </c>
      <c r="F8" s="1">
        <v>1618.23</v>
      </c>
      <c r="G8" s="1">
        <f t="shared" ref="G8:G18" si="0">SUM(D8:F8)</f>
        <v>139143.9</v>
      </c>
      <c r="I8" s="8">
        <v>4455.82</v>
      </c>
      <c r="J8" s="8"/>
      <c r="K8" s="8">
        <v>4799.03</v>
      </c>
      <c r="O8" s="8">
        <f t="shared" ref="O8:O18" si="1">I8+K8</f>
        <v>9254.8499999999985</v>
      </c>
    </row>
    <row r="9" spans="2:15" x14ac:dyDescent="0.4">
      <c r="B9" s="1" t="s">
        <v>125</v>
      </c>
      <c r="D9" s="1">
        <v>19689.28</v>
      </c>
      <c r="E9" s="1">
        <v>101697.68</v>
      </c>
      <c r="F9" s="1">
        <v>1400.41</v>
      </c>
      <c r="G9" s="1">
        <f t="shared" si="0"/>
        <v>122787.37</v>
      </c>
      <c r="I9" s="8">
        <v>3968.41</v>
      </c>
      <c r="J9" s="8"/>
      <c r="K9" s="8">
        <v>4322.76</v>
      </c>
      <c r="O9" s="8">
        <f t="shared" si="1"/>
        <v>8291.17</v>
      </c>
    </row>
    <row r="10" spans="2:15" x14ac:dyDescent="0.4">
      <c r="B10" s="1" t="s">
        <v>126</v>
      </c>
      <c r="D10" s="1">
        <v>19532.080000000002</v>
      </c>
      <c r="E10" s="1">
        <v>121839.87</v>
      </c>
      <c r="F10" s="1">
        <v>895.34</v>
      </c>
      <c r="G10" s="1">
        <f t="shared" si="0"/>
        <v>142267.29</v>
      </c>
      <c r="I10" s="8">
        <v>4086.8</v>
      </c>
      <c r="J10" s="8"/>
      <c r="K10" s="8">
        <v>3027.55</v>
      </c>
      <c r="O10" s="8">
        <f t="shared" si="1"/>
        <v>7114.35</v>
      </c>
    </row>
    <row r="11" spans="2:15" x14ac:dyDescent="0.4">
      <c r="B11" s="1" t="s">
        <v>9</v>
      </c>
      <c r="D11" s="1">
        <v>19032.66</v>
      </c>
      <c r="E11" s="1">
        <v>99174.22</v>
      </c>
      <c r="F11" s="1">
        <v>414.51</v>
      </c>
      <c r="G11" s="1">
        <f t="shared" si="0"/>
        <v>118621.39</v>
      </c>
      <c r="I11" s="8">
        <v>4237.0200000000004</v>
      </c>
      <c r="J11" s="8"/>
      <c r="K11" s="8">
        <v>3551.55</v>
      </c>
      <c r="O11" s="8">
        <f t="shared" si="1"/>
        <v>7788.5700000000006</v>
      </c>
    </row>
    <row r="12" spans="2:15" x14ac:dyDescent="0.4">
      <c r="B12" s="1" t="s">
        <v>10</v>
      </c>
      <c r="D12" s="1">
        <v>19174.95</v>
      </c>
      <c r="E12" s="1">
        <v>102297.56</v>
      </c>
      <c r="F12" s="1">
        <v>713.47</v>
      </c>
      <c r="G12" s="1">
        <f t="shared" si="0"/>
        <v>122185.98</v>
      </c>
      <c r="I12" s="8">
        <v>4418.37</v>
      </c>
      <c r="J12" s="8"/>
      <c r="K12" s="8">
        <v>3353.47</v>
      </c>
      <c r="O12" s="8">
        <f t="shared" si="1"/>
        <v>7771.84</v>
      </c>
    </row>
    <row r="13" spans="2:15" x14ac:dyDescent="0.4">
      <c r="B13" s="1" t="s">
        <v>11</v>
      </c>
      <c r="D13" s="1">
        <v>18533.38</v>
      </c>
      <c r="E13" s="1">
        <v>98735.01</v>
      </c>
      <c r="F13" s="1">
        <v>815.93</v>
      </c>
      <c r="G13" s="1">
        <f t="shared" si="0"/>
        <v>118084.31999999999</v>
      </c>
      <c r="I13" s="8">
        <v>4723.3</v>
      </c>
      <c r="J13" s="8"/>
      <c r="K13" s="8">
        <v>3690.53</v>
      </c>
      <c r="O13" s="8">
        <f t="shared" si="1"/>
        <v>8413.83</v>
      </c>
    </row>
    <row r="14" spans="2:15" x14ac:dyDescent="0.4">
      <c r="B14" s="1" t="s">
        <v>127</v>
      </c>
      <c r="D14" s="1">
        <v>18620.38</v>
      </c>
      <c r="E14" s="1">
        <v>102271.73</v>
      </c>
      <c r="F14" s="1">
        <v>725.83</v>
      </c>
      <c r="G14" s="1">
        <f t="shared" si="0"/>
        <v>121617.94</v>
      </c>
      <c r="I14" s="8">
        <v>4935.3100000000004</v>
      </c>
      <c r="J14" s="8"/>
      <c r="K14" s="8">
        <v>3580.82</v>
      </c>
      <c r="O14" s="8">
        <f t="shared" si="1"/>
        <v>8516.130000000001</v>
      </c>
    </row>
    <row r="15" spans="2:15" x14ac:dyDescent="0.4">
      <c r="B15" s="1" t="s">
        <v>128</v>
      </c>
      <c r="D15" s="1">
        <v>20159.53</v>
      </c>
      <c r="E15" s="1">
        <v>105616.51</v>
      </c>
      <c r="F15" s="1">
        <v>718.02</v>
      </c>
      <c r="G15" s="1">
        <f t="shared" si="0"/>
        <v>126494.06</v>
      </c>
      <c r="I15" s="8">
        <v>5029.22</v>
      </c>
      <c r="J15" s="8"/>
      <c r="K15" s="8">
        <v>2831.46</v>
      </c>
      <c r="O15" s="8">
        <f t="shared" si="1"/>
        <v>7860.68</v>
      </c>
    </row>
    <row r="16" spans="2:15" x14ac:dyDescent="0.4">
      <c r="B16" s="1" t="s">
        <v>129</v>
      </c>
      <c r="D16" s="1">
        <v>18967.54</v>
      </c>
      <c r="E16" s="1">
        <v>100299.21</v>
      </c>
      <c r="F16" s="1">
        <v>641.61</v>
      </c>
      <c r="G16" s="1">
        <f t="shared" si="0"/>
        <v>119908.36</v>
      </c>
      <c r="I16" s="8">
        <v>4608.9799999999996</v>
      </c>
      <c r="J16" s="8"/>
      <c r="K16" s="8">
        <v>2537.77</v>
      </c>
      <c r="O16" s="8">
        <f t="shared" si="1"/>
        <v>7146.75</v>
      </c>
    </row>
    <row r="17" spans="2:25" x14ac:dyDescent="0.4">
      <c r="B17" s="1" t="s">
        <v>130</v>
      </c>
      <c r="D17" s="1">
        <v>19497.62</v>
      </c>
      <c r="E17" s="1">
        <v>101254.88</v>
      </c>
      <c r="F17" s="1">
        <v>616.58000000000004</v>
      </c>
      <c r="G17" s="1">
        <f t="shared" si="0"/>
        <v>121369.08</v>
      </c>
      <c r="I17" s="8">
        <v>4464.51</v>
      </c>
      <c r="J17" s="8"/>
      <c r="K17" s="8">
        <v>2911.18</v>
      </c>
      <c r="O17" s="8">
        <f t="shared" si="1"/>
        <v>7375.6900000000005</v>
      </c>
    </row>
    <row r="18" spans="2:25" x14ac:dyDescent="0.4">
      <c r="B18" s="1" t="s">
        <v>131</v>
      </c>
      <c r="D18" s="1">
        <v>22974.79</v>
      </c>
      <c r="E18" s="1">
        <v>112847.91</v>
      </c>
      <c r="F18" s="1">
        <v>1571.48</v>
      </c>
      <c r="G18" s="1">
        <f t="shared" si="0"/>
        <v>137394.18000000002</v>
      </c>
      <c r="I18" s="8">
        <v>4642.25</v>
      </c>
      <c r="J18" s="8"/>
      <c r="K18" s="8">
        <v>3851.07</v>
      </c>
      <c r="O18" s="8">
        <f t="shared" si="1"/>
        <v>8493.32</v>
      </c>
    </row>
    <row r="19" spans="2:25" x14ac:dyDescent="0.4">
      <c r="I19" s="8"/>
      <c r="J19" s="8"/>
      <c r="K19" s="8"/>
    </row>
    <row r="20" spans="2:25" x14ac:dyDescent="0.4">
      <c r="D20" s="8">
        <f>SUM(D7:D19)</f>
        <v>240191.7</v>
      </c>
      <c r="E20" s="8">
        <f t="shared" ref="E20:G20" si="2">SUM(E7:E19)</f>
        <v>1270509.97</v>
      </c>
      <c r="F20" s="8">
        <f t="shared" si="2"/>
        <v>12307.490000000002</v>
      </c>
      <c r="G20" s="8">
        <f t="shared" si="2"/>
        <v>1523009.1600000001</v>
      </c>
      <c r="I20" s="8">
        <f>SUM(I7:I19)</f>
        <v>54356.12</v>
      </c>
      <c r="J20" s="8"/>
      <c r="K20" s="8">
        <f>SUM(K7:K19)</f>
        <v>44476.049999999996</v>
      </c>
      <c r="O20" s="8">
        <f>SUM(O7:O19)</f>
        <v>98832.170000000013</v>
      </c>
    </row>
    <row r="21" spans="2:25" x14ac:dyDescent="0.4">
      <c r="B21" s="1" t="s">
        <v>56</v>
      </c>
      <c r="D21" s="12">
        <f>D20/$G$20</f>
        <v>0.15770863781278899</v>
      </c>
      <c r="E21" s="12">
        <f t="shared" ref="E21:G21" si="3">E20/$G$20</f>
        <v>0.83421032740210166</v>
      </c>
      <c r="F21" s="12">
        <f t="shared" si="3"/>
        <v>8.0810347851092371E-3</v>
      </c>
      <c r="G21" s="12">
        <f t="shared" si="3"/>
        <v>1</v>
      </c>
    </row>
    <row r="22" spans="2:25" x14ac:dyDescent="0.4">
      <c r="B22" s="1" t="s">
        <v>552</v>
      </c>
      <c r="G22" s="8">
        <v>1515674</v>
      </c>
    </row>
    <row r="23" spans="2:25" x14ac:dyDescent="0.4">
      <c r="U23" s="73" t="s">
        <v>177</v>
      </c>
      <c r="V23" s="226"/>
      <c r="W23" s="73" t="s">
        <v>568</v>
      </c>
      <c r="X23" s="226"/>
      <c r="Y23" s="73" t="s">
        <v>182</v>
      </c>
    </row>
    <row r="24" spans="2:25" x14ac:dyDescent="0.4">
      <c r="B24" s="1" t="s">
        <v>553</v>
      </c>
      <c r="G24" s="1">
        <f>G20-G22</f>
        <v>7335.160000000149</v>
      </c>
    </row>
    <row r="25" spans="2:25" x14ac:dyDescent="0.4">
      <c r="B25" s="1" t="s">
        <v>554</v>
      </c>
      <c r="G25" s="5">
        <f>G24/G20</f>
        <v>4.8162284197950248E-3</v>
      </c>
      <c r="R25" s="1" t="s">
        <v>2632</v>
      </c>
      <c r="U25" s="9">
        <f>'Water Pro forma Rev Req'!F44</f>
        <v>98832</v>
      </c>
      <c r="W25" s="227">
        <f>-$T$35</f>
        <v>-0.13589999999999999</v>
      </c>
      <c r="Y25" s="9">
        <f>U25*W25</f>
        <v>-13431.2688</v>
      </c>
    </row>
    <row r="26" spans="2:25" x14ac:dyDescent="0.4">
      <c r="G26" s="5"/>
      <c r="R26" s="1" t="s">
        <v>2633</v>
      </c>
      <c r="U26" s="8">
        <f>'Water Pro forma Rev Req'!F45</f>
        <v>1165559</v>
      </c>
      <c r="W26" s="227">
        <f>-$T$35</f>
        <v>-0.13589999999999999</v>
      </c>
      <c r="Y26" s="9">
        <f>U26*W26</f>
        <v>-158399.4681</v>
      </c>
    </row>
    <row r="27" spans="2:25" x14ac:dyDescent="0.4">
      <c r="R27" s="1" t="s">
        <v>564</v>
      </c>
      <c r="U27" s="8">
        <f>'Water Pro forma Rev Req'!F46</f>
        <v>1080267</v>
      </c>
      <c r="W27" s="227">
        <f t="shared" ref="W27:W28" si="4">-$T$35</f>
        <v>-0.13589999999999999</v>
      </c>
      <c r="Y27" s="8">
        <f t="shared" ref="Y27:Y28" si="5">U27*W27</f>
        <v>-146808.28529999999</v>
      </c>
    </row>
    <row r="28" spans="2:25" x14ac:dyDescent="0.4">
      <c r="R28" s="1" t="s">
        <v>194</v>
      </c>
      <c r="U28" s="8">
        <f>'Water Pro forma Rev Req'!F47</f>
        <v>204263</v>
      </c>
      <c r="W28" s="227">
        <f t="shared" si="4"/>
        <v>-0.13589999999999999</v>
      </c>
      <c r="Y28" s="10">
        <f t="shared" si="5"/>
        <v>-27759.341699999997</v>
      </c>
    </row>
    <row r="29" spans="2:25" x14ac:dyDescent="0.4">
      <c r="Y29" s="8"/>
    </row>
    <row r="30" spans="2:25" ht="16.5" thickBot="1" x14ac:dyDescent="0.45">
      <c r="B30" s="435" t="s">
        <v>550</v>
      </c>
      <c r="C30" s="435"/>
      <c r="D30" s="435"/>
      <c r="E30" s="435"/>
      <c r="F30" s="435"/>
      <c r="G30" s="435"/>
      <c r="R30" s="1" t="s">
        <v>25</v>
      </c>
      <c r="Y30" s="31">
        <f>SUM(Y25:Y29)</f>
        <v>-346398.3639</v>
      </c>
    </row>
    <row r="31" spans="2:25" ht="16.5" thickTop="1" x14ac:dyDescent="0.4">
      <c r="D31" s="1" t="s">
        <v>49</v>
      </c>
      <c r="E31" s="1" t="s">
        <v>17</v>
      </c>
      <c r="F31" s="1" t="s">
        <v>509</v>
      </c>
      <c r="G31" s="226" t="s">
        <v>25</v>
      </c>
      <c r="Y31" s="8"/>
    </row>
    <row r="32" spans="2:25" x14ac:dyDescent="0.4">
      <c r="B32" s="1" t="s">
        <v>551</v>
      </c>
      <c r="D32" s="9">
        <f t="shared" ref="D32:E32" si="6">D21*$G$32</f>
        <v>239034.88190826113</v>
      </c>
      <c r="E32" s="9">
        <f t="shared" si="6"/>
        <v>1264390.9037748531</v>
      </c>
      <c r="F32" s="9">
        <f>F21*$G$32</f>
        <v>12248.214316885658</v>
      </c>
      <c r="G32" s="1">
        <v>1515674</v>
      </c>
      <c r="R32" s="1" t="s">
        <v>565</v>
      </c>
      <c r="T32" s="5">
        <v>0.28589999999999999</v>
      </c>
    </row>
    <row r="33" spans="2:20" x14ac:dyDescent="0.4">
      <c r="R33" s="1" t="s">
        <v>566</v>
      </c>
      <c r="T33" s="5">
        <v>-0.15</v>
      </c>
    </row>
    <row r="34" spans="2:20" x14ac:dyDescent="0.4">
      <c r="T34" s="5"/>
    </row>
    <row r="35" spans="2:20" x14ac:dyDescent="0.4">
      <c r="B35" s="1" t="s">
        <v>2622</v>
      </c>
      <c r="R35" s="1" t="s">
        <v>567</v>
      </c>
      <c r="T35" s="5">
        <f>T32+T33</f>
        <v>0.13589999999999999</v>
      </c>
    </row>
    <row r="36" spans="2:20" x14ac:dyDescent="0.4">
      <c r="C36" s="1" t="s">
        <v>2623</v>
      </c>
      <c r="E36" s="1" t="s">
        <v>2624</v>
      </c>
      <c r="K36" s="226" t="s">
        <v>558</v>
      </c>
      <c r="L36" s="226"/>
      <c r="O36" s="226" t="s">
        <v>560</v>
      </c>
    </row>
    <row r="37" spans="2:20" x14ac:dyDescent="0.4">
      <c r="K37" s="73" t="s">
        <v>559</v>
      </c>
      <c r="L37" s="226"/>
      <c r="M37" s="73" t="s">
        <v>537</v>
      </c>
      <c r="N37" s="226"/>
      <c r="O37" s="73" t="s">
        <v>561</v>
      </c>
    </row>
    <row r="38" spans="2:20" x14ac:dyDescent="0.4">
      <c r="B38" s="1" t="s">
        <v>514</v>
      </c>
      <c r="D38" s="9">
        <f>O20</f>
        <v>98832.170000000013</v>
      </c>
      <c r="K38" s="226"/>
      <c r="L38" s="226"/>
      <c r="O38" s="226"/>
    </row>
    <row r="39" spans="2:20" x14ac:dyDescent="0.4">
      <c r="B39" s="1" t="s">
        <v>2629</v>
      </c>
      <c r="D39" s="8">
        <f>E32-D38</f>
        <v>1165558.7337748532</v>
      </c>
      <c r="J39" s="1" t="s">
        <v>17</v>
      </c>
      <c r="K39" s="8">
        <f>'Wages, Bene Pro forma, Temp Emp'!U229</f>
        <v>16680</v>
      </c>
      <c r="L39" s="8"/>
      <c r="M39" s="5">
        <f>K39/K42</f>
        <v>0.88067581837381204</v>
      </c>
      <c r="N39" s="5"/>
      <c r="O39" s="9">
        <f>$O$42*M39</f>
        <v>10786.706167141117</v>
      </c>
    </row>
    <row r="40" spans="2:20" x14ac:dyDescent="0.4">
      <c r="B40" s="1" t="s">
        <v>2630</v>
      </c>
      <c r="D40" s="8">
        <f>D32</f>
        <v>239034.88190826113</v>
      </c>
      <c r="J40" s="1" t="s">
        <v>49</v>
      </c>
      <c r="K40" s="10">
        <f>'Wages, Bene Pro forma, Temp Emp'!U230</f>
        <v>2260</v>
      </c>
      <c r="L40" s="8"/>
      <c r="M40" s="112">
        <f>K40/K42</f>
        <v>0.11932418162618796</v>
      </c>
      <c r="N40" s="5"/>
      <c r="O40" s="10">
        <f>$O$42*M40</f>
        <v>1461.5081497445401</v>
      </c>
    </row>
    <row r="41" spans="2:20" x14ac:dyDescent="0.4">
      <c r="B41" s="1" t="s">
        <v>2733</v>
      </c>
      <c r="D41" s="10">
        <f>F32</f>
        <v>12248.214316885658</v>
      </c>
      <c r="K41" s="8"/>
      <c r="L41" s="8"/>
      <c r="O41" s="9"/>
    </row>
    <row r="42" spans="2:20" ht="16.5" thickBot="1" x14ac:dyDescent="0.45">
      <c r="J42" s="1" t="s">
        <v>25</v>
      </c>
      <c r="K42" s="11">
        <f>SUM(K39:K41)</f>
        <v>18940</v>
      </c>
      <c r="L42" s="8"/>
      <c r="M42" s="228">
        <f>SUM(M39:M41)</f>
        <v>1</v>
      </c>
      <c r="O42" s="31">
        <f>F32</f>
        <v>12248.214316885658</v>
      </c>
    </row>
    <row r="43" spans="2:20" ht="17" thickTop="1" thickBot="1" x14ac:dyDescent="0.45">
      <c r="B43" s="1" t="s">
        <v>2631</v>
      </c>
      <c r="D43" s="31">
        <f>SUM(D38:D42)</f>
        <v>1515674</v>
      </c>
    </row>
    <row r="44" spans="2:20" ht="16.5" thickTop="1" x14ac:dyDescent="0.4"/>
  </sheetData>
  <mergeCells count="3">
    <mergeCell ref="B30:G30"/>
    <mergeCell ref="D3:M3"/>
    <mergeCell ref="I4:O4"/>
  </mergeCells>
  <phoneticPr fontId="4"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23C8B-4E79-4BAF-96BB-5154B0D4103C}">
  <dimension ref="A4:V47"/>
  <sheetViews>
    <sheetView workbookViewId="0"/>
  </sheetViews>
  <sheetFormatPr defaultColWidth="8.83203125" defaultRowHeight="16" x14ac:dyDescent="0.4"/>
  <cols>
    <col min="1" max="3" width="8.83203125" style="8"/>
    <col min="4" max="4" width="12.58203125" style="8" bestFit="1" customWidth="1"/>
    <col min="5" max="5" width="8.83203125" style="8"/>
    <col min="6" max="6" width="15.08203125" style="8" customWidth="1"/>
    <col min="7" max="7" width="10.08203125" style="8" bestFit="1" customWidth="1"/>
    <col min="8" max="11" width="8.83203125" style="8"/>
    <col min="12" max="12" width="15.08203125" style="8" bestFit="1" customWidth="1"/>
    <col min="13" max="19" width="8.83203125" style="8"/>
    <col min="20" max="20" width="10.08203125" style="8" bestFit="1" customWidth="1"/>
    <col min="21" max="16384" width="8.83203125" style="8"/>
  </cols>
  <sheetData>
    <row r="4" spans="1:22" x14ac:dyDescent="0.4">
      <c r="A4" s="8" t="s">
        <v>17</v>
      </c>
      <c r="E4" s="8" t="s">
        <v>574</v>
      </c>
      <c r="G4" s="8" t="s">
        <v>179</v>
      </c>
      <c r="H4" s="23" t="s">
        <v>462</v>
      </c>
      <c r="I4" s="23"/>
      <c r="J4" s="23"/>
      <c r="K4" s="23"/>
      <c r="L4" s="23" t="s">
        <v>464</v>
      </c>
      <c r="M4" s="23"/>
      <c r="N4" s="23"/>
      <c r="O4" s="23"/>
      <c r="P4" s="23" t="s">
        <v>461</v>
      </c>
      <c r="Q4" s="23"/>
      <c r="R4" s="23"/>
    </row>
    <row r="5" spans="1:22" x14ac:dyDescent="0.4">
      <c r="E5" s="8" t="s">
        <v>575</v>
      </c>
      <c r="H5" s="23" t="s">
        <v>463</v>
      </c>
      <c r="I5" s="23"/>
      <c r="J5" s="23" t="s">
        <v>459</v>
      </c>
      <c r="K5" s="23"/>
      <c r="L5" s="23" t="s">
        <v>465</v>
      </c>
      <c r="M5" s="23"/>
      <c r="N5" s="23" t="s">
        <v>460</v>
      </c>
      <c r="O5" s="23"/>
      <c r="P5" s="23" t="s">
        <v>466</v>
      </c>
      <c r="Q5" s="23"/>
      <c r="R5" s="23" t="s">
        <v>467</v>
      </c>
      <c r="T5" s="8" t="s">
        <v>25</v>
      </c>
    </row>
    <row r="6" spans="1:22" x14ac:dyDescent="0.4">
      <c r="A6" s="8" t="s">
        <v>499</v>
      </c>
      <c r="D6" s="8">
        <v>39272</v>
      </c>
      <c r="E6" s="8" t="s">
        <v>573</v>
      </c>
      <c r="G6" s="8">
        <f>D6</f>
        <v>39272</v>
      </c>
      <c r="J6" s="8">
        <f>$D$6*A29</f>
        <v>5454.4444444444443</v>
      </c>
      <c r="L6" s="8">
        <f>$D$6*C29</f>
        <v>26181.333333333332</v>
      </c>
      <c r="N6" s="8">
        <f>$D$6*E29</f>
        <v>7636.2222222222226</v>
      </c>
      <c r="T6" s="8">
        <f>SUM(H6:R6)</f>
        <v>39272</v>
      </c>
    </row>
    <row r="7" spans="1:22" x14ac:dyDescent="0.4">
      <c r="A7" s="8" t="s">
        <v>500</v>
      </c>
      <c r="D7" s="8">
        <v>14480</v>
      </c>
      <c r="E7" s="8" t="s">
        <v>573</v>
      </c>
      <c r="G7" s="8">
        <f t="shared" ref="G7:G14" si="0">D7</f>
        <v>14480</v>
      </c>
      <c r="J7" s="8">
        <f>$D$7*A29</f>
        <v>2011.1111111111113</v>
      </c>
      <c r="L7" s="8">
        <f>$D$7*C29</f>
        <v>9653.3333333333321</v>
      </c>
      <c r="N7" s="8">
        <f>$D$7*E29</f>
        <v>2815.5555555555557</v>
      </c>
      <c r="T7" s="8">
        <f t="shared" ref="T7:T18" si="1">SUM(H7:R7)</f>
        <v>14480</v>
      </c>
    </row>
    <row r="8" spans="1:22" x14ac:dyDescent="0.4">
      <c r="A8" s="8" t="s">
        <v>501</v>
      </c>
      <c r="D8" s="8">
        <v>15539</v>
      </c>
      <c r="G8" s="8">
        <f t="shared" si="0"/>
        <v>15539</v>
      </c>
      <c r="J8" s="8">
        <f>D8</f>
        <v>15539</v>
      </c>
      <c r="T8" s="8">
        <f t="shared" si="1"/>
        <v>15539</v>
      </c>
    </row>
    <row r="9" spans="1:22" x14ac:dyDescent="0.4">
      <c r="A9" s="8" t="s">
        <v>502</v>
      </c>
      <c r="D9" s="8">
        <v>17040</v>
      </c>
      <c r="E9" s="8" t="s">
        <v>573</v>
      </c>
      <c r="G9" s="8">
        <f t="shared" si="0"/>
        <v>17040</v>
      </c>
      <c r="J9" s="8">
        <f>$D$9*A29</f>
        <v>2366.666666666667</v>
      </c>
      <c r="L9" s="8">
        <f>$D$9*C29</f>
        <v>11360</v>
      </c>
      <c r="N9" s="8">
        <f>$D$9*E29</f>
        <v>3313.3333333333335</v>
      </c>
      <c r="T9" s="8">
        <f t="shared" si="1"/>
        <v>17040</v>
      </c>
      <c r="V9" s="8" t="s">
        <v>570</v>
      </c>
    </row>
    <row r="10" spans="1:22" x14ac:dyDescent="0.4">
      <c r="A10" s="8" t="s">
        <v>503</v>
      </c>
      <c r="D10" s="8">
        <v>396</v>
      </c>
      <c r="E10" s="8" t="str">
        <f>E9</f>
        <v>No. Employees</v>
      </c>
      <c r="G10" s="8">
        <f t="shared" si="0"/>
        <v>396</v>
      </c>
      <c r="J10" s="8">
        <f>$D$10*A29</f>
        <v>55</v>
      </c>
      <c r="L10" s="8">
        <f>$D$10*C29</f>
        <v>264</v>
      </c>
      <c r="N10" s="8">
        <f>$D$10*E29</f>
        <v>77</v>
      </c>
      <c r="T10" s="8">
        <f t="shared" si="1"/>
        <v>396</v>
      </c>
    </row>
    <row r="11" spans="1:22" x14ac:dyDescent="0.4">
      <c r="A11" s="8" t="s">
        <v>504</v>
      </c>
      <c r="D11" s="8">
        <v>32786</v>
      </c>
      <c r="E11" s="8" t="s">
        <v>2737</v>
      </c>
      <c r="G11" s="8">
        <f t="shared" si="0"/>
        <v>32786</v>
      </c>
      <c r="J11" s="8">
        <f>D11*0.1</f>
        <v>3278.6000000000004</v>
      </c>
      <c r="L11" s="8">
        <f>D11-J11-N11</f>
        <v>26228.800000000003</v>
      </c>
      <c r="N11" s="8">
        <f>J11</f>
        <v>3278.6000000000004</v>
      </c>
      <c r="T11" s="8">
        <f t="shared" si="1"/>
        <v>32786</v>
      </c>
    </row>
    <row r="12" spans="1:22" x14ac:dyDescent="0.4">
      <c r="A12" s="8" t="s">
        <v>505</v>
      </c>
      <c r="D12" s="8">
        <v>20846</v>
      </c>
      <c r="E12" s="8" t="s">
        <v>2737</v>
      </c>
      <c r="G12" s="8">
        <f t="shared" si="0"/>
        <v>20846</v>
      </c>
      <c r="J12" s="8">
        <f>D12*0.1</f>
        <v>2084.6</v>
      </c>
      <c r="L12" s="8">
        <f>D12-J12-N12</f>
        <v>16676.800000000003</v>
      </c>
      <c r="N12" s="8">
        <f>J12</f>
        <v>2084.6</v>
      </c>
      <c r="T12" s="8">
        <f t="shared" si="1"/>
        <v>20846</v>
      </c>
    </row>
    <row r="13" spans="1:22" x14ac:dyDescent="0.4">
      <c r="A13" s="8" t="s">
        <v>506</v>
      </c>
      <c r="D13" s="8">
        <v>57263</v>
      </c>
      <c r="G13" s="8">
        <f t="shared" si="0"/>
        <v>57263</v>
      </c>
      <c r="L13" s="8">
        <f>D13</f>
        <v>57263</v>
      </c>
      <c r="T13" s="8">
        <f t="shared" si="1"/>
        <v>57263</v>
      </c>
    </row>
    <row r="14" spans="1:22" x14ac:dyDescent="0.4">
      <c r="A14" s="8" t="s">
        <v>445</v>
      </c>
      <c r="D14" s="8">
        <v>89285</v>
      </c>
      <c r="E14" s="8" t="s">
        <v>571</v>
      </c>
      <c r="G14" s="8">
        <f t="shared" si="0"/>
        <v>89285</v>
      </c>
      <c r="J14" s="8">
        <f>D14*A43</f>
        <v>3740.8006445839392</v>
      </c>
      <c r="L14" s="8">
        <f>D14*B43</f>
        <v>62744.540613994708</v>
      </c>
      <c r="N14" s="8">
        <f>D14*C43</f>
        <v>22799.65874142135</v>
      </c>
      <c r="T14" s="8">
        <f t="shared" si="1"/>
        <v>89285</v>
      </c>
    </row>
    <row r="15" spans="1:22" x14ac:dyDescent="0.4">
      <c r="F15" s="8" t="s">
        <v>2789</v>
      </c>
      <c r="T15" s="8">
        <f t="shared" si="1"/>
        <v>0</v>
      </c>
    </row>
    <row r="16" spans="1:22" x14ac:dyDescent="0.4">
      <c r="A16" s="8" t="s">
        <v>508</v>
      </c>
      <c r="D16" s="8">
        <v>855400</v>
      </c>
      <c r="F16" s="8">
        <f>'New Connections Wage Cap Rate'!G27</f>
        <v>41447.83</v>
      </c>
      <c r="G16" s="8">
        <f>D16+F16</f>
        <v>896847.83</v>
      </c>
      <c r="J16" s="8">
        <f>G16*0.1</f>
        <v>89684.782999999996</v>
      </c>
      <c r="L16" s="8">
        <f>G16-J16-N16</f>
        <v>717478.26399999997</v>
      </c>
      <c r="N16" s="8">
        <f>J16</f>
        <v>89684.782999999996</v>
      </c>
      <c r="T16" s="8">
        <f t="shared" si="1"/>
        <v>896847.83000000007</v>
      </c>
    </row>
    <row r="17" spans="1:20" x14ac:dyDescent="0.4">
      <c r="T17" s="8">
        <f t="shared" si="1"/>
        <v>0</v>
      </c>
    </row>
    <row r="18" spans="1:20" x14ac:dyDescent="0.4">
      <c r="A18" s="8" t="s">
        <v>507</v>
      </c>
      <c r="D18" s="8">
        <v>4004</v>
      </c>
      <c r="G18" s="8">
        <f>D18</f>
        <v>4004</v>
      </c>
      <c r="L18" s="8">
        <f>D18</f>
        <v>4004</v>
      </c>
      <c r="T18" s="8">
        <f t="shared" si="1"/>
        <v>4004</v>
      </c>
    </row>
    <row r="20" spans="1:20" x14ac:dyDescent="0.4">
      <c r="A20" s="8" t="s">
        <v>25</v>
      </c>
      <c r="D20" s="8">
        <f>SUM(D6:D19)</f>
        <v>1146311</v>
      </c>
      <c r="F20" s="8">
        <f>SUM(F6:F19)</f>
        <v>41447.83</v>
      </c>
      <c r="G20" s="8">
        <f>SUM(G6:G19)</f>
        <v>1187758.83</v>
      </c>
      <c r="J20" s="8">
        <f>SUM(J6:J19)</f>
        <v>124215.00586680617</v>
      </c>
      <c r="L20" s="8">
        <f>SUM(L6:L19)</f>
        <v>931854.07128066127</v>
      </c>
      <c r="N20" s="8">
        <f>SUM(N6:N19)</f>
        <v>131689.75285253246</v>
      </c>
      <c r="T20" s="8">
        <f>SUM(T6:T19)</f>
        <v>1187758.83</v>
      </c>
    </row>
    <row r="21" spans="1:20" x14ac:dyDescent="0.4">
      <c r="G21" s="8">
        <f>SUM(D20:F20)</f>
        <v>1187758.83</v>
      </c>
    </row>
    <row r="26" spans="1:20" x14ac:dyDescent="0.4">
      <c r="A26" s="419" t="s">
        <v>569</v>
      </c>
      <c r="B26" s="419"/>
      <c r="C26" s="419"/>
      <c r="D26" s="419"/>
      <c r="E26" s="419"/>
      <c r="F26" s="419"/>
    </row>
    <row r="27" spans="1:20" x14ac:dyDescent="0.4">
      <c r="F27" s="8" t="s">
        <v>25</v>
      </c>
    </row>
    <row r="28" spans="1:20" x14ac:dyDescent="0.4">
      <c r="A28" s="8">
        <v>5</v>
      </c>
      <c r="C28" s="8">
        <v>24</v>
      </c>
      <c r="E28" s="8">
        <v>7</v>
      </c>
      <c r="F28" s="8">
        <f>SUM(A28:E28)</f>
        <v>36</v>
      </c>
    </row>
    <row r="29" spans="1:20" x14ac:dyDescent="0.4">
      <c r="A29" s="5">
        <f>A28/$F$28</f>
        <v>0.1388888888888889</v>
      </c>
      <c r="B29" s="5"/>
      <c r="C29" s="5">
        <f>C28/$F$28</f>
        <v>0.66666666666666663</v>
      </c>
      <c r="D29" s="5"/>
      <c r="E29" s="5">
        <f>E28/$F$28</f>
        <v>0.19444444444444445</v>
      </c>
      <c r="F29" s="5">
        <f>F28/$F$28</f>
        <v>1</v>
      </c>
    </row>
    <row r="32" spans="1:20" x14ac:dyDescent="0.4">
      <c r="A32" s="8" t="s">
        <v>572</v>
      </c>
    </row>
    <row r="33" spans="1:11" x14ac:dyDescent="0.4">
      <c r="A33" s="8" t="s">
        <v>571</v>
      </c>
    </row>
    <row r="34" spans="1:11" x14ac:dyDescent="0.4">
      <c r="K34" s="338"/>
    </row>
    <row r="35" spans="1:11" x14ac:dyDescent="0.4">
      <c r="A35" s="8" t="s">
        <v>571</v>
      </c>
    </row>
    <row r="36" spans="1:11" x14ac:dyDescent="0.4">
      <c r="A36" s="8" t="s">
        <v>459</v>
      </c>
      <c r="B36" s="8" t="s">
        <v>574</v>
      </c>
      <c r="C36" s="8" t="s">
        <v>460</v>
      </c>
    </row>
    <row r="37" spans="1:11" x14ac:dyDescent="0.4">
      <c r="A37" s="8">
        <v>11813</v>
      </c>
      <c r="B37" s="8">
        <v>304387</v>
      </c>
      <c r="C37" s="8">
        <v>160331</v>
      </c>
    </row>
    <row r="38" spans="1:11" x14ac:dyDescent="0.4">
      <c r="A38" s="8">
        <v>14492.933564573939</v>
      </c>
      <c r="B38" s="8">
        <v>69199</v>
      </c>
    </row>
    <row r="39" spans="1:11" x14ac:dyDescent="0.4">
      <c r="B39" s="8">
        <v>29209</v>
      </c>
    </row>
    <row r="40" spans="1:11" x14ac:dyDescent="0.4">
      <c r="B40" s="8">
        <v>38435.066435426059</v>
      </c>
    </row>
    <row r="42" spans="1:11" x14ac:dyDescent="0.4">
      <c r="A42" s="8">
        <v>26305.933564573941</v>
      </c>
      <c r="B42" s="8">
        <v>441230.06643542607</v>
      </c>
      <c r="C42" s="8">
        <v>160331</v>
      </c>
      <c r="D42" s="8">
        <v>627867</v>
      </c>
    </row>
    <row r="43" spans="1:11" x14ac:dyDescent="0.4">
      <c r="A43" s="5">
        <v>4.1897302397759302E-2</v>
      </c>
      <c r="B43" s="5">
        <v>0.70274447683255536</v>
      </c>
      <c r="C43" s="5">
        <v>0.25535822076968528</v>
      </c>
    </row>
    <row r="45" spans="1:11" x14ac:dyDescent="0.4">
      <c r="A45" s="338"/>
    </row>
    <row r="47" spans="1:11" x14ac:dyDescent="0.4">
      <c r="A47" s="339" t="s">
        <v>3304</v>
      </c>
    </row>
  </sheetData>
  <mergeCells count="1">
    <mergeCell ref="A26:F2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277B-5304-4C74-8268-38E0D7C97E6C}">
  <dimension ref="A1:AR1175"/>
  <sheetViews>
    <sheetView topLeftCell="A177" workbookViewId="0">
      <selection activeCell="L16" sqref="L16"/>
    </sheetView>
  </sheetViews>
  <sheetFormatPr defaultRowHeight="16" x14ac:dyDescent="0.4"/>
  <cols>
    <col min="3" max="3" width="12.4140625" bestFit="1" customWidth="1"/>
    <col min="4" max="4" width="18.5" customWidth="1"/>
    <col min="5" max="5" width="0.9140625" customWidth="1"/>
    <col min="6" max="6" width="12.08203125" bestFit="1" customWidth="1"/>
    <col min="7" max="7" width="0.9140625" customWidth="1"/>
    <col min="8" max="8" width="11.08203125" bestFit="1" customWidth="1"/>
    <col min="9" max="9" width="0.9140625" customWidth="1"/>
    <col min="10" max="10" width="14.4140625" bestFit="1" customWidth="1"/>
    <col min="11" max="11" width="0.9140625" customWidth="1"/>
    <col min="12" max="12" width="13.4140625" customWidth="1"/>
    <col min="13" max="13" width="15.58203125" bestFit="1" customWidth="1"/>
    <col min="14" max="14" width="23.1640625" customWidth="1"/>
    <col min="15" max="15" width="13.6640625" bestFit="1" customWidth="1"/>
    <col min="16" max="17" width="15.58203125" bestFit="1" customWidth="1"/>
    <col min="18" max="18" width="18.08203125" bestFit="1" customWidth="1"/>
    <col min="19" max="19" width="23" bestFit="1" customWidth="1"/>
    <col min="21" max="21" width="11.1640625" customWidth="1"/>
    <col min="22" max="22" width="0.9140625" customWidth="1"/>
    <col min="23" max="23" width="12.58203125" bestFit="1" customWidth="1"/>
    <col min="24" max="24" width="0.9140625" customWidth="1"/>
    <col min="25" max="25" width="12.58203125" bestFit="1" customWidth="1"/>
    <col min="26" max="26" width="0.9140625" customWidth="1"/>
    <col min="27" max="27" width="10.1640625" bestFit="1" customWidth="1"/>
    <col min="28" max="28" width="0.9140625" customWidth="1"/>
    <col min="29" max="29" width="10.1640625" bestFit="1" customWidth="1"/>
    <col min="30" max="30" width="12.58203125" bestFit="1" customWidth="1"/>
    <col min="32" max="32" width="11.58203125" bestFit="1" customWidth="1"/>
    <col min="34" max="34" width="16" bestFit="1" customWidth="1"/>
    <col min="35" max="35" width="9.1640625" bestFit="1" customWidth="1"/>
    <col min="39" max="39" width="11.6640625" customWidth="1"/>
    <col min="41" max="41" width="9.1640625" bestFit="1" customWidth="1"/>
  </cols>
  <sheetData>
    <row r="1" spans="1:44" x14ac:dyDescent="0.4">
      <c r="D1" s="400" t="s">
        <v>2607</v>
      </c>
      <c r="E1" s="400"/>
      <c r="F1" s="400"/>
      <c r="G1" s="2"/>
      <c r="H1" s="400" t="s">
        <v>202</v>
      </c>
      <c r="I1" s="400"/>
      <c r="J1" s="400"/>
      <c r="K1" s="400"/>
      <c r="L1" s="400"/>
      <c r="U1" s="400" t="s">
        <v>2728</v>
      </c>
      <c r="V1" s="400"/>
      <c r="W1" s="400"/>
      <c r="X1" s="400"/>
      <c r="Y1" s="400"/>
      <c r="Z1" s="400"/>
      <c r="AA1" s="400"/>
      <c r="AB1" s="400"/>
      <c r="AC1" s="400"/>
      <c r="AI1" s="400" t="s">
        <v>571</v>
      </c>
      <c r="AJ1" s="400"/>
      <c r="AK1" s="400"/>
      <c r="AL1" s="400"/>
      <c r="AM1" s="400"/>
      <c r="AN1" s="400"/>
      <c r="AO1" s="400"/>
      <c r="AP1" s="400"/>
      <c r="AQ1" s="400"/>
      <c r="AR1" s="400"/>
    </row>
    <row r="2" spans="1:44" x14ac:dyDescent="0.4">
      <c r="D2" s="109" t="s">
        <v>2608</v>
      </c>
      <c r="F2" s="109" t="s">
        <v>3303</v>
      </c>
      <c r="H2" s="109" t="s">
        <v>177</v>
      </c>
      <c r="J2" s="109" t="s">
        <v>32</v>
      </c>
      <c r="L2" s="109" t="s">
        <v>623</v>
      </c>
      <c r="U2" s="101"/>
      <c r="V2" s="101"/>
      <c r="W2" s="101" t="s">
        <v>464</v>
      </c>
      <c r="X2" s="101"/>
      <c r="Y2" s="101"/>
      <c r="Z2" s="101"/>
      <c r="AA2" s="101" t="s">
        <v>461</v>
      </c>
      <c r="AB2" s="101"/>
      <c r="AC2" s="26"/>
      <c r="AK2" s="400" t="s">
        <v>17</v>
      </c>
      <c r="AL2" s="400"/>
      <c r="AM2" s="400"/>
      <c r="AN2" s="400"/>
      <c r="AO2" s="400"/>
      <c r="AP2" s="400"/>
      <c r="AQ2" s="400"/>
      <c r="AR2" s="2"/>
    </row>
    <row r="3" spans="1:44" ht="17.5" x14ac:dyDescent="0.55000000000000004">
      <c r="D3" s="2"/>
      <c r="F3" s="2"/>
      <c r="H3" s="2"/>
      <c r="J3" s="2"/>
      <c r="L3" s="2"/>
      <c r="U3" s="286" t="s">
        <v>459</v>
      </c>
      <c r="V3" s="269"/>
      <c r="W3" s="286" t="s">
        <v>465</v>
      </c>
      <c r="X3" s="285"/>
      <c r="Y3" s="286" t="s">
        <v>460</v>
      </c>
      <c r="Z3" s="285"/>
      <c r="AA3" s="286" t="s">
        <v>466</v>
      </c>
      <c r="AB3" s="285"/>
      <c r="AC3" s="286" t="s">
        <v>2826</v>
      </c>
      <c r="AM3" s="2" t="s">
        <v>464</v>
      </c>
      <c r="AN3" s="2"/>
      <c r="AO3" s="2"/>
      <c r="AP3" s="2"/>
      <c r="AQ3" s="2"/>
      <c r="AR3" s="2"/>
    </row>
    <row r="4" spans="1:44" x14ac:dyDescent="0.4">
      <c r="A4" t="s">
        <v>2587</v>
      </c>
      <c r="D4" s="2" t="s">
        <v>2606</v>
      </c>
      <c r="E4" s="2"/>
      <c r="F4" s="2" t="s">
        <v>2606</v>
      </c>
      <c r="G4" s="2"/>
      <c r="H4" s="9">
        <v>9362.98</v>
      </c>
      <c r="I4" s="9"/>
      <c r="J4" s="9"/>
      <c r="K4" s="9"/>
      <c r="L4" s="9">
        <f>H4</f>
        <v>9362.98</v>
      </c>
      <c r="AC4" s="8">
        <f>L4</f>
        <v>9362.98</v>
      </c>
      <c r="AD4" s="24">
        <f t="shared" ref="AD4:AD11" si="0">SUM(U4:AC4)</f>
        <v>9362.98</v>
      </c>
      <c r="AI4" s="21" t="s">
        <v>25</v>
      </c>
      <c r="AK4" s="21" t="s">
        <v>459</v>
      </c>
      <c r="AL4" s="2"/>
      <c r="AM4" s="21" t="s">
        <v>2825</v>
      </c>
      <c r="AN4" s="2"/>
      <c r="AO4" s="21" t="s">
        <v>460</v>
      </c>
      <c r="AP4" s="2"/>
      <c r="AQ4" s="21" t="s">
        <v>2826</v>
      </c>
      <c r="AR4" s="2"/>
    </row>
    <row r="5" spans="1:44" x14ac:dyDescent="0.4">
      <c r="A5" t="s">
        <v>1282</v>
      </c>
      <c r="D5" s="2" t="s">
        <v>2603</v>
      </c>
      <c r="E5" s="2"/>
      <c r="F5" s="2">
        <v>20</v>
      </c>
      <c r="G5" s="2"/>
      <c r="H5" s="8">
        <v>114507.85</v>
      </c>
      <c r="I5" s="8"/>
      <c r="J5" s="9">
        <f>L5-H5</f>
        <v>112257.59999999998</v>
      </c>
      <c r="K5" s="9"/>
      <c r="L5" s="8">
        <f>N92</f>
        <v>226765.44999999998</v>
      </c>
      <c r="N5" t="s">
        <v>2612</v>
      </c>
      <c r="Q5" s="9">
        <f>J439</f>
        <v>71084203.279999942</v>
      </c>
      <c r="R5">
        <v>62.5</v>
      </c>
      <c r="S5" s="35">
        <f>Q5/R5</f>
        <v>1137347.2524799991</v>
      </c>
      <c r="W5" s="24">
        <f>L5</f>
        <v>226765.44999999998</v>
      </c>
      <c r="AD5" s="24">
        <f t="shared" si="0"/>
        <v>226765.44999999998</v>
      </c>
      <c r="AH5" s="270" t="s">
        <v>2820</v>
      </c>
    </row>
    <row r="6" spans="1:44" x14ac:dyDescent="0.4">
      <c r="A6" t="s">
        <v>2599</v>
      </c>
      <c r="D6" s="2" t="s">
        <v>2603</v>
      </c>
      <c r="E6" s="2"/>
      <c r="F6" s="2" t="s">
        <v>2603</v>
      </c>
      <c r="G6" s="2"/>
      <c r="H6" s="8">
        <v>265505</v>
      </c>
      <c r="I6" s="8"/>
      <c r="J6" s="8">
        <f>(1763.17+1970.3+1048.88+2316.09+1373.71+306.26+270.35+555.55+1100)*-1</f>
        <v>-10704.310000000001</v>
      </c>
      <c r="K6" s="8"/>
      <c r="L6" s="8">
        <f>H6+J6</f>
        <v>254800.69</v>
      </c>
      <c r="N6" t="s">
        <v>2613</v>
      </c>
      <c r="Q6" s="10">
        <v>50</v>
      </c>
      <c r="U6" s="24">
        <f>L6</f>
        <v>254800.69</v>
      </c>
      <c r="AD6" s="24">
        <f t="shared" si="0"/>
        <v>254800.69</v>
      </c>
      <c r="AH6" t="s">
        <v>459</v>
      </c>
      <c r="AI6" s="8">
        <f>SUM(AJ6:AQ6)</f>
        <v>11813</v>
      </c>
      <c r="AJ6" s="8"/>
      <c r="AK6" s="8">
        <f>Transportaion!O11</f>
        <v>11813</v>
      </c>
      <c r="AL6" s="8"/>
      <c r="AM6" s="8">
        <f>Transportaion!Q11</f>
        <v>0</v>
      </c>
      <c r="AN6" s="8"/>
      <c r="AO6" s="8">
        <f>Transportaion!S11</f>
        <v>0</v>
      </c>
      <c r="AP6" s="8"/>
      <c r="AQ6" s="8">
        <f>Transportaion!U11</f>
        <v>0</v>
      </c>
      <c r="AR6" s="8"/>
    </row>
    <row r="7" spans="1:44" x14ac:dyDescent="0.4">
      <c r="A7" t="s">
        <v>2588</v>
      </c>
      <c r="D7" s="2" t="s">
        <v>2604</v>
      </c>
      <c r="E7" s="2"/>
      <c r="F7" s="2" t="s">
        <v>2605</v>
      </c>
      <c r="G7" s="2"/>
      <c r="H7" s="8">
        <v>283337</v>
      </c>
      <c r="I7" s="8"/>
      <c r="J7" s="8">
        <f>L7-H7</f>
        <v>-13809.207166666631</v>
      </c>
      <c r="K7" s="8"/>
      <c r="L7" s="8">
        <f>N173</f>
        <v>269527.79283333337</v>
      </c>
      <c r="W7" s="24">
        <f>L7</f>
        <v>269527.79283333337</v>
      </c>
      <c r="AD7" s="24">
        <f t="shared" si="0"/>
        <v>269527.79283333337</v>
      </c>
      <c r="AH7" t="s">
        <v>574</v>
      </c>
      <c r="AI7" s="8">
        <f t="shared" ref="AI7:AI10" si="1">SUM(AJ7:AQ7)</f>
        <v>304387</v>
      </c>
      <c r="AJ7" s="8"/>
      <c r="AK7" s="8">
        <f>Transportaion!O12</f>
        <v>0</v>
      </c>
      <c r="AL7" s="8"/>
      <c r="AM7" s="8">
        <f>Transportaion!Q12</f>
        <v>304387</v>
      </c>
      <c r="AN7" s="8"/>
      <c r="AO7" s="8">
        <f>Transportaion!S12</f>
        <v>0</v>
      </c>
      <c r="AP7" s="8"/>
      <c r="AQ7" s="8">
        <f>Transportaion!U12</f>
        <v>0</v>
      </c>
      <c r="AR7" s="8"/>
    </row>
    <row r="8" spans="1:44" x14ac:dyDescent="0.4">
      <c r="A8" t="s">
        <v>1425</v>
      </c>
      <c r="D8" s="2" t="s">
        <v>2589</v>
      </c>
      <c r="E8" s="2"/>
      <c r="F8" s="2">
        <v>62.5</v>
      </c>
      <c r="G8" s="2"/>
      <c r="H8" s="8">
        <v>1739467.46</v>
      </c>
      <c r="I8" s="8"/>
      <c r="J8" s="8">
        <f>L8-H8</f>
        <v>-602120.20751999994</v>
      </c>
      <c r="K8" s="8"/>
      <c r="L8" s="8">
        <f>N439</f>
        <v>1137347.25248</v>
      </c>
      <c r="N8" t="s">
        <v>2614</v>
      </c>
      <c r="Q8" s="8">
        <f>Q5/Q6</f>
        <v>1421684.0655999989</v>
      </c>
      <c r="W8" s="24">
        <f>Q8</f>
        <v>1421684.0655999989</v>
      </c>
      <c r="AD8" s="24">
        <f t="shared" si="0"/>
        <v>1421684.0655999989</v>
      </c>
      <c r="AH8" t="s">
        <v>565</v>
      </c>
      <c r="AI8" s="8">
        <f t="shared" si="1"/>
        <v>69199</v>
      </c>
      <c r="AJ8" s="8"/>
      <c r="AK8" s="8">
        <f>Transportaion!O13</f>
        <v>0</v>
      </c>
      <c r="AL8" s="8"/>
      <c r="AM8" s="8">
        <f>Transportaion!Q13</f>
        <v>69199</v>
      </c>
      <c r="AN8" s="8"/>
      <c r="AO8" s="8">
        <f>Transportaion!S13</f>
        <v>0</v>
      </c>
      <c r="AP8" s="8"/>
      <c r="AQ8" s="8">
        <f>Transportaion!U13</f>
        <v>0</v>
      </c>
      <c r="AR8" s="8"/>
    </row>
    <row r="9" spans="1:44" x14ac:dyDescent="0.4">
      <c r="A9" t="s">
        <v>2590</v>
      </c>
      <c r="D9" s="2">
        <v>40</v>
      </c>
      <c r="E9" s="2"/>
      <c r="F9" s="2">
        <v>40</v>
      </c>
      <c r="G9" s="2"/>
      <c r="H9" s="8">
        <v>179958.34</v>
      </c>
      <c r="I9" s="8"/>
      <c r="J9" s="8"/>
      <c r="K9" s="8"/>
      <c r="L9" s="8">
        <f>H9+J9</f>
        <v>179958.34</v>
      </c>
      <c r="N9" t="s">
        <v>2611</v>
      </c>
      <c r="Q9" s="10">
        <f>-L8</f>
        <v>-1137347.25248</v>
      </c>
      <c r="W9" s="24"/>
      <c r="Y9" s="24">
        <f>L9</f>
        <v>179958.34</v>
      </c>
      <c r="AD9" s="24">
        <f t="shared" si="0"/>
        <v>179958.34</v>
      </c>
      <c r="AH9" t="s">
        <v>278</v>
      </c>
      <c r="AI9" s="8">
        <f t="shared" si="1"/>
        <v>160331</v>
      </c>
      <c r="AJ9" s="8"/>
      <c r="AK9" s="8">
        <f>Transportaion!O14</f>
        <v>0</v>
      </c>
      <c r="AL9" s="8"/>
      <c r="AM9" s="8">
        <f>Transportaion!Q14</f>
        <v>0</v>
      </c>
      <c r="AN9" s="8"/>
      <c r="AO9" s="8">
        <f>Transportaion!S14</f>
        <v>160331</v>
      </c>
      <c r="AP9" s="8"/>
      <c r="AQ9" s="8">
        <f>Transportaion!U14</f>
        <v>0</v>
      </c>
      <c r="AR9" s="8"/>
    </row>
    <row r="10" spans="1:44" x14ac:dyDescent="0.4">
      <c r="A10" t="s">
        <v>2591</v>
      </c>
      <c r="D10" s="2">
        <v>40</v>
      </c>
      <c r="E10" s="2"/>
      <c r="F10" s="23" t="s">
        <v>2592</v>
      </c>
      <c r="G10" s="23"/>
      <c r="H10" s="8">
        <v>191943.93</v>
      </c>
      <c r="I10" s="8"/>
      <c r="J10" s="8">
        <f>L10-H10</f>
        <v>128057.19355555525</v>
      </c>
      <c r="K10" s="8"/>
      <c r="L10" s="8">
        <f>N936</f>
        <v>320001.12355555524</v>
      </c>
      <c r="Y10" s="24">
        <f>L10</f>
        <v>320001.12355555524</v>
      </c>
      <c r="AD10" s="24">
        <f t="shared" si="0"/>
        <v>320001.12355555524</v>
      </c>
      <c r="AH10" t="s">
        <v>2821</v>
      </c>
      <c r="AI10" s="8">
        <f t="shared" si="1"/>
        <v>52928</v>
      </c>
      <c r="AJ10" s="8"/>
      <c r="AK10" s="8">
        <f>Transportaion!O15</f>
        <v>14492.933564573939</v>
      </c>
      <c r="AL10" s="8"/>
      <c r="AM10" s="8">
        <f>Transportaion!Q15</f>
        <v>38435.066435426059</v>
      </c>
      <c r="AN10" s="8"/>
      <c r="AO10" s="8">
        <f>Transportaion!S15</f>
        <v>0</v>
      </c>
      <c r="AP10" s="8"/>
      <c r="AQ10" s="8">
        <f>Transportaion!U15</f>
        <v>0</v>
      </c>
      <c r="AR10" s="8"/>
    </row>
    <row r="11" spans="1:44" ht="16.5" thickBot="1" x14ac:dyDescent="0.45">
      <c r="A11" t="s">
        <v>2183</v>
      </c>
      <c r="D11" s="2">
        <v>40</v>
      </c>
      <c r="E11" s="2"/>
      <c r="F11" s="2">
        <v>50</v>
      </c>
      <c r="G11" s="2"/>
      <c r="H11" s="8">
        <v>29497.45</v>
      </c>
      <c r="I11" s="8"/>
      <c r="J11" s="8">
        <f>L11-H11</f>
        <v>-6791.8432000000103</v>
      </c>
      <c r="K11" s="8"/>
      <c r="L11" s="8">
        <f>N1100</f>
        <v>22705.60679999999</v>
      </c>
      <c r="N11" t="s">
        <v>182</v>
      </c>
      <c r="Q11" s="31">
        <f>Q8+Q9</f>
        <v>284336.8131199989</v>
      </c>
      <c r="W11" s="24">
        <f>L11</f>
        <v>22705.60679999999</v>
      </c>
      <c r="AD11" s="24">
        <f t="shared" si="0"/>
        <v>22705.60679999999</v>
      </c>
      <c r="AH11" t="s">
        <v>2822</v>
      </c>
      <c r="AI11" s="8">
        <f>SUM(AJ11:AQ11)</f>
        <v>29209</v>
      </c>
      <c r="AJ11" s="8"/>
      <c r="AK11" s="8">
        <f>Transportaion!O16</f>
        <v>0</v>
      </c>
      <c r="AL11" s="8"/>
      <c r="AM11" s="8">
        <f>Transportaion!Q16</f>
        <v>29209</v>
      </c>
      <c r="AN11" s="8"/>
      <c r="AO11" s="8">
        <f>Transportaion!S16</f>
        <v>0</v>
      </c>
      <c r="AP11" s="8"/>
      <c r="AQ11" s="8">
        <f>Transportaion!U16</f>
        <v>0</v>
      </c>
      <c r="AR11" s="8"/>
    </row>
    <row r="12" spans="1:44" ht="16.5" thickTop="1" x14ac:dyDescent="0.4">
      <c r="A12" t="s">
        <v>2593</v>
      </c>
      <c r="D12" s="2" t="s">
        <v>2595</v>
      </c>
      <c r="E12" s="2"/>
      <c r="F12" s="23" t="s">
        <v>2594</v>
      </c>
      <c r="G12" s="23"/>
      <c r="H12" s="8">
        <v>16115.46</v>
      </c>
      <c r="I12" s="8"/>
      <c r="J12" s="8">
        <f>L12-H12</f>
        <v>-2405.4816666666666</v>
      </c>
      <c r="K12" s="8"/>
      <c r="L12" s="8">
        <f>Y1116</f>
        <v>13709.978333333333</v>
      </c>
      <c r="S12" t="s">
        <v>3301</v>
      </c>
      <c r="AA12" s="8">
        <f>AA1113</f>
        <v>8857.4076114044346</v>
      </c>
      <c r="AC12" s="24">
        <f>AC1113</f>
        <v>3216.6387771911304</v>
      </c>
      <c r="AD12" s="24">
        <f>SUM(U12:AC12)</f>
        <v>12074.046388595565</v>
      </c>
      <c r="AI12" s="8"/>
      <c r="AJ12" s="8"/>
      <c r="AK12" s="8">
        <f>Transportaion!O17</f>
        <v>0</v>
      </c>
      <c r="AL12" s="8"/>
      <c r="AM12" s="8">
        <f>Transportaion!Q17</f>
        <v>0</v>
      </c>
      <c r="AN12" s="8"/>
      <c r="AO12" s="8">
        <f>Transportaion!S17</f>
        <v>0</v>
      </c>
      <c r="AP12" s="8"/>
      <c r="AQ12" s="8">
        <f>Transportaion!U17</f>
        <v>0</v>
      </c>
      <c r="AR12" s="8"/>
    </row>
    <row r="13" spans="1:44" x14ac:dyDescent="0.4">
      <c r="A13" t="s">
        <v>2596</v>
      </c>
      <c r="D13" s="2">
        <v>5</v>
      </c>
      <c r="E13" s="2"/>
      <c r="F13" s="23" t="s">
        <v>2597</v>
      </c>
      <c r="G13" s="23"/>
      <c r="H13" s="8">
        <v>177050.72</v>
      </c>
      <c r="I13" s="8"/>
      <c r="J13" s="8">
        <f>L13-H13</f>
        <v>-45233.246971428598</v>
      </c>
      <c r="K13" s="8"/>
      <c r="L13" s="8">
        <f>N1153</f>
        <v>131817.4730285714</v>
      </c>
      <c r="S13" t="s">
        <v>571</v>
      </c>
      <c r="U13" s="35">
        <f>$L$13*AK20</f>
        <v>8275.1335638290348</v>
      </c>
      <c r="W13" s="35">
        <f>$L$13*AM20</f>
        <v>88716.610423743856</v>
      </c>
      <c r="Y13" s="35">
        <f>$L$13*AO20</f>
        <v>28819.339285740432</v>
      </c>
      <c r="AC13" s="24">
        <f>L13*AQ20</f>
        <v>6006.3897552580747</v>
      </c>
      <c r="AD13" s="24">
        <f>SUM(U13:AC13)</f>
        <v>131817.4730285714</v>
      </c>
      <c r="AH13" s="270"/>
      <c r="AI13" s="8"/>
      <c r="AJ13" s="8"/>
      <c r="AK13" s="8">
        <f>Transportaion!O18</f>
        <v>0</v>
      </c>
      <c r="AL13" s="8"/>
      <c r="AM13" s="8">
        <f>Transportaion!Q18</f>
        <v>0</v>
      </c>
      <c r="AN13" s="8"/>
      <c r="AO13" s="8">
        <f>Transportaion!S18</f>
        <v>0</v>
      </c>
      <c r="AP13" s="8"/>
      <c r="AQ13" s="8">
        <f>Transportaion!U18</f>
        <v>0</v>
      </c>
      <c r="AR13" s="8"/>
    </row>
    <row r="14" spans="1:44" x14ac:dyDescent="0.4">
      <c r="A14" t="s">
        <v>2600</v>
      </c>
      <c r="D14" s="2" t="s">
        <v>2598</v>
      </c>
      <c r="E14" s="2"/>
      <c r="F14" s="23" t="s">
        <v>2598</v>
      </c>
      <c r="G14" s="23"/>
      <c r="H14" s="8">
        <v>10379.959999999999</v>
      </c>
      <c r="I14" s="8"/>
      <c r="J14" s="8">
        <v>-351.1</v>
      </c>
      <c r="K14" s="8"/>
      <c r="L14" s="8">
        <f>H14+J14</f>
        <v>10028.859999999999</v>
      </c>
      <c r="S14" t="s">
        <v>3302</v>
      </c>
      <c r="U14" s="35">
        <f>L14*0.1</f>
        <v>1002.886</v>
      </c>
      <c r="W14" s="35">
        <f>L14*0.8</f>
        <v>8023.0879999999997</v>
      </c>
      <c r="Y14" s="35">
        <f>L14*0.1</f>
        <v>1002.886</v>
      </c>
      <c r="AD14" s="24">
        <f t="shared" ref="AD14:AD16" si="2">SUM(U14:AC14)</f>
        <v>10028.86</v>
      </c>
      <c r="AI14" s="8"/>
      <c r="AJ14" s="8"/>
      <c r="AK14" s="8">
        <f>Transportaion!O19</f>
        <v>0</v>
      </c>
      <c r="AL14" s="8"/>
      <c r="AM14" s="8">
        <f>Transportaion!Q19</f>
        <v>0</v>
      </c>
      <c r="AN14" s="8"/>
      <c r="AO14" s="8">
        <f>Transportaion!S19</f>
        <v>0</v>
      </c>
      <c r="AP14" s="8"/>
      <c r="AQ14" s="8">
        <f>Transportaion!U19</f>
        <v>0</v>
      </c>
      <c r="AR14" s="8"/>
    </row>
    <row r="15" spans="1:44" x14ac:dyDescent="0.4">
      <c r="A15" t="s">
        <v>2577</v>
      </c>
      <c r="D15" s="2">
        <v>5</v>
      </c>
      <c r="E15" s="2"/>
      <c r="F15" s="2">
        <v>12.5</v>
      </c>
      <c r="G15" s="2"/>
      <c r="H15" s="122">
        <v>32606</v>
      </c>
      <c r="I15" s="122"/>
      <c r="J15" s="23">
        <f>L15-H15</f>
        <v>-17781.2</v>
      </c>
      <c r="K15" s="23"/>
      <c r="L15" s="23">
        <f>N1164</f>
        <v>14824.8</v>
      </c>
      <c r="M15" s="2"/>
      <c r="N15" s="2"/>
      <c r="O15" s="2"/>
      <c r="P15" s="2"/>
      <c r="Q15" s="2"/>
      <c r="R15" s="2"/>
      <c r="S15" s="27" t="s">
        <v>3302</v>
      </c>
      <c r="T15" s="2"/>
      <c r="U15" s="35">
        <f>L15*0.1</f>
        <v>1482.48</v>
      </c>
      <c r="W15" s="35">
        <f>L15*0.8</f>
        <v>11859.84</v>
      </c>
      <c r="Y15" s="35">
        <f>L15*0.1</f>
        <v>1482.48</v>
      </c>
      <c r="AD15" s="24">
        <f t="shared" si="2"/>
        <v>14824.8</v>
      </c>
      <c r="AH15" s="270" t="s">
        <v>2823</v>
      </c>
      <c r="AI15" s="8"/>
      <c r="AJ15" s="8"/>
      <c r="AK15" s="8">
        <f>Transportaion!O20</f>
        <v>0</v>
      </c>
      <c r="AL15" s="8"/>
      <c r="AM15" s="8">
        <f>Transportaion!Q20</f>
        <v>0</v>
      </c>
      <c r="AN15" s="8"/>
      <c r="AO15" s="8">
        <f>Transportaion!S20</f>
        <v>0</v>
      </c>
      <c r="AP15" s="8"/>
      <c r="AQ15" s="8">
        <f>Transportaion!U20</f>
        <v>0</v>
      </c>
      <c r="AR15" s="8"/>
    </row>
    <row r="16" spans="1:44" x14ac:dyDescent="0.4">
      <c r="A16" t="s">
        <v>2601</v>
      </c>
      <c r="D16" s="2" t="s">
        <v>2602</v>
      </c>
      <c r="E16" s="2"/>
      <c r="F16" s="2" t="s">
        <v>2602</v>
      </c>
      <c r="G16" s="2"/>
      <c r="H16" s="22">
        <v>1756.88</v>
      </c>
      <c r="I16" s="101"/>
      <c r="J16" s="22"/>
      <c r="K16" s="101"/>
      <c r="L16" s="22">
        <v>1756.88</v>
      </c>
      <c r="M16" s="2"/>
      <c r="N16" s="2"/>
      <c r="O16" s="2"/>
      <c r="P16" s="2"/>
      <c r="Q16" s="2"/>
      <c r="R16" s="2"/>
      <c r="S16" s="2"/>
      <c r="T16" s="2"/>
      <c r="AC16" s="24">
        <f>L16</f>
        <v>1756.88</v>
      </c>
      <c r="AD16" s="24">
        <f t="shared" si="2"/>
        <v>1756.88</v>
      </c>
      <c r="AH16" t="s">
        <v>2824</v>
      </c>
      <c r="AI16" s="8">
        <f t="shared" ref="AI16:AI17" si="3">SUM(AJ16:AQ16)</f>
        <v>72059.413728514759</v>
      </c>
      <c r="AJ16" s="8"/>
      <c r="AK16" s="8">
        <f>Transportaion!O21</f>
        <v>19731.223160901125</v>
      </c>
      <c r="AL16" s="8"/>
      <c r="AM16" s="8">
        <f>Transportaion!Q21</f>
        <v>52328.190567613638</v>
      </c>
      <c r="AN16" s="8"/>
      <c r="AO16" s="8">
        <f>Transportaion!S21</f>
        <v>0</v>
      </c>
      <c r="AP16" s="8"/>
      <c r="AQ16" s="8">
        <f>Transportaion!U21</f>
        <v>0</v>
      </c>
      <c r="AR16" s="8"/>
    </row>
    <row r="17" spans="1:44" x14ac:dyDescent="0.4">
      <c r="D17" s="2"/>
      <c r="E17" s="2"/>
      <c r="F17" s="2"/>
      <c r="G17" s="2"/>
      <c r="H17" s="2"/>
      <c r="I17" s="2"/>
      <c r="J17" s="2"/>
      <c r="K17" s="2"/>
      <c r="L17" s="2"/>
      <c r="M17" s="2"/>
      <c r="N17" s="2"/>
      <c r="O17" s="2"/>
      <c r="P17" s="2"/>
      <c r="Q17" s="2"/>
      <c r="R17" s="2"/>
      <c r="S17" s="2"/>
      <c r="T17" s="2"/>
      <c r="AD17" s="24"/>
      <c r="AH17" t="s">
        <v>526</v>
      </c>
      <c r="AI17" s="10">
        <f t="shared" si="3"/>
        <v>33415.425187307184</v>
      </c>
      <c r="AJ17" s="10"/>
      <c r="AK17" s="10">
        <f>Transportaion!O22</f>
        <v>0</v>
      </c>
      <c r="AL17" s="10"/>
      <c r="AM17" s="10">
        <f>Transportaion!Q22</f>
        <v>0</v>
      </c>
      <c r="AN17" s="10"/>
      <c r="AO17" s="10">
        <f>Transportaion!S22</f>
        <v>0</v>
      </c>
      <c r="AP17" s="10"/>
      <c r="AQ17" s="10">
        <f>Transportaion!U22</f>
        <v>33415.425187307184</v>
      </c>
      <c r="AR17" s="8"/>
    </row>
    <row r="18" spans="1:44" ht="16.5" thickBot="1" x14ac:dyDescent="0.45">
      <c r="A18" t="s">
        <v>25</v>
      </c>
      <c r="D18" s="2"/>
      <c r="E18" s="2"/>
      <c r="F18" s="2"/>
      <c r="G18" s="2"/>
      <c r="H18" s="244">
        <f>SUM(H4:H17)</f>
        <v>3051489.0300000003</v>
      </c>
      <c r="I18" s="243"/>
      <c r="J18" s="244">
        <f t="shared" ref="J18" si="4">SUM(J4:J17)</f>
        <v>-458881.80296920665</v>
      </c>
      <c r="K18" s="243"/>
      <c r="L18" s="244">
        <f>SUM(L4:L17)</f>
        <v>2592607.2270307932</v>
      </c>
      <c r="M18" s="2"/>
      <c r="N18" s="2"/>
      <c r="O18" s="2"/>
      <c r="P18" s="2"/>
      <c r="Q18" s="243">
        <f>L18+Q11</f>
        <v>2876944.0401507923</v>
      </c>
      <c r="R18" s="2"/>
      <c r="S18" s="2"/>
      <c r="T18" s="2"/>
      <c r="U18" s="8">
        <f>SUM(U4:U17)</f>
        <v>265561.18956382904</v>
      </c>
      <c r="V18" s="8"/>
      <c r="W18" s="8">
        <f>SUM(W4:W17)</f>
        <v>2049282.4536570762</v>
      </c>
      <c r="X18" s="8"/>
      <c r="Y18" s="8">
        <f>SUM(Y4:Y17)</f>
        <v>531264.16884129564</v>
      </c>
      <c r="Z18" s="8"/>
      <c r="AA18" s="8">
        <f>SUM(AA4:AA17)</f>
        <v>8857.4076114044346</v>
      </c>
      <c r="AB18" s="8"/>
      <c r="AC18" s="8">
        <f>SUM(AC4:AC17)</f>
        <v>20342.888532449204</v>
      </c>
      <c r="AD18" s="8">
        <f>SUM(AD4:AD17)</f>
        <v>2875308.1082060537</v>
      </c>
      <c r="AI18" s="8"/>
      <c r="AJ18" s="8"/>
    </row>
    <row r="19" spans="1:44" ht="16.5" thickTop="1" x14ac:dyDescent="0.4">
      <c r="D19" s="2"/>
      <c r="E19" s="2"/>
      <c r="F19" s="2"/>
      <c r="G19" s="2"/>
      <c r="H19" s="2"/>
      <c r="I19" s="2"/>
      <c r="J19" s="2"/>
      <c r="K19" s="2"/>
      <c r="L19" s="2"/>
      <c r="M19" s="2"/>
      <c r="N19" s="2"/>
      <c r="O19" s="2"/>
      <c r="P19" s="2"/>
      <c r="Q19" s="243">
        <f>Q18-AD18</f>
        <v>1635.9319447386079</v>
      </c>
      <c r="R19" s="2"/>
      <c r="S19" s="2"/>
      <c r="T19" s="2"/>
      <c r="AD19" s="24"/>
      <c r="AH19" t="s">
        <v>25</v>
      </c>
      <c r="AI19" s="8">
        <f>SUM(AI6:AI17)</f>
        <v>733341.83891582198</v>
      </c>
      <c r="AJ19" s="8"/>
      <c r="AK19" s="24">
        <f>SUM(AK6:AL18)</f>
        <v>46037.15672547507</v>
      </c>
      <c r="AM19" s="24">
        <f>SUM(AM6:AN18)</f>
        <v>493558.2570030397</v>
      </c>
      <c r="AO19" s="24">
        <f>SUM(AO6:AP18)</f>
        <v>160331</v>
      </c>
      <c r="AP19" s="24"/>
      <c r="AQ19" s="24">
        <f>SUM(AQ6:AR18)</f>
        <v>33415.425187307184</v>
      </c>
    </row>
    <row r="20" spans="1:44" ht="16.25" customHeight="1" x14ac:dyDescent="0.4">
      <c r="A20" t="s">
        <v>2610</v>
      </c>
      <c r="D20" s="2"/>
      <c r="E20" s="2"/>
      <c r="F20" s="2"/>
      <c r="G20" s="2"/>
      <c r="H20" s="2"/>
      <c r="I20" s="2"/>
      <c r="J20" s="2"/>
      <c r="K20" s="2"/>
      <c r="L20" s="2"/>
      <c r="M20" s="2"/>
      <c r="N20" s="2"/>
      <c r="O20" s="2"/>
      <c r="P20" s="2"/>
      <c r="Q20" s="2"/>
      <c r="R20" s="2"/>
      <c r="S20" s="2"/>
      <c r="T20" s="2"/>
      <c r="AH20" t="s">
        <v>56</v>
      </c>
      <c r="AI20" s="8">
        <f>SUM(AK20:AQ20)</f>
        <v>1</v>
      </c>
      <c r="AK20" s="112">
        <f>AK19/$AI$19</f>
        <v>6.2777212866426305E-2</v>
      </c>
      <c r="AL20" s="5"/>
      <c r="AM20" s="112">
        <f>AM19/$AI$19</f>
        <v>0.67302618071364906</v>
      </c>
      <c r="AN20" s="5"/>
      <c r="AO20" s="112">
        <f>AO19/$AI$19</f>
        <v>0.21863064602591684</v>
      </c>
      <c r="AP20" s="5"/>
      <c r="AQ20" s="112">
        <f>AQ19/$AI$19</f>
        <v>4.5565960394007787E-2</v>
      </c>
      <c r="AR20" s="5"/>
    </row>
    <row r="21" spans="1:44" x14ac:dyDescent="0.4">
      <c r="D21" s="2"/>
      <c r="E21" s="2"/>
      <c r="F21" s="2"/>
      <c r="G21" s="2"/>
      <c r="H21" s="2"/>
      <c r="I21" s="2"/>
      <c r="J21" s="2"/>
      <c r="K21" s="2"/>
      <c r="L21" s="2"/>
      <c r="M21" s="2"/>
      <c r="N21" s="2"/>
      <c r="O21" s="2"/>
      <c r="P21" s="2"/>
      <c r="Q21" s="2"/>
      <c r="R21" s="2"/>
      <c r="S21" s="2"/>
      <c r="T21" s="2"/>
    </row>
    <row r="22" spans="1:44" x14ac:dyDescent="0.4">
      <c r="D22" s="2"/>
      <c r="E22" s="2"/>
      <c r="F22" s="2"/>
      <c r="G22" s="2"/>
      <c r="H22" s="2"/>
      <c r="I22" s="2"/>
      <c r="J22" s="2"/>
      <c r="K22" s="2"/>
      <c r="L22" s="2"/>
      <c r="M22" s="2"/>
      <c r="N22" s="2"/>
      <c r="O22" s="2"/>
      <c r="P22" s="2"/>
      <c r="Q22" s="2"/>
      <c r="R22" s="2"/>
      <c r="S22" s="2"/>
      <c r="T22" s="2"/>
      <c r="AI22" s="25"/>
      <c r="AJ22" s="25"/>
      <c r="AK22" s="25"/>
      <c r="AL22" s="25"/>
      <c r="AM22" s="25"/>
      <c r="AN22" s="25"/>
      <c r="AO22" s="25"/>
      <c r="AP22" s="25"/>
      <c r="AQ22" s="25"/>
      <c r="AR22" s="9"/>
    </row>
    <row r="23" spans="1:44" x14ac:dyDescent="0.4">
      <c r="D23" s="2"/>
      <c r="E23" s="2"/>
      <c r="F23" s="2"/>
      <c r="G23" s="2"/>
      <c r="H23" s="2"/>
      <c r="I23" s="2"/>
      <c r="J23" s="2"/>
      <c r="K23" s="2"/>
      <c r="L23" s="2"/>
      <c r="M23" s="2"/>
      <c r="N23" s="2"/>
      <c r="O23" s="2"/>
      <c r="P23" s="2"/>
      <c r="Q23" s="2"/>
      <c r="R23" s="2"/>
      <c r="S23" s="2"/>
      <c r="T23" s="2"/>
    </row>
    <row r="24" spans="1:44" x14ac:dyDescent="0.4">
      <c r="A24" t="s">
        <v>719</v>
      </c>
      <c r="B24" s="2" t="s">
        <v>720</v>
      </c>
      <c r="C24" s="2" t="s">
        <v>721</v>
      </c>
      <c r="D24" s="2" t="s">
        <v>722</v>
      </c>
      <c r="E24" s="2"/>
      <c r="F24" s="2" t="s">
        <v>723</v>
      </c>
      <c r="G24" s="2"/>
      <c r="H24" s="2" t="s">
        <v>724</v>
      </c>
      <c r="I24" s="2"/>
      <c r="J24" s="2" t="s">
        <v>725</v>
      </c>
      <c r="K24" s="2"/>
      <c r="L24" s="2" t="s">
        <v>726</v>
      </c>
      <c r="M24" s="2" t="s">
        <v>727</v>
      </c>
      <c r="N24" s="2" t="s">
        <v>179</v>
      </c>
      <c r="O24" s="1"/>
      <c r="P24" s="1"/>
      <c r="Q24" s="1"/>
      <c r="R24" s="1"/>
      <c r="S24" s="1"/>
      <c r="W24" s="35"/>
    </row>
    <row r="25" spans="1:44" x14ac:dyDescent="0.4">
      <c r="C25" s="131"/>
      <c r="J25" s="1"/>
      <c r="K25" s="1"/>
      <c r="L25" s="1"/>
      <c r="M25" s="1"/>
      <c r="N25" s="1"/>
      <c r="O25" s="1"/>
      <c r="P25" s="1"/>
      <c r="Q25" s="1"/>
      <c r="R25" s="1"/>
      <c r="S25" s="1"/>
      <c r="W25" s="35"/>
    </row>
    <row r="26" spans="1:44" ht="21" x14ac:dyDescent="0.5">
      <c r="A26" s="242" t="s">
        <v>1282</v>
      </c>
      <c r="C26" s="131"/>
      <c r="J26" s="1"/>
      <c r="K26" s="1"/>
      <c r="L26" s="1"/>
      <c r="M26" s="1"/>
      <c r="N26" s="1"/>
      <c r="O26" s="1"/>
      <c r="P26" s="1"/>
      <c r="Q26" s="1"/>
      <c r="R26" s="1"/>
      <c r="S26" s="1"/>
      <c r="W26" s="35"/>
    </row>
    <row r="27" spans="1:44" hidden="1" x14ac:dyDescent="0.4">
      <c r="A27" t="s">
        <v>734</v>
      </c>
      <c r="B27" t="s">
        <v>733</v>
      </c>
      <c r="C27" s="131">
        <v>31594</v>
      </c>
      <c r="D27" t="s">
        <v>735</v>
      </c>
      <c r="F27" t="s">
        <v>645</v>
      </c>
      <c r="H27">
        <v>20</v>
      </c>
      <c r="J27" s="1">
        <v>5873</v>
      </c>
      <c r="K27" s="1"/>
      <c r="L27" s="1">
        <v>5873</v>
      </c>
      <c r="M27" s="1">
        <v>5506.06</v>
      </c>
      <c r="N27" s="1">
        <f t="shared" ref="N27:N90" si="5">J27/H27</f>
        <v>293.64999999999998</v>
      </c>
      <c r="O27" s="1"/>
      <c r="P27" s="1"/>
      <c r="Q27" s="1"/>
      <c r="R27" s="1"/>
      <c r="S27" s="1"/>
      <c r="W27" s="35"/>
    </row>
    <row r="28" spans="1:44" hidden="1" x14ac:dyDescent="0.4">
      <c r="A28" t="s">
        <v>736</v>
      </c>
      <c r="B28" t="s">
        <v>733</v>
      </c>
      <c r="C28" s="131">
        <v>32063</v>
      </c>
      <c r="D28" t="s">
        <v>737</v>
      </c>
      <c r="F28" t="s">
        <v>645</v>
      </c>
      <c r="H28">
        <v>20</v>
      </c>
      <c r="J28" s="1">
        <v>45151.61</v>
      </c>
      <c r="K28" s="1"/>
      <c r="L28" s="1">
        <v>45151.61</v>
      </c>
      <c r="M28" s="1">
        <v>40918.639999999999</v>
      </c>
      <c r="N28" s="1">
        <f t="shared" si="5"/>
        <v>2257.5805</v>
      </c>
      <c r="O28" s="1"/>
      <c r="P28" s="1"/>
      <c r="Q28" s="1"/>
      <c r="R28" s="1"/>
      <c r="S28" s="1"/>
      <c r="W28" s="35"/>
    </row>
    <row r="29" spans="1:44" hidden="1" x14ac:dyDescent="0.4">
      <c r="A29" t="s">
        <v>738</v>
      </c>
      <c r="B29" t="s">
        <v>733</v>
      </c>
      <c r="C29" s="131">
        <v>32409</v>
      </c>
      <c r="D29" t="s">
        <v>737</v>
      </c>
      <c r="F29" t="s">
        <v>645</v>
      </c>
      <c r="H29">
        <v>20</v>
      </c>
      <c r="J29" s="1">
        <v>262724.67</v>
      </c>
      <c r="K29" s="1"/>
      <c r="L29" s="1">
        <v>262724.67</v>
      </c>
      <c r="M29" s="1">
        <v>232073.57</v>
      </c>
      <c r="N29" s="1">
        <f t="shared" si="5"/>
        <v>13136.233499999998</v>
      </c>
      <c r="O29" s="1"/>
      <c r="P29" s="1"/>
      <c r="Q29" s="1"/>
      <c r="R29" s="1"/>
      <c r="S29" s="1"/>
      <c r="W29" s="35"/>
    </row>
    <row r="30" spans="1:44" hidden="1" x14ac:dyDescent="0.4">
      <c r="A30" t="s">
        <v>739</v>
      </c>
      <c r="B30" t="s">
        <v>733</v>
      </c>
      <c r="C30" s="131">
        <v>32860</v>
      </c>
      <c r="D30" t="s">
        <v>737</v>
      </c>
      <c r="F30" t="s">
        <v>645</v>
      </c>
      <c r="H30">
        <v>20</v>
      </c>
      <c r="J30" s="1">
        <v>165216.69</v>
      </c>
      <c r="K30" s="1"/>
      <c r="L30" s="1">
        <v>165216.69</v>
      </c>
      <c r="M30" s="1">
        <v>140778.48000000001</v>
      </c>
      <c r="N30" s="1">
        <f t="shared" si="5"/>
        <v>8260.8345000000008</v>
      </c>
      <c r="O30" s="1"/>
      <c r="P30" s="1"/>
      <c r="Q30" s="1"/>
      <c r="R30" s="1"/>
      <c r="S30" s="1"/>
      <c r="W30" s="35"/>
    </row>
    <row r="31" spans="1:44" hidden="1" x14ac:dyDescent="0.4">
      <c r="A31" t="s">
        <v>740</v>
      </c>
      <c r="B31" t="s">
        <v>733</v>
      </c>
      <c r="C31" s="131">
        <v>32861</v>
      </c>
      <c r="D31" t="s">
        <v>737</v>
      </c>
      <c r="F31" t="s">
        <v>645</v>
      </c>
      <c r="H31">
        <v>20</v>
      </c>
      <c r="J31" s="1">
        <v>19785.830000000002</v>
      </c>
      <c r="K31" s="1"/>
      <c r="L31" s="1">
        <v>19785.830000000002</v>
      </c>
      <c r="M31" s="1">
        <v>16859.310000000001</v>
      </c>
      <c r="N31" s="1">
        <f t="shared" si="5"/>
        <v>989.29150000000004</v>
      </c>
      <c r="O31" s="1"/>
      <c r="P31" s="1"/>
      <c r="Q31" s="1"/>
      <c r="R31" s="1"/>
      <c r="S31" s="1"/>
      <c r="W31" s="35"/>
    </row>
    <row r="32" spans="1:44" hidden="1" x14ac:dyDescent="0.4">
      <c r="A32" t="s">
        <v>741</v>
      </c>
      <c r="B32" t="s">
        <v>733</v>
      </c>
      <c r="C32" s="131">
        <v>32861</v>
      </c>
      <c r="D32" t="s">
        <v>737</v>
      </c>
      <c r="F32" t="s">
        <v>645</v>
      </c>
      <c r="H32">
        <v>20</v>
      </c>
      <c r="J32" s="1">
        <v>269058.71999999997</v>
      </c>
      <c r="K32" s="1"/>
      <c r="L32" s="1">
        <v>269058.71999999997</v>
      </c>
      <c r="M32" s="1">
        <v>229260.52</v>
      </c>
      <c r="N32" s="1">
        <f t="shared" si="5"/>
        <v>13452.935999999998</v>
      </c>
      <c r="O32" s="1"/>
      <c r="P32" s="1"/>
      <c r="Q32" s="1"/>
      <c r="R32" s="1"/>
      <c r="S32" s="1"/>
      <c r="W32" s="35"/>
    </row>
    <row r="33" spans="1:23" hidden="1" x14ac:dyDescent="0.4">
      <c r="A33" t="s">
        <v>742</v>
      </c>
      <c r="B33" t="s">
        <v>733</v>
      </c>
      <c r="C33" s="131">
        <v>33063</v>
      </c>
      <c r="D33" t="s">
        <v>737</v>
      </c>
      <c r="F33" t="s">
        <v>645</v>
      </c>
      <c r="H33">
        <v>20</v>
      </c>
      <c r="J33" s="1">
        <v>46694.64</v>
      </c>
      <c r="K33" s="1"/>
      <c r="L33" s="1">
        <v>46694.64</v>
      </c>
      <c r="M33" s="1">
        <v>39106.89</v>
      </c>
      <c r="N33" s="1">
        <f t="shared" si="5"/>
        <v>2334.732</v>
      </c>
      <c r="O33" s="1"/>
      <c r="P33" s="1"/>
      <c r="Q33" s="1"/>
      <c r="R33" s="1"/>
      <c r="S33" s="1"/>
      <c r="W33" s="35"/>
    </row>
    <row r="34" spans="1:23" hidden="1" x14ac:dyDescent="0.4">
      <c r="A34" t="s">
        <v>743</v>
      </c>
      <c r="B34" t="s">
        <v>733</v>
      </c>
      <c r="C34" s="131">
        <v>33494</v>
      </c>
      <c r="D34" t="s">
        <v>744</v>
      </c>
      <c r="F34" t="s">
        <v>645</v>
      </c>
      <c r="H34">
        <v>20</v>
      </c>
      <c r="J34" s="1">
        <v>1466.72</v>
      </c>
      <c r="K34" s="1"/>
      <c r="L34" s="1">
        <v>1466.72</v>
      </c>
      <c r="M34" s="1">
        <v>1185.6600000000001</v>
      </c>
      <c r="N34" s="1">
        <f t="shared" si="5"/>
        <v>73.335999999999999</v>
      </c>
      <c r="O34" s="1"/>
      <c r="P34" s="1"/>
      <c r="Q34" s="1"/>
      <c r="R34" s="1"/>
      <c r="S34" s="1"/>
      <c r="W34" s="35"/>
    </row>
    <row r="35" spans="1:23" hidden="1" x14ac:dyDescent="0.4">
      <c r="A35" t="s">
        <v>745</v>
      </c>
      <c r="B35" t="s">
        <v>733</v>
      </c>
      <c r="C35" s="131">
        <v>33506</v>
      </c>
      <c r="D35" t="s">
        <v>746</v>
      </c>
      <c r="F35" t="s">
        <v>645</v>
      </c>
      <c r="H35">
        <v>20</v>
      </c>
      <c r="J35" s="1">
        <v>576.95000000000005</v>
      </c>
      <c r="K35" s="1"/>
      <c r="L35" s="1">
        <v>576.95000000000005</v>
      </c>
      <c r="M35" s="1">
        <v>466.25</v>
      </c>
      <c r="N35" s="1">
        <f t="shared" si="5"/>
        <v>28.847500000000004</v>
      </c>
      <c r="O35" s="1"/>
      <c r="P35" s="1"/>
      <c r="Q35" s="1"/>
      <c r="R35" s="1"/>
      <c r="S35" s="1"/>
      <c r="W35" s="35"/>
    </row>
    <row r="36" spans="1:23" hidden="1" x14ac:dyDescent="0.4">
      <c r="A36" t="s">
        <v>747</v>
      </c>
      <c r="B36" t="s">
        <v>733</v>
      </c>
      <c r="C36" s="131">
        <v>33756</v>
      </c>
      <c r="D36" t="s">
        <v>737</v>
      </c>
      <c r="F36" t="s">
        <v>645</v>
      </c>
      <c r="H36">
        <v>20</v>
      </c>
      <c r="J36" s="1">
        <v>153826.26</v>
      </c>
      <c r="K36" s="1"/>
      <c r="L36" s="1">
        <v>153826.26</v>
      </c>
      <c r="M36" s="1">
        <v>121458.76</v>
      </c>
      <c r="N36" s="1">
        <f t="shared" si="5"/>
        <v>7691.3130000000001</v>
      </c>
      <c r="O36" s="1"/>
      <c r="P36" s="1"/>
      <c r="Q36" s="1"/>
      <c r="R36" s="1"/>
      <c r="S36" s="1"/>
      <c r="W36" s="35"/>
    </row>
    <row r="37" spans="1:23" hidden="1" x14ac:dyDescent="0.4">
      <c r="A37" t="s">
        <v>748</v>
      </c>
      <c r="B37" t="s">
        <v>733</v>
      </c>
      <c r="C37" s="131">
        <v>34129</v>
      </c>
      <c r="D37" t="s">
        <v>749</v>
      </c>
      <c r="F37" t="s">
        <v>645</v>
      </c>
      <c r="H37">
        <v>20</v>
      </c>
      <c r="J37" s="1">
        <v>1957</v>
      </c>
      <c r="K37" s="1"/>
      <c r="L37" s="1">
        <v>1957</v>
      </c>
      <c r="M37" s="1">
        <v>1496.42</v>
      </c>
      <c r="N37" s="1">
        <f t="shared" si="5"/>
        <v>97.85</v>
      </c>
      <c r="O37" s="1"/>
      <c r="P37" s="1"/>
      <c r="Q37" s="1"/>
      <c r="R37" s="1"/>
      <c r="S37" s="1"/>
      <c r="W37" s="35"/>
    </row>
    <row r="38" spans="1:23" hidden="1" x14ac:dyDescent="0.4">
      <c r="A38" t="s">
        <v>751</v>
      </c>
      <c r="B38" t="s">
        <v>733</v>
      </c>
      <c r="C38" s="131">
        <v>34296</v>
      </c>
      <c r="D38" t="s">
        <v>752</v>
      </c>
      <c r="F38" t="s">
        <v>645</v>
      </c>
      <c r="H38">
        <v>20</v>
      </c>
      <c r="J38" s="1">
        <v>1950</v>
      </c>
      <c r="K38" s="1"/>
      <c r="L38" s="1">
        <v>1950</v>
      </c>
      <c r="M38" s="1">
        <v>1466.56</v>
      </c>
      <c r="N38" s="1">
        <f t="shared" si="5"/>
        <v>97.5</v>
      </c>
      <c r="O38" s="1"/>
      <c r="P38" s="1"/>
      <c r="Q38" s="1"/>
      <c r="R38" s="1"/>
      <c r="S38" s="1"/>
      <c r="W38" s="35"/>
    </row>
    <row r="39" spans="1:23" hidden="1" x14ac:dyDescent="0.4">
      <c r="A39" t="s">
        <v>753</v>
      </c>
      <c r="B39" t="s">
        <v>733</v>
      </c>
      <c r="C39" s="131">
        <v>34303</v>
      </c>
      <c r="D39" t="s">
        <v>750</v>
      </c>
      <c r="F39" t="s">
        <v>645</v>
      </c>
      <c r="H39">
        <v>20</v>
      </c>
      <c r="J39" s="1">
        <v>2000</v>
      </c>
      <c r="K39" s="1"/>
      <c r="L39" s="1">
        <v>2000</v>
      </c>
      <c r="M39" s="1">
        <v>1504.17</v>
      </c>
      <c r="N39" s="1">
        <f t="shared" si="5"/>
        <v>100</v>
      </c>
      <c r="O39" s="1"/>
      <c r="P39" s="1"/>
      <c r="Q39" s="1"/>
      <c r="R39" s="1"/>
      <c r="S39" s="1"/>
      <c r="W39" s="35"/>
    </row>
    <row r="40" spans="1:23" hidden="1" x14ac:dyDescent="0.4">
      <c r="A40" t="s">
        <v>754</v>
      </c>
      <c r="B40" t="s">
        <v>733</v>
      </c>
      <c r="C40" s="131">
        <v>35059</v>
      </c>
      <c r="D40" t="s">
        <v>755</v>
      </c>
      <c r="F40" t="s">
        <v>645</v>
      </c>
      <c r="H40">
        <v>20</v>
      </c>
      <c r="J40" s="1">
        <v>129441.48</v>
      </c>
      <c r="K40" s="1"/>
      <c r="L40" s="1">
        <v>129441.48</v>
      </c>
      <c r="M40" s="1">
        <v>90878.79</v>
      </c>
      <c r="N40" s="1">
        <f t="shared" si="5"/>
        <v>6472.0739999999996</v>
      </c>
      <c r="O40" s="1"/>
      <c r="P40" s="1"/>
      <c r="Q40" s="1"/>
      <c r="R40" s="1"/>
      <c r="S40" s="1"/>
      <c r="W40" s="35"/>
    </row>
    <row r="41" spans="1:23" hidden="1" x14ac:dyDescent="0.4">
      <c r="A41" t="s">
        <v>756</v>
      </c>
      <c r="B41" t="s">
        <v>733</v>
      </c>
      <c r="C41" s="131">
        <v>35059</v>
      </c>
      <c r="D41" t="s">
        <v>757</v>
      </c>
      <c r="F41" t="s">
        <v>645</v>
      </c>
      <c r="H41">
        <v>20</v>
      </c>
      <c r="J41" s="1">
        <v>73236.78</v>
      </c>
      <c r="K41" s="1"/>
      <c r="L41" s="1">
        <v>73236.78</v>
      </c>
      <c r="M41" s="1">
        <v>51418.34</v>
      </c>
      <c r="N41" s="1">
        <f t="shared" si="5"/>
        <v>3661.8389999999999</v>
      </c>
      <c r="O41" s="1"/>
      <c r="P41" s="1"/>
      <c r="Q41" s="1"/>
      <c r="R41" s="1"/>
      <c r="S41" s="1"/>
      <c r="W41" s="35"/>
    </row>
    <row r="42" spans="1:23" hidden="1" x14ac:dyDescent="0.4">
      <c r="A42" t="s">
        <v>758</v>
      </c>
      <c r="B42" t="s">
        <v>733</v>
      </c>
      <c r="C42" s="131">
        <v>35674</v>
      </c>
      <c r="D42" t="s">
        <v>737</v>
      </c>
      <c r="F42" t="s">
        <v>645</v>
      </c>
      <c r="H42">
        <v>20</v>
      </c>
      <c r="J42" s="1">
        <v>186706.3</v>
      </c>
      <c r="K42" s="1"/>
      <c r="L42" s="1">
        <v>186706.3</v>
      </c>
      <c r="M42" s="1">
        <v>122915.05</v>
      </c>
      <c r="N42" s="1">
        <f t="shared" si="5"/>
        <v>9335.3149999999987</v>
      </c>
      <c r="O42" s="1"/>
      <c r="P42" s="1"/>
      <c r="Q42" s="1"/>
      <c r="R42" s="1"/>
      <c r="S42" s="1"/>
      <c r="W42" s="35"/>
    </row>
    <row r="43" spans="1:23" hidden="1" x14ac:dyDescent="0.4">
      <c r="A43" t="s">
        <v>759</v>
      </c>
      <c r="B43" t="s">
        <v>733</v>
      </c>
      <c r="C43" s="131">
        <v>35765</v>
      </c>
      <c r="D43" t="s">
        <v>760</v>
      </c>
      <c r="F43" t="s">
        <v>645</v>
      </c>
      <c r="H43">
        <v>20</v>
      </c>
      <c r="J43" s="1">
        <v>67983.97</v>
      </c>
      <c r="K43" s="1"/>
      <c r="L43" s="1">
        <v>67983.97</v>
      </c>
      <c r="M43" s="1">
        <v>44331.23</v>
      </c>
      <c r="N43" s="1">
        <f t="shared" si="5"/>
        <v>3399.1985</v>
      </c>
      <c r="O43" s="1"/>
      <c r="P43" s="1"/>
      <c r="Q43" s="1"/>
      <c r="R43" s="1"/>
      <c r="S43" s="1"/>
      <c r="W43" s="35"/>
    </row>
    <row r="44" spans="1:23" hidden="1" x14ac:dyDescent="0.4">
      <c r="A44" t="s">
        <v>761</v>
      </c>
      <c r="B44" t="s">
        <v>733</v>
      </c>
      <c r="C44" s="131">
        <v>35970</v>
      </c>
      <c r="D44" t="s">
        <v>762</v>
      </c>
      <c r="F44" t="s">
        <v>645</v>
      </c>
      <c r="H44">
        <v>20</v>
      </c>
      <c r="J44" s="1">
        <v>1050</v>
      </c>
      <c r="K44" s="1"/>
      <c r="L44" s="1">
        <v>1050</v>
      </c>
      <c r="M44" s="1">
        <v>893.32</v>
      </c>
      <c r="N44" s="1">
        <f t="shared" si="5"/>
        <v>52.5</v>
      </c>
      <c r="O44" s="1"/>
      <c r="P44" s="1"/>
      <c r="Q44" s="1"/>
      <c r="R44" s="1"/>
      <c r="S44" s="1"/>
      <c r="W44" s="35"/>
    </row>
    <row r="45" spans="1:23" hidden="1" x14ac:dyDescent="0.4">
      <c r="A45" t="s">
        <v>763</v>
      </c>
      <c r="B45" t="s">
        <v>733</v>
      </c>
      <c r="C45" s="131">
        <v>36770</v>
      </c>
      <c r="D45" t="s">
        <v>764</v>
      </c>
      <c r="F45" t="s">
        <v>645</v>
      </c>
      <c r="H45">
        <v>20</v>
      </c>
      <c r="J45" s="1">
        <v>1961.1</v>
      </c>
      <c r="K45" s="1"/>
      <c r="L45" s="1">
        <v>1961.1</v>
      </c>
      <c r="M45" s="1">
        <v>1144.03</v>
      </c>
      <c r="N45" s="1">
        <f t="shared" si="5"/>
        <v>98.054999999999993</v>
      </c>
      <c r="O45" s="1"/>
      <c r="P45" s="1"/>
      <c r="Q45" s="1"/>
      <c r="R45" s="1"/>
      <c r="S45" s="1"/>
      <c r="W45" s="35"/>
    </row>
    <row r="46" spans="1:23" hidden="1" x14ac:dyDescent="0.4">
      <c r="A46" t="s">
        <v>765</v>
      </c>
      <c r="B46" t="s">
        <v>733</v>
      </c>
      <c r="C46" s="131">
        <v>37642</v>
      </c>
      <c r="D46" t="s">
        <v>766</v>
      </c>
      <c r="F46" t="s">
        <v>645</v>
      </c>
      <c r="H46">
        <v>20</v>
      </c>
      <c r="J46" s="1">
        <v>5403.56</v>
      </c>
      <c r="K46" s="1"/>
      <c r="L46" s="1">
        <v>5403.56</v>
      </c>
      <c r="M46" s="1">
        <v>2829.49</v>
      </c>
      <c r="N46" s="1">
        <f t="shared" si="5"/>
        <v>270.178</v>
      </c>
      <c r="O46" s="1"/>
      <c r="P46" s="1"/>
      <c r="Q46" s="1"/>
      <c r="R46" s="1"/>
      <c r="S46" s="1"/>
      <c r="W46" s="35"/>
    </row>
    <row r="47" spans="1:23" hidden="1" x14ac:dyDescent="0.4">
      <c r="A47" t="s">
        <v>767</v>
      </c>
      <c r="B47" t="s">
        <v>733</v>
      </c>
      <c r="C47" s="131">
        <v>37651</v>
      </c>
      <c r="D47" t="s">
        <v>768</v>
      </c>
      <c r="F47" t="s">
        <v>645</v>
      </c>
      <c r="H47">
        <v>20</v>
      </c>
      <c r="J47" s="1">
        <v>5403.56</v>
      </c>
      <c r="K47" s="1"/>
      <c r="L47" s="1">
        <v>5403.56</v>
      </c>
      <c r="M47" s="1">
        <v>2826.16</v>
      </c>
      <c r="N47" s="1">
        <f t="shared" si="5"/>
        <v>270.178</v>
      </c>
      <c r="O47" s="1"/>
      <c r="P47" s="1"/>
      <c r="Q47" s="1"/>
      <c r="R47" s="1"/>
      <c r="S47" s="1"/>
      <c r="W47" s="35"/>
    </row>
    <row r="48" spans="1:23" hidden="1" x14ac:dyDescent="0.4">
      <c r="A48" t="s">
        <v>769</v>
      </c>
      <c r="B48" t="s">
        <v>733</v>
      </c>
      <c r="C48" s="131">
        <v>37711</v>
      </c>
      <c r="D48" t="s">
        <v>770</v>
      </c>
      <c r="F48" t="s">
        <v>645</v>
      </c>
      <c r="H48">
        <v>20</v>
      </c>
      <c r="J48" s="1">
        <v>7050</v>
      </c>
      <c r="K48" s="1"/>
      <c r="L48" s="1">
        <v>7050</v>
      </c>
      <c r="M48" s="1">
        <v>3658.27</v>
      </c>
      <c r="N48" s="1">
        <f t="shared" si="5"/>
        <v>352.5</v>
      </c>
      <c r="O48" s="1"/>
      <c r="P48" s="1"/>
      <c r="Q48" s="1"/>
      <c r="R48" s="1"/>
      <c r="S48" s="1"/>
      <c r="W48" s="35"/>
    </row>
    <row r="49" spans="1:23" hidden="1" x14ac:dyDescent="0.4">
      <c r="A49" t="s">
        <v>771</v>
      </c>
      <c r="B49" t="s">
        <v>733</v>
      </c>
      <c r="C49" s="131">
        <v>37754</v>
      </c>
      <c r="D49" t="s">
        <v>662</v>
      </c>
      <c r="F49" t="s">
        <v>645</v>
      </c>
      <c r="H49">
        <v>20</v>
      </c>
      <c r="J49" s="1">
        <v>7600</v>
      </c>
      <c r="K49" s="1"/>
      <c r="L49" s="1">
        <v>7600</v>
      </c>
      <c r="M49" s="1">
        <v>3921.29</v>
      </c>
      <c r="N49" s="1">
        <f t="shared" si="5"/>
        <v>380</v>
      </c>
      <c r="O49" s="1"/>
      <c r="P49" s="1"/>
      <c r="Q49" s="1"/>
      <c r="R49" s="1"/>
      <c r="S49" s="1"/>
      <c r="W49" s="35"/>
    </row>
    <row r="50" spans="1:23" hidden="1" x14ac:dyDescent="0.4">
      <c r="A50" t="s">
        <v>772</v>
      </c>
      <c r="B50" t="s">
        <v>733</v>
      </c>
      <c r="C50" s="131">
        <v>37946</v>
      </c>
      <c r="D50" t="s">
        <v>773</v>
      </c>
      <c r="F50" t="s">
        <v>645</v>
      </c>
      <c r="H50">
        <v>20</v>
      </c>
      <c r="J50" s="1">
        <v>5774.75</v>
      </c>
      <c r="K50" s="1"/>
      <c r="L50" s="1">
        <v>5774.75</v>
      </c>
      <c r="M50" s="1">
        <v>2903.62</v>
      </c>
      <c r="N50" s="1">
        <f t="shared" si="5"/>
        <v>288.73750000000001</v>
      </c>
      <c r="O50" s="1"/>
      <c r="P50" s="1"/>
      <c r="Q50" s="1"/>
      <c r="R50" s="1"/>
      <c r="S50" s="1"/>
      <c r="W50" s="35"/>
    </row>
    <row r="51" spans="1:23" hidden="1" x14ac:dyDescent="0.4">
      <c r="A51" t="s">
        <v>775</v>
      </c>
      <c r="B51" t="s">
        <v>733</v>
      </c>
      <c r="C51" s="131">
        <v>36708</v>
      </c>
      <c r="D51" t="s">
        <v>776</v>
      </c>
      <c r="F51" t="s">
        <v>645</v>
      </c>
      <c r="H51">
        <v>20</v>
      </c>
      <c r="J51" s="1">
        <v>1224</v>
      </c>
      <c r="K51" s="1"/>
      <c r="L51" s="1">
        <v>1224</v>
      </c>
      <c r="M51" s="1">
        <v>719.18</v>
      </c>
      <c r="N51" s="1">
        <f t="shared" si="5"/>
        <v>61.2</v>
      </c>
      <c r="O51" s="1"/>
      <c r="P51" s="1"/>
      <c r="Q51" s="1"/>
      <c r="R51" s="1"/>
      <c r="S51" s="1"/>
      <c r="W51" s="35"/>
    </row>
    <row r="52" spans="1:23" hidden="1" x14ac:dyDescent="0.4">
      <c r="A52" t="s">
        <v>777</v>
      </c>
      <c r="B52" t="s">
        <v>733</v>
      </c>
      <c r="C52" s="131">
        <v>37043</v>
      </c>
      <c r="D52" t="s">
        <v>778</v>
      </c>
      <c r="F52" t="s">
        <v>645</v>
      </c>
      <c r="H52">
        <v>20</v>
      </c>
      <c r="J52" s="1">
        <v>4778.07</v>
      </c>
      <c r="K52" s="1"/>
      <c r="L52" s="1">
        <v>4778.07</v>
      </c>
      <c r="M52" s="1">
        <v>2697.93</v>
      </c>
      <c r="N52" s="1">
        <f t="shared" si="5"/>
        <v>238.90349999999998</v>
      </c>
      <c r="O52" s="1"/>
      <c r="P52" s="1"/>
      <c r="Q52" s="1"/>
      <c r="R52" s="1"/>
      <c r="S52" s="1"/>
      <c r="W52" s="35"/>
    </row>
    <row r="53" spans="1:23" hidden="1" x14ac:dyDescent="0.4">
      <c r="A53" t="s">
        <v>642</v>
      </c>
      <c r="B53" t="s">
        <v>643</v>
      </c>
      <c r="C53" s="131">
        <v>39539</v>
      </c>
      <c r="D53" t="s">
        <v>644</v>
      </c>
      <c r="F53" t="s">
        <v>645</v>
      </c>
      <c r="H53">
        <v>20</v>
      </c>
      <c r="J53" s="1">
        <v>50000</v>
      </c>
      <c r="K53" s="1"/>
      <c r="L53" s="1">
        <v>50000</v>
      </c>
      <c r="M53" s="1">
        <v>19375</v>
      </c>
      <c r="N53" s="1">
        <f t="shared" si="5"/>
        <v>2500</v>
      </c>
      <c r="O53" s="1"/>
      <c r="P53" s="1"/>
      <c r="Q53" s="1"/>
      <c r="R53" s="1"/>
      <c r="S53" s="1"/>
      <c r="W53" s="35"/>
    </row>
    <row r="54" spans="1:23" hidden="1" x14ac:dyDescent="0.4">
      <c r="A54" t="s">
        <v>646</v>
      </c>
      <c r="B54" t="s">
        <v>643</v>
      </c>
      <c r="C54" s="131">
        <v>39539</v>
      </c>
      <c r="D54" t="s">
        <v>647</v>
      </c>
      <c r="F54" t="s">
        <v>645</v>
      </c>
      <c r="H54">
        <v>20</v>
      </c>
      <c r="J54" s="1">
        <v>55000</v>
      </c>
      <c r="K54" s="1"/>
      <c r="L54" s="1">
        <v>55000</v>
      </c>
      <c r="M54" s="1">
        <v>21312.5</v>
      </c>
      <c r="N54" s="1">
        <f t="shared" si="5"/>
        <v>2750</v>
      </c>
      <c r="O54" s="1"/>
      <c r="P54" s="1"/>
      <c r="Q54" s="1"/>
      <c r="R54" s="1"/>
      <c r="S54" s="1"/>
      <c r="W54" s="35"/>
    </row>
    <row r="55" spans="1:23" hidden="1" x14ac:dyDescent="0.4">
      <c r="A55" t="s">
        <v>648</v>
      </c>
      <c r="B55" t="s">
        <v>643</v>
      </c>
      <c r="C55" s="131">
        <v>39830</v>
      </c>
      <c r="D55" t="s">
        <v>649</v>
      </c>
      <c r="F55" t="s">
        <v>645</v>
      </c>
      <c r="H55">
        <v>20</v>
      </c>
      <c r="J55" s="1">
        <v>46989.14</v>
      </c>
      <c r="K55" s="1"/>
      <c r="L55" s="1">
        <v>46989.14</v>
      </c>
      <c r="M55" s="1">
        <v>17033.580000000002</v>
      </c>
      <c r="N55" s="1">
        <f t="shared" si="5"/>
        <v>2349.4569999999999</v>
      </c>
      <c r="O55" s="1"/>
      <c r="P55" s="1"/>
      <c r="Q55" s="1"/>
      <c r="R55" s="1"/>
      <c r="S55" s="1"/>
      <c r="W55" s="35"/>
    </row>
    <row r="56" spans="1:23" hidden="1" x14ac:dyDescent="0.4">
      <c r="A56" t="s">
        <v>650</v>
      </c>
      <c r="B56" t="s">
        <v>643</v>
      </c>
      <c r="C56" s="131">
        <v>40909</v>
      </c>
      <c r="D56" t="s">
        <v>651</v>
      </c>
      <c r="F56" t="s">
        <v>645</v>
      </c>
      <c r="H56">
        <v>20</v>
      </c>
      <c r="J56" s="1">
        <v>10350</v>
      </c>
      <c r="K56" s="1"/>
      <c r="L56" s="1">
        <v>10350</v>
      </c>
      <c r="M56" s="1">
        <v>2975.63</v>
      </c>
      <c r="N56" s="1">
        <f t="shared" si="5"/>
        <v>517.5</v>
      </c>
      <c r="O56" s="1"/>
      <c r="P56" s="1"/>
      <c r="Q56" s="1"/>
      <c r="R56" s="1"/>
      <c r="S56" s="1"/>
      <c r="W56" s="35"/>
    </row>
    <row r="57" spans="1:23" hidden="1" x14ac:dyDescent="0.4">
      <c r="A57" t="s">
        <v>652</v>
      </c>
      <c r="B57" t="s">
        <v>643</v>
      </c>
      <c r="C57" s="131">
        <v>42370</v>
      </c>
      <c r="D57" t="s">
        <v>653</v>
      </c>
      <c r="F57" t="s">
        <v>645</v>
      </c>
      <c r="H57">
        <v>20</v>
      </c>
      <c r="J57" s="1">
        <v>16960</v>
      </c>
      <c r="K57" s="1"/>
      <c r="L57" s="1">
        <v>16960</v>
      </c>
      <c r="M57" s="1">
        <v>3180</v>
      </c>
      <c r="N57" s="1">
        <f t="shared" si="5"/>
        <v>848</v>
      </c>
      <c r="O57" s="1"/>
      <c r="P57" s="1"/>
      <c r="Q57" s="1"/>
      <c r="R57" s="1"/>
      <c r="S57" s="1"/>
      <c r="W57" s="35"/>
    </row>
    <row r="58" spans="1:23" hidden="1" x14ac:dyDescent="0.4">
      <c r="A58" t="s">
        <v>654</v>
      </c>
      <c r="B58" t="s">
        <v>643</v>
      </c>
      <c r="C58" s="131">
        <v>42370</v>
      </c>
      <c r="D58" t="s">
        <v>420</v>
      </c>
      <c r="F58" t="s">
        <v>645</v>
      </c>
      <c r="H58">
        <v>20</v>
      </c>
      <c r="J58" s="1">
        <v>2336</v>
      </c>
      <c r="K58" s="1"/>
      <c r="L58" s="1">
        <v>2336</v>
      </c>
      <c r="M58" s="1">
        <v>438</v>
      </c>
      <c r="N58" s="1">
        <f t="shared" si="5"/>
        <v>116.8</v>
      </c>
      <c r="O58" s="1"/>
      <c r="P58" s="1"/>
      <c r="Q58" s="1"/>
      <c r="R58" s="1"/>
      <c r="S58" s="1"/>
      <c r="W58" s="35"/>
    </row>
    <row r="59" spans="1:23" hidden="1" x14ac:dyDescent="0.4">
      <c r="A59" t="s">
        <v>655</v>
      </c>
      <c r="B59" t="s">
        <v>643</v>
      </c>
      <c r="C59" s="131">
        <v>43435</v>
      </c>
      <c r="D59" t="s">
        <v>656</v>
      </c>
      <c r="F59" t="s">
        <v>645</v>
      </c>
      <c r="H59">
        <v>20</v>
      </c>
      <c r="J59" s="1">
        <v>17296.13</v>
      </c>
      <c r="K59" s="1"/>
      <c r="L59" s="1">
        <v>17296.13</v>
      </c>
      <c r="M59" s="1">
        <v>2378.1999999999998</v>
      </c>
      <c r="N59" s="1">
        <f t="shared" si="5"/>
        <v>864.80650000000003</v>
      </c>
      <c r="O59" s="1"/>
      <c r="P59" s="1"/>
      <c r="Q59" s="1"/>
      <c r="R59" s="1"/>
      <c r="S59" s="1"/>
      <c r="W59" s="35"/>
    </row>
    <row r="60" spans="1:23" hidden="1" x14ac:dyDescent="0.4">
      <c r="A60" t="s">
        <v>657</v>
      </c>
      <c r="B60" t="s">
        <v>643</v>
      </c>
      <c r="C60" s="131">
        <v>43249</v>
      </c>
      <c r="D60" t="s">
        <v>658</v>
      </c>
      <c r="F60" t="s">
        <v>645</v>
      </c>
      <c r="H60">
        <v>20</v>
      </c>
      <c r="J60" s="1">
        <v>172511.54</v>
      </c>
      <c r="K60" s="1"/>
      <c r="L60" s="1">
        <v>172511.54</v>
      </c>
      <c r="M60" s="1">
        <v>23720.34</v>
      </c>
      <c r="N60" s="1">
        <f t="shared" si="5"/>
        <v>8625.5770000000011</v>
      </c>
      <c r="O60" s="1"/>
      <c r="P60" s="1"/>
      <c r="Q60" s="1"/>
      <c r="R60" s="1"/>
      <c r="S60" s="1"/>
      <c r="W60" s="35"/>
    </row>
    <row r="61" spans="1:23" hidden="1" x14ac:dyDescent="0.4">
      <c r="A61" t="s">
        <v>659</v>
      </c>
      <c r="B61" t="s">
        <v>643</v>
      </c>
      <c r="C61" s="131">
        <v>43119</v>
      </c>
      <c r="D61" t="s">
        <v>660</v>
      </c>
      <c r="F61" t="s">
        <v>645</v>
      </c>
      <c r="H61">
        <v>20</v>
      </c>
      <c r="J61" s="1">
        <v>48000</v>
      </c>
      <c r="K61" s="1"/>
      <c r="L61" s="1">
        <v>48000</v>
      </c>
      <c r="M61" s="1">
        <v>6600</v>
      </c>
      <c r="N61" s="1">
        <f t="shared" si="5"/>
        <v>2400</v>
      </c>
      <c r="O61" s="1"/>
      <c r="P61" s="1"/>
      <c r="Q61" s="1"/>
      <c r="R61" s="1"/>
      <c r="S61" s="1"/>
      <c r="W61" s="35"/>
    </row>
    <row r="62" spans="1:23" hidden="1" x14ac:dyDescent="0.4">
      <c r="A62" t="s">
        <v>661</v>
      </c>
      <c r="B62" t="s">
        <v>643</v>
      </c>
      <c r="C62" s="131">
        <v>43119</v>
      </c>
      <c r="D62" t="s">
        <v>662</v>
      </c>
      <c r="F62" t="s">
        <v>645</v>
      </c>
      <c r="H62">
        <v>20</v>
      </c>
      <c r="J62" s="1">
        <v>75000</v>
      </c>
      <c r="K62" s="1"/>
      <c r="L62" s="1">
        <v>75000</v>
      </c>
      <c r="M62" s="1">
        <v>10312.5</v>
      </c>
      <c r="N62" s="1">
        <f t="shared" si="5"/>
        <v>3750</v>
      </c>
      <c r="O62" s="1"/>
      <c r="P62" s="1"/>
      <c r="Q62" s="1"/>
      <c r="R62" s="1"/>
      <c r="S62" s="1"/>
      <c r="W62" s="35"/>
    </row>
    <row r="63" spans="1:23" hidden="1" x14ac:dyDescent="0.4">
      <c r="A63" t="s">
        <v>663</v>
      </c>
      <c r="B63" t="s">
        <v>643</v>
      </c>
      <c r="C63" s="131">
        <v>43684</v>
      </c>
      <c r="D63" t="s">
        <v>664</v>
      </c>
      <c r="F63" t="s">
        <v>645</v>
      </c>
      <c r="H63">
        <v>20</v>
      </c>
      <c r="J63" s="1">
        <v>14707.98</v>
      </c>
      <c r="K63" s="1"/>
      <c r="L63" s="1">
        <v>14707.98</v>
      </c>
      <c r="M63" s="1">
        <v>1654.65</v>
      </c>
      <c r="N63" s="1">
        <f t="shared" si="5"/>
        <v>735.399</v>
      </c>
      <c r="O63" s="1"/>
      <c r="P63" s="1"/>
      <c r="Q63" s="1"/>
      <c r="R63" s="1"/>
      <c r="S63" s="1"/>
      <c r="W63" s="35"/>
    </row>
    <row r="64" spans="1:23" hidden="1" x14ac:dyDescent="0.4">
      <c r="A64" t="s">
        <v>665</v>
      </c>
      <c r="B64" t="s">
        <v>643</v>
      </c>
      <c r="C64" s="131">
        <v>43518</v>
      </c>
      <c r="D64" t="s">
        <v>666</v>
      </c>
      <c r="F64" t="s">
        <v>645</v>
      </c>
      <c r="H64">
        <v>20</v>
      </c>
      <c r="J64" s="1">
        <v>6244.24</v>
      </c>
      <c r="K64" s="1"/>
      <c r="L64" s="1">
        <v>6244.24</v>
      </c>
      <c r="M64" s="1">
        <v>702.49</v>
      </c>
      <c r="N64" s="1">
        <f t="shared" si="5"/>
        <v>312.21199999999999</v>
      </c>
      <c r="O64" s="1"/>
      <c r="P64" s="1"/>
      <c r="Q64" s="1"/>
      <c r="R64" s="1"/>
      <c r="S64" s="1"/>
      <c r="W64" s="35"/>
    </row>
    <row r="65" spans="1:23" hidden="1" x14ac:dyDescent="0.4">
      <c r="A65" t="s">
        <v>667</v>
      </c>
      <c r="B65" t="s">
        <v>643</v>
      </c>
      <c r="C65" s="131">
        <v>43830</v>
      </c>
      <c r="D65" t="s">
        <v>668</v>
      </c>
      <c r="F65" t="s">
        <v>645</v>
      </c>
      <c r="H65">
        <v>20</v>
      </c>
      <c r="J65" s="1">
        <v>8400</v>
      </c>
      <c r="K65" s="1"/>
      <c r="L65" s="1">
        <v>8400</v>
      </c>
      <c r="M65" s="1">
        <v>945</v>
      </c>
      <c r="N65" s="1">
        <f t="shared" si="5"/>
        <v>420</v>
      </c>
      <c r="O65" s="1"/>
      <c r="P65" s="1"/>
      <c r="Q65" s="1"/>
      <c r="R65" s="1"/>
      <c r="S65" s="1"/>
      <c r="W65" s="35"/>
    </row>
    <row r="66" spans="1:23" hidden="1" x14ac:dyDescent="0.4">
      <c r="A66" t="s">
        <v>669</v>
      </c>
      <c r="B66" t="s">
        <v>643</v>
      </c>
      <c r="C66" s="131">
        <v>43487</v>
      </c>
      <c r="D66" t="s">
        <v>670</v>
      </c>
      <c r="F66" t="s">
        <v>645</v>
      </c>
      <c r="H66">
        <v>20</v>
      </c>
      <c r="J66" s="1">
        <v>2552.94</v>
      </c>
      <c r="K66" s="1"/>
      <c r="L66" s="1">
        <v>2552.94</v>
      </c>
      <c r="M66" s="1">
        <v>287.19</v>
      </c>
      <c r="N66" s="1">
        <f t="shared" si="5"/>
        <v>127.64700000000001</v>
      </c>
      <c r="O66" s="1"/>
      <c r="P66" s="1"/>
      <c r="Q66" s="1"/>
      <c r="R66" s="1"/>
      <c r="S66" s="1"/>
      <c r="W66" s="35"/>
    </row>
    <row r="67" spans="1:23" hidden="1" x14ac:dyDescent="0.4">
      <c r="A67" t="s">
        <v>671</v>
      </c>
      <c r="B67" t="s">
        <v>643</v>
      </c>
      <c r="C67" s="131">
        <v>43497</v>
      </c>
      <c r="D67" t="s">
        <v>672</v>
      </c>
      <c r="F67" t="s">
        <v>645</v>
      </c>
      <c r="H67">
        <v>20</v>
      </c>
      <c r="J67" s="1">
        <v>4022.9</v>
      </c>
      <c r="K67" s="1"/>
      <c r="L67" s="1">
        <v>4022.9</v>
      </c>
      <c r="M67" s="1">
        <v>452.57</v>
      </c>
      <c r="N67" s="1">
        <f t="shared" si="5"/>
        <v>201.14500000000001</v>
      </c>
      <c r="O67" s="1"/>
      <c r="P67" s="1"/>
      <c r="Q67" s="1"/>
      <c r="R67" s="1"/>
      <c r="S67" s="1"/>
      <c r="W67" s="35"/>
    </row>
    <row r="68" spans="1:23" hidden="1" x14ac:dyDescent="0.4">
      <c r="A68" t="s">
        <v>673</v>
      </c>
      <c r="B68" t="s">
        <v>643</v>
      </c>
      <c r="C68" s="131">
        <v>43734</v>
      </c>
      <c r="D68" t="s">
        <v>674</v>
      </c>
      <c r="F68" t="s">
        <v>645</v>
      </c>
      <c r="H68">
        <v>20</v>
      </c>
      <c r="J68" s="1">
        <v>4556.25</v>
      </c>
      <c r="K68" s="1"/>
      <c r="L68" s="1">
        <v>4556.25</v>
      </c>
      <c r="M68" s="1">
        <v>512.59</v>
      </c>
      <c r="N68" s="1">
        <f t="shared" si="5"/>
        <v>227.8125</v>
      </c>
      <c r="O68" s="1"/>
      <c r="P68" s="1"/>
      <c r="Q68" s="1"/>
      <c r="R68" s="1"/>
      <c r="S68" s="1"/>
      <c r="W68" s="35"/>
    </row>
    <row r="69" spans="1:23" hidden="1" x14ac:dyDescent="0.4">
      <c r="A69" t="s">
        <v>675</v>
      </c>
      <c r="B69" t="s">
        <v>643</v>
      </c>
      <c r="C69" s="131">
        <v>43524</v>
      </c>
      <c r="D69" t="s">
        <v>676</v>
      </c>
      <c r="F69" t="s">
        <v>645</v>
      </c>
      <c r="H69">
        <v>20</v>
      </c>
      <c r="J69" s="1">
        <v>3960.65</v>
      </c>
      <c r="K69" s="1"/>
      <c r="L69" s="1">
        <v>3960.65</v>
      </c>
      <c r="M69" s="1">
        <v>445.59</v>
      </c>
      <c r="N69" s="1">
        <f t="shared" si="5"/>
        <v>198.0325</v>
      </c>
      <c r="O69" s="1"/>
      <c r="P69" s="1"/>
      <c r="Q69" s="1"/>
      <c r="R69" s="1"/>
      <c r="S69" s="1"/>
      <c r="W69" s="35"/>
    </row>
    <row r="70" spans="1:23" hidden="1" x14ac:dyDescent="0.4">
      <c r="A70" t="s">
        <v>677</v>
      </c>
      <c r="B70" t="s">
        <v>643</v>
      </c>
      <c r="C70" s="131">
        <v>43531</v>
      </c>
      <c r="D70" t="s">
        <v>678</v>
      </c>
      <c r="F70" t="s">
        <v>645</v>
      </c>
      <c r="H70">
        <v>20</v>
      </c>
      <c r="J70" s="1">
        <v>5839.05</v>
      </c>
      <c r="K70" s="1"/>
      <c r="L70" s="1">
        <v>5839.05</v>
      </c>
      <c r="M70" s="1">
        <v>656.91</v>
      </c>
      <c r="N70" s="1">
        <f t="shared" si="5"/>
        <v>291.95249999999999</v>
      </c>
      <c r="O70" s="1"/>
      <c r="P70" s="1"/>
      <c r="Q70" s="1"/>
      <c r="R70" s="1"/>
      <c r="S70" s="1"/>
      <c r="W70" s="35"/>
    </row>
    <row r="71" spans="1:23" hidden="1" x14ac:dyDescent="0.4">
      <c r="A71" t="s">
        <v>679</v>
      </c>
      <c r="B71" t="s">
        <v>643</v>
      </c>
      <c r="C71" s="131">
        <v>43532</v>
      </c>
      <c r="D71" t="s">
        <v>680</v>
      </c>
      <c r="F71" t="s">
        <v>645</v>
      </c>
      <c r="H71">
        <v>20</v>
      </c>
      <c r="J71" s="1">
        <v>8183.43</v>
      </c>
      <c r="K71" s="1"/>
      <c r="L71" s="1">
        <v>8183.43</v>
      </c>
      <c r="M71" s="1">
        <v>920.65</v>
      </c>
      <c r="N71" s="1">
        <f t="shared" si="5"/>
        <v>409.17150000000004</v>
      </c>
      <c r="O71" s="1"/>
      <c r="P71" s="1"/>
      <c r="Q71" s="1"/>
      <c r="R71" s="1"/>
      <c r="S71" s="1"/>
      <c r="W71" s="35"/>
    </row>
    <row r="72" spans="1:23" hidden="1" x14ac:dyDescent="0.4">
      <c r="A72" t="s">
        <v>681</v>
      </c>
      <c r="B72" t="s">
        <v>643</v>
      </c>
      <c r="C72" s="131">
        <v>43796</v>
      </c>
      <c r="D72" t="s">
        <v>682</v>
      </c>
      <c r="F72" t="s">
        <v>645</v>
      </c>
      <c r="H72">
        <v>20</v>
      </c>
      <c r="J72" s="1">
        <v>15078.96</v>
      </c>
      <c r="K72" s="1"/>
      <c r="L72" s="1">
        <v>15078.96</v>
      </c>
      <c r="M72" s="1">
        <v>1696.37</v>
      </c>
      <c r="N72" s="1">
        <f t="shared" si="5"/>
        <v>753.94799999999998</v>
      </c>
      <c r="O72" s="1"/>
      <c r="P72" s="1"/>
      <c r="Q72" s="1"/>
      <c r="R72" s="1"/>
      <c r="S72" s="1"/>
      <c r="W72" s="35"/>
    </row>
    <row r="73" spans="1:23" hidden="1" x14ac:dyDescent="0.4">
      <c r="A73" t="s">
        <v>683</v>
      </c>
      <c r="B73" t="s">
        <v>643</v>
      </c>
      <c r="C73" s="131">
        <v>43581</v>
      </c>
      <c r="D73" t="s">
        <v>684</v>
      </c>
      <c r="F73" t="s">
        <v>645</v>
      </c>
      <c r="H73">
        <v>20</v>
      </c>
      <c r="J73" s="1">
        <v>5716</v>
      </c>
      <c r="K73" s="1"/>
      <c r="L73" s="1">
        <v>5716</v>
      </c>
      <c r="M73" s="1">
        <v>643.04999999999995</v>
      </c>
      <c r="N73" s="1">
        <f t="shared" si="5"/>
        <v>285.8</v>
      </c>
      <c r="O73" s="1"/>
      <c r="P73" s="1"/>
      <c r="Q73" s="1"/>
      <c r="R73" s="1"/>
      <c r="S73" s="1"/>
      <c r="W73" s="35"/>
    </row>
    <row r="74" spans="1:23" hidden="1" x14ac:dyDescent="0.4">
      <c r="A74" t="s">
        <v>685</v>
      </c>
      <c r="B74" t="s">
        <v>643</v>
      </c>
      <c r="C74" s="131">
        <v>43649</v>
      </c>
      <c r="D74" t="s">
        <v>686</v>
      </c>
      <c r="F74" t="s">
        <v>645</v>
      </c>
      <c r="H74">
        <v>20</v>
      </c>
      <c r="J74" s="1">
        <v>6056.43</v>
      </c>
      <c r="K74" s="1"/>
      <c r="L74" s="1">
        <v>6056.43</v>
      </c>
      <c r="M74" s="1">
        <v>681.35</v>
      </c>
      <c r="N74" s="1">
        <f t="shared" si="5"/>
        <v>302.82150000000001</v>
      </c>
      <c r="O74" s="1"/>
      <c r="P74" s="1"/>
      <c r="Q74" s="1"/>
      <c r="R74" s="1"/>
      <c r="S74" s="1"/>
      <c r="W74" s="35"/>
    </row>
    <row r="75" spans="1:23" hidden="1" x14ac:dyDescent="0.4">
      <c r="A75" t="s">
        <v>687</v>
      </c>
      <c r="B75" t="s">
        <v>643</v>
      </c>
      <c r="C75" s="131">
        <v>43679</v>
      </c>
      <c r="D75" t="s">
        <v>688</v>
      </c>
      <c r="F75" t="s">
        <v>645</v>
      </c>
      <c r="H75">
        <v>20</v>
      </c>
      <c r="J75" s="1">
        <v>4587.49</v>
      </c>
      <c r="K75" s="1"/>
      <c r="L75" s="1">
        <v>4587.49</v>
      </c>
      <c r="M75" s="1">
        <v>516.1</v>
      </c>
      <c r="N75" s="1">
        <f t="shared" si="5"/>
        <v>229.37449999999998</v>
      </c>
      <c r="O75" s="1"/>
      <c r="P75" s="1"/>
      <c r="Q75" s="1"/>
      <c r="R75" s="1"/>
      <c r="S75" s="1"/>
      <c r="W75" s="35"/>
    </row>
    <row r="76" spans="1:23" hidden="1" x14ac:dyDescent="0.4">
      <c r="A76" t="s">
        <v>689</v>
      </c>
      <c r="B76" t="s">
        <v>643</v>
      </c>
      <c r="C76" s="131">
        <v>43755</v>
      </c>
      <c r="D76" t="s">
        <v>690</v>
      </c>
      <c r="F76" t="s">
        <v>645</v>
      </c>
      <c r="H76">
        <v>20</v>
      </c>
      <c r="J76" s="1">
        <v>26408.15</v>
      </c>
      <c r="K76" s="1"/>
      <c r="L76" s="1">
        <v>26408.15</v>
      </c>
      <c r="M76" s="1">
        <v>2970.9</v>
      </c>
      <c r="N76" s="1">
        <f t="shared" si="5"/>
        <v>1320.4075</v>
      </c>
      <c r="O76" s="1"/>
      <c r="P76" s="1"/>
      <c r="Q76" s="1"/>
      <c r="R76" s="1"/>
      <c r="S76" s="1"/>
      <c r="W76" s="35"/>
    </row>
    <row r="77" spans="1:23" hidden="1" x14ac:dyDescent="0.4">
      <c r="A77" t="s">
        <v>691</v>
      </c>
      <c r="B77" t="s">
        <v>643</v>
      </c>
      <c r="C77" s="131">
        <v>43879</v>
      </c>
      <c r="D77" t="s">
        <v>692</v>
      </c>
      <c r="F77" t="s">
        <v>645</v>
      </c>
      <c r="H77">
        <v>20</v>
      </c>
      <c r="J77" s="1">
        <v>7200</v>
      </c>
      <c r="K77" s="1"/>
      <c r="L77" s="1">
        <v>7200</v>
      </c>
      <c r="M77" s="1">
        <v>630</v>
      </c>
      <c r="N77" s="1">
        <f t="shared" si="5"/>
        <v>360</v>
      </c>
      <c r="O77" s="1"/>
      <c r="P77" s="1"/>
      <c r="Q77" s="1"/>
      <c r="R77" s="1"/>
      <c r="S77" s="1"/>
      <c r="W77" s="35"/>
    </row>
    <row r="78" spans="1:23" hidden="1" x14ac:dyDescent="0.4">
      <c r="A78" t="s">
        <v>693</v>
      </c>
      <c r="B78" t="s">
        <v>643</v>
      </c>
      <c r="C78" s="131">
        <v>43895</v>
      </c>
      <c r="D78" t="s">
        <v>694</v>
      </c>
      <c r="F78" t="s">
        <v>645</v>
      </c>
      <c r="H78">
        <v>20</v>
      </c>
      <c r="J78" s="1">
        <v>13818.94</v>
      </c>
      <c r="K78" s="1"/>
      <c r="L78" s="1">
        <v>13818.94</v>
      </c>
      <c r="M78" s="1">
        <v>1209.1500000000001</v>
      </c>
      <c r="N78" s="1">
        <f t="shared" si="5"/>
        <v>690.947</v>
      </c>
      <c r="O78" s="1"/>
      <c r="P78" s="1"/>
      <c r="Q78" s="1"/>
      <c r="R78" s="1"/>
      <c r="S78" s="1"/>
      <c r="W78" s="35"/>
    </row>
    <row r="79" spans="1:23" hidden="1" x14ac:dyDescent="0.4">
      <c r="A79" t="s">
        <v>695</v>
      </c>
      <c r="B79" t="s">
        <v>643</v>
      </c>
      <c r="C79" s="131">
        <v>44020</v>
      </c>
      <c r="D79" t="s">
        <v>696</v>
      </c>
      <c r="F79" t="s">
        <v>645</v>
      </c>
      <c r="H79">
        <v>20</v>
      </c>
      <c r="J79" s="1">
        <v>11285</v>
      </c>
      <c r="K79" s="1"/>
      <c r="L79" s="1">
        <v>11285</v>
      </c>
      <c r="M79" s="1">
        <v>987.44</v>
      </c>
      <c r="N79" s="1">
        <f t="shared" si="5"/>
        <v>564.25</v>
      </c>
      <c r="O79" s="1"/>
      <c r="P79" s="1"/>
      <c r="Q79" s="1"/>
      <c r="R79" s="1"/>
      <c r="S79" s="1"/>
      <c r="W79" s="35"/>
    </row>
    <row r="80" spans="1:23" hidden="1" x14ac:dyDescent="0.4">
      <c r="A80" t="s">
        <v>697</v>
      </c>
      <c r="B80" t="s">
        <v>643</v>
      </c>
      <c r="C80" s="131">
        <v>44316</v>
      </c>
      <c r="D80" t="s">
        <v>698</v>
      </c>
      <c r="F80" t="s">
        <v>645</v>
      </c>
      <c r="H80">
        <v>20</v>
      </c>
      <c r="J80" s="1">
        <v>18338.03</v>
      </c>
      <c r="K80" s="1"/>
      <c r="L80" s="1">
        <v>18338.03</v>
      </c>
      <c r="M80" s="1">
        <v>1146.1300000000001</v>
      </c>
      <c r="N80" s="1">
        <f t="shared" si="5"/>
        <v>916.90149999999994</v>
      </c>
      <c r="O80" s="1"/>
      <c r="P80" s="1"/>
      <c r="Q80" s="1"/>
      <c r="R80" s="1"/>
      <c r="S80" s="1"/>
      <c r="W80" s="35"/>
    </row>
    <row r="81" spans="1:23" hidden="1" x14ac:dyDescent="0.4">
      <c r="A81" t="s">
        <v>699</v>
      </c>
      <c r="B81" t="s">
        <v>643</v>
      </c>
      <c r="C81" s="131">
        <v>44216</v>
      </c>
      <c r="D81" t="s">
        <v>700</v>
      </c>
      <c r="F81" t="s">
        <v>645</v>
      </c>
      <c r="H81">
        <v>20</v>
      </c>
      <c r="J81" s="1">
        <v>450194.04</v>
      </c>
      <c r="K81" s="1"/>
      <c r="L81" s="1">
        <v>450194.04</v>
      </c>
      <c r="M81" s="1">
        <v>28137.13</v>
      </c>
      <c r="N81" s="1">
        <f t="shared" si="5"/>
        <v>22509.701999999997</v>
      </c>
      <c r="O81" s="1"/>
      <c r="P81" s="1"/>
      <c r="Q81" s="1"/>
      <c r="R81" s="1"/>
      <c r="S81" s="1"/>
      <c r="W81" s="35"/>
    </row>
    <row r="82" spans="1:23" hidden="1" x14ac:dyDescent="0.4">
      <c r="A82" t="s">
        <v>701</v>
      </c>
      <c r="B82" t="s">
        <v>643</v>
      </c>
      <c r="C82" s="131">
        <v>44216</v>
      </c>
      <c r="D82" t="s">
        <v>702</v>
      </c>
      <c r="F82" t="s">
        <v>645</v>
      </c>
      <c r="H82">
        <v>20</v>
      </c>
      <c r="J82" s="1">
        <v>450194.05</v>
      </c>
      <c r="K82" s="1"/>
      <c r="L82" s="1">
        <v>450194.05</v>
      </c>
      <c r="M82" s="1">
        <v>28137.13</v>
      </c>
      <c r="N82" s="1">
        <f t="shared" si="5"/>
        <v>22509.702499999999</v>
      </c>
      <c r="O82" s="1"/>
      <c r="P82" s="1"/>
      <c r="Q82" s="1"/>
      <c r="R82" s="1"/>
      <c r="S82" s="1"/>
      <c r="W82" s="35"/>
    </row>
    <row r="83" spans="1:23" hidden="1" x14ac:dyDescent="0.4">
      <c r="A83" t="s">
        <v>703</v>
      </c>
      <c r="B83" t="s">
        <v>643</v>
      </c>
      <c r="C83" s="131">
        <v>44417</v>
      </c>
      <c r="D83" t="s">
        <v>704</v>
      </c>
      <c r="F83" t="s">
        <v>645</v>
      </c>
      <c r="H83">
        <v>20</v>
      </c>
      <c r="J83" s="1">
        <v>20343.669999999998</v>
      </c>
      <c r="K83" s="1"/>
      <c r="L83" s="1">
        <v>20343.669999999998</v>
      </c>
      <c r="M83" s="1">
        <v>5085.92</v>
      </c>
      <c r="N83" s="1">
        <f t="shared" si="5"/>
        <v>1017.1834999999999</v>
      </c>
      <c r="O83" s="1"/>
      <c r="P83" s="1"/>
      <c r="Q83" s="1"/>
      <c r="R83" s="1"/>
      <c r="S83" s="1"/>
      <c r="W83" s="35"/>
    </row>
    <row r="84" spans="1:23" hidden="1" x14ac:dyDescent="0.4">
      <c r="A84" t="s">
        <v>705</v>
      </c>
      <c r="B84" t="s">
        <v>643</v>
      </c>
      <c r="C84" s="131">
        <v>44417</v>
      </c>
      <c r="D84" t="s">
        <v>706</v>
      </c>
      <c r="F84" t="s">
        <v>645</v>
      </c>
      <c r="H84">
        <v>20</v>
      </c>
      <c r="J84" s="1">
        <v>144841</v>
      </c>
      <c r="K84" s="1"/>
      <c r="L84" s="1">
        <v>144841</v>
      </c>
      <c r="M84" s="1">
        <v>9052.57</v>
      </c>
      <c r="N84" s="1">
        <f t="shared" si="5"/>
        <v>7242.05</v>
      </c>
      <c r="O84" s="1"/>
      <c r="P84" s="1"/>
      <c r="Q84" s="1"/>
      <c r="R84" s="1"/>
      <c r="S84" s="1"/>
      <c r="W84" s="35"/>
    </row>
    <row r="85" spans="1:23" hidden="1" x14ac:dyDescent="0.4">
      <c r="A85" t="s">
        <v>707</v>
      </c>
      <c r="B85" t="s">
        <v>643</v>
      </c>
      <c r="C85" s="131">
        <v>44417</v>
      </c>
      <c r="D85" t="s">
        <v>708</v>
      </c>
      <c r="F85" t="s">
        <v>645</v>
      </c>
      <c r="H85">
        <v>20</v>
      </c>
      <c r="J85" s="1">
        <v>105433.66</v>
      </c>
      <c r="K85" s="1"/>
      <c r="L85" s="1">
        <v>105433.66</v>
      </c>
      <c r="M85" s="1">
        <v>6589.6</v>
      </c>
      <c r="N85" s="1">
        <f t="shared" si="5"/>
        <v>5271.683</v>
      </c>
      <c r="O85" s="1"/>
      <c r="P85" s="1"/>
      <c r="Q85" s="1"/>
      <c r="R85" s="1"/>
      <c r="S85" s="1"/>
      <c r="W85" s="35"/>
    </row>
    <row r="86" spans="1:23" hidden="1" x14ac:dyDescent="0.4">
      <c r="A86" t="s">
        <v>709</v>
      </c>
      <c r="B86" t="s">
        <v>643</v>
      </c>
      <c r="C86" s="131">
        <v>44536</v>
      </c>
      <c r="D86" t="s">
        <v>710</v>
      </c>
      <c r="F86" t="s">
        <v>645</v>
      </c>
      <c r="H86">
        <v>20</v>
      </c>
      <c r="J86" s="1">
        <v>5499.89</v>
      </c>
      <c r="K86" s="1"/>
      <c r="L86" s="1">
        <v>5499.89</v>
      </c>
      <c r="M86" s="1">
        <v>343.75</v>
      </c>
      <c r="N86" s="1">
        <f t="shared" si="5"/>
        <v>274.99450000000002</v>
      </c>
      <c r="O86" s="1"/>
      <c r="P86" s="1"/>
      <c r="Q86" s="1"/>
      <c r="R86" s="1"/>
      <c r="S86" s="1"/>
      <c r="W86" s="35"/>
    </row>
    <row r="87" spans="1:23" hidden="1" x14ac:dyDescent="0.4">
      <c r="A87" t="s">
        <v>711</v>
      </c>
      <c r="B87" t="s">
        <v>643</v>
      </c>
      <c r="C87" s="131">
        <v>44592</v>
      </c>
      <c r="D87" t="s">
        <v>712</v>
      </c>
      <c r="F87" t="s">
        <v>645</v>
      </c>
      <c r="H87">
        <v>20</v>
      </c>
      <c r="J87" s="1">
        <v>9740.7800000000007</v>
      </c>
      <c r="K87" s="1"/>
      <c r="L87" s="1">
        <v>9740.7800000000007</v>
      </c>
      <c r="M87" s="1">
        <v>365.28</v>
      </c>
      <c r="N87" s="1">
        <f t="shared" si="5"/>
        <v>487.03900000000004</v>
      </c>
      <c r="O87" s="1"/>
      <c r="P87" s="1"/>
      <c r="Q87" s="1"/>
      <c r="R87" s="1"/>
      <c r="S87" s="1"/>
      <c r="W87" s="35"/>
    </row>
    <row r="88" spans="1:23" hidden="1" x14ac:dyDescent="0.4">
      <c r="A88" t="s">
        <v>713</v>
      </c>
      <c r="B88" t="s">
        <v>643</v>
      </c>
      <c r="C88" s="131">
        <v>43119</v>
      </c>
      <c r="D88" t="s">
        <v>714</v>
      </c>
      <c r="F88" t="s">
        <v>645</v>
      </c>
      <c r="H88">
        <v>20</v>
      </c>
      <c r="J88" s="1">
        <v>55000</v>
      </c>
      <c r="K88" s="1"/>
      <c r="L88" s="1">
        <v>55000</v>
      </c>
      <c r="M88" s="1">
        <v>7562.5</v>
      </c>
      <c r="N88" s="1">
        <f t="shared" si="5"/>
        <v>2750</v>
      </c>
      <c r="O88" s="1"/>
      <c r="P88" s="1"/>
      <c r="Q88" s="1"/>
      <c r="R88" s="1"/>
      <c r="S88" s="1"/>
      <c r="W88" s="35"/>
    </row>
    <row r="89" spans="1:23" hidden="1" x14ac:dyDescent="0.4">
      <c r="A89" t="s">
        <v>715</v>
      </c>
      <c r="B89" t="s">
        <v>643</v>
      </c>
      <c r="C89" s="131">
        <v>42942</v>
      </c>
      <c r="D89" t="s">
        <v>716</v>
      </c>
      <c r="F89" t="s">
        <v>645</v>
      </c>
      <c r="H89">
        <v>20</v>
      </c>
      <c r="J89" s="1">
        <v>579383.5</v>
      </c>
      <c r="K89" s="1"/>
      <c r="L89" s="1">
        <v>579383.5</v>
      </c>
      <c r="M89" s="1">
        <v>59483.4</v>
      </c>
      <c r="N89" s="1">
        <f t="shared" si="5"/>
        <v>28969.174999999999</v>
      </c>
      <c r="O89" s="1"/>
      <c r="P89" s="1"/>
      <c r="Q89" s="1"/>
      <c r="R89" s="1"/>
      <c r="S89" s="1"/>
      <c r="W89" s="35"/>
    </row>
    <row r="90" spans="1:23" hidden="1" x14ac:dyDescent="0.4">
      <c r="A90" t="s">
        <v>717</v>
      </c>
      <c r="B90" t="s">
        <v>643</v>
      </c>
      <c r="C90" s="131">
        <v>42942</v>
      </c>
      <c r="D90" t="s">
        <v>718</v>
      </c>
      <c r="F90" t="s">
        <v>645</v>
      </c>
      <c r="H90">
        <v>20</v>
      </c>
      <c r="J90" s="1">
        <v>579383.5</v>
      </c>
      <c r="K90" s="1"/>
      <c r="L90" s="1">
        <v>579383.5</v>
      </c>
      <c r="M90" s="1">
        <v>92942.79</v>
      </c>
      <c r="N90" s="1">
        <f t="shared" si="5"/>
        <v>28969.174999999999</v>
      </c>
      <c r="O90" s="1"/>
      <c r="P90" s="1"/>
      <c r="Q90" s="1"/>
      <c r="R90" s="1"/>
      <c r="S90" s="1"/>
      <c r="W90" s="35"/>
    </row>
    <row r="91" spans="1:23" x14ac:dyDescent="0.4">
      <c r="C91" s="131"/>
      <c r="J91" s="1"/>
      <c r="K91" s="1"/>
      <c r="L91" s="1"/>
      <c r="M91" s="1"/>
      <c r="N91" s="1"/>
      <c r="O91" s="1"/>
      <c r="P91" s="1"/>
      <c r="Q91" s="1"/>
      <c r="R91" s="1"/>
      <c r="S91" s="1"/>
      <c r="W91" s="35"/>
    </row>
    <row r="92" spans="1:23" x14ac:dyDescent="0.4">
      <c r="A92" s="237" t="str">
        <f>A26</f>
        <v>Pumping Equipment</v>
      </c>
      <c r="C92" s="131"/>
      <c r="J92" s="1">
        <f>SUM(J27:J91)</f>
        <v>4535309</v>
      </c>
      <c r="K92" s="1"/>
      <c r="L92" s="1"/>
      <c r="M92" s="1"/>
      <c r="N92" s="1">
        <f>SUM(N27:N91)</f>
        <v>226765.44999999998</v>
      </c>
      <c r="O92" s="1"/>
      <c r="P92" s="1"/>
      <c r="Q92" s="1"/>
      <c r="R92" s="1"/>
      <c r="S92" s="1"/>
      <c r="W92" s="35"/>
    </row>
    <row r="93" spans="1:23" x14ac:dyDescent="0.4">
      <c r="C93" s="131"/>
      <c r="J93" s="1"/>
      <c r="K93" s="1"/>
      <c r="L93" s="1"/>
      <c r="M93" s="1"/>
      <c r="N93" s="1"/>
      <c r="O93" s="1"/>
      <c r="P93" s="1"/>
      <c r="Q93" s="1"/>
      <c r="R93" s="1"/>
      <c r="S93" s="1"/>
      <c r="W93" s="35"/>
    </row>
    <row r="94" spans="1:23" x14ac:dyDescent="0.4">
      <c r="C94" s="131"/>
      <c r="J94" s="1"/>
      <c r="K94" s="1"/>
      <c r="L94" s="1"/>
      <c r="M94" s="1"/>
      <c r="N94" s="1"/>
      <c r="O94" s="1"/>
      <c r="P94" s="1"/>
      <c r="Q94" s="1"/>
      <c r="R94" s="1"/>
      <c r="S94" s="1"/>
      <c r="W94" s="35"/>
    </row>
    <row r="95" spans="1:23" x14ac:dyDescent="0.4">
      <c r="C95" s="131"/>
      <c r="J95" s="1"/>
      <c r="K95" s="1"/>
      <c r="L95" s="1"/>
      <c r="M95" s="1"/>
      <c r="N95" s="1"/>
      <c r="O95" s="1"/>
      <c r="P95" s="1"/>
      <c r="Q95" s="1"/>
      <c r="R95" s="1"/>
      <c r="S95" s="1"/>
      <c r="W95" s="35"/>
    </row>
    <row r="96" spans="1:23" ht="21" x14ac:dyDescent="0.5">
      <c r="A96" s="242" t="s">
        <v>634</v>
      </c>
      <c r="C96" s="131"/>
      <c r="J96" s="1"/>
      <c r="K96" s="1"/>
      <c r="L96" s="1"/>
      <c r="M96" s="1"/>
      <c r="N96" s="1"/>
      <c r="O96" s="1"/>
      <c r="P96" s="1"/>
      <c r="Q96" s="1"/>
      <c r="R96" s="1"/>
      <c r="S96" s="1"/>
      <c r="W96" s="35"/>
    </row>
    <row r="97" spans="1:23" hidden="1" x14ac:dyDescent="0.4">
      <c r="A97" t="s">
        <v>1283</v>
      </c>
      <c r="B97" t="s">
        <v>1284</v>
      </c>
      <c r="C97" s="131">
        <v>43119</v>
      </c>
      <c r="D97" t="s">
        <v>1285</v>
      </c>
      <c r="F97" t="s">
        <v>645</v>
      </c>
      <c r="H97">
        <v>45</v>
      </c>
      <c r="J97" s="1">
        <v>55000</v>
      </c>
      <c r="K97" s="1"/>
      <c r="L97" s="1">
        <v>55000</v>
      </c>
      <c r="M97" s="1">
        <v>7562.5</v>
      </c>
      <c r="N97" s="1">
        <f>J97/H97</f>
        <v>1222.2222222222222</v>
      </c>
      <c r="O97" s="1"/>
      <c r="P97" s="1"/>
      <c r="Q97" s="1"/>
      <c r="R97" s="1"/>
      <c r="S97" s="1"/>
      <c r="W97" s="35"/>
    </row>
    <row r="98" spans="1:23" hidden="1" x14ac:dyDescent="0.4">
      <c r="A98" t="s">
        <v>1286</v>
      </c>
      <c r="B98" t="s">
        <v>1284</v>
      </c>
      <c r="C98" s="131">
        <v>38990</v>
      </c>
      <c r="D98" t="s">
        <v>1287</v>
      </c>
      <c r="F98" t="s">
        <v>645</v>
      </c>
      <c r="H98">
        <v>45</v>
      </c>
      <c r="J98" s="1">
        <v>197363.5</v>
      </c>
      <c r="K98" s="1"/>
      <c r="L98" s="1">
        <v>197363.5</v>
      </c>
      <c r="M98" s="1">
        <v>115128.69</v>
      </c>
      <c r="N98" s="1">
        <f t="shared" ref="N98:N161" si="6">J98/H98</f>
        <v>4385.8555555555558</v>
      </c>
      <c r="O98" s="1"/>
      <c r="P98" s="1"/>
      <c r="Q98" s="1"/>
      <c r="R98" s="1"/>
      <c r="S98" s="1"/>
      <c r="W98" s="35"/>
    </row>
    <row r="99" spans="1:23" hidden="1" x14ac:dyDescent="0.4">
      <c r="A99" t="s">
        <v>1288</v>
      </c>
      <c r="B99" t="s">
        <v>1284</v>
      </c>
      <c r="C99" s="131">
        <v>39539</v>
      </c>
      <c r="D99" t="s">
        <v>1289</v>
      </c>
      <c r="F99" t="s">
        <v>645</v>
      </c>
      <c r="H99">
        <v>45</v>
      </c>
      <c r="J99" s="1">
        <v>30000</v>
      </c>
      <c r="K99" s="1"/>
      <c r="L99" s="1">
        <v>30000</v>
      </c>
      <c r="M99" s="1">
        <v>15500</v>
      </c>
      <c r="N99" s="1">
        <f t="shared" si="6"/>
        <v>666.66666666666663</v>
      </c>
      <c r="O99" s="1"/>
      <c r="P99" s="1"/>
      <c r="Q99" s="1"/>
      <c r="R99" s="1"/>
      <c r="S99" s="1"/>
      <c r="T99" s="35"/>
      <c r="W99" s="35"/>
    </row>
    <row r="100" spans="1:23" hidden="1" x14ac:dyDescent="0.4">
      <c r="A100" t="s">
        <v>1290</v>
      </c>
      <c r="B100" t="s">
        <v>1284</v>
      </c>
      <c r="C100" s="131">
        <v>40909</v>
      </c>
      <c r="D100" t="s">
        <v>1291</v>
      </c>
      <c r="F100" t="s">
        <v>645</v>
      </c>
      <c r="H100">
        <v>45</v>
      </c>
      <c r="J100" s="1">
        <v>120000</v>
      </c>
      <c r="K100" s="1"/>
      <c r="L100" s="1">
        <v>120000</v>
      </c>
      <c r="M100" s="1">
        <v>46000</v>
      </c>
      <c r="N100" s="1">
        <f t="shared" si="6"/>
        <v>2666.6666666666665</v>
      </c>
      <c r="O100" s="1"/>
      <c r="P100" s="1"/>
      <c r="Q100" s="1"/>
      <c r="R100" s="1"/>
      <c r="S100" s="1"/>
      <c r="W100" s="35"/>
    </row>
    <row r="101" spans="1:23" hidden="1" x14ac:dyDescent="0.4">
      <c r="A101" t="s">
        <v>1292</v>
      </c>
      <c r="B101" t="s">
        <v>1284</v>
      </c>
      <c r="C101" s="131">
        <v>40909</v>
      </c>
      <c r="D101" t="s">
        <v>1291</v>
      </c>
      <c r="F101" t="s">
        <v>645</v>
      </c>
      <c r="H101">
        <v>45</v>
      </c>
      <c r="J101" s="1">
        <v>25000</v>
      </c>
      <c r="K101" s="1"/>
      <c r="L101" s="1">
        <v>25000</v>
      </c>
      <c r="M101" s="1">
        <v>9583.2999999999993</v>
      </c>
      <c r="N101" s="1">
        <f t="shared" si="6"/>
        <v>555.55555555555554</v>
      </c>
      <c r="O101" s="1"/>
      <c r="P101" s="1"/>
      <c r="Q101" s="1"/>
      <c r="R101" s="1"/>
      <c r="S101" s="1"/>
      <c r="W101" s="35"/>
    </row>
    <row r="102" spans="1:23" hidden="1" x14ac:dyDescent="0.4">
      <c r="A102" t="s">
        <v>1293</v>
      </c>
      <c r="B102" t="s">
        <v>1284</v>
      </c>
      <c r="C102" s="131">
        <v>41654</v>
      </c>
      <c r="D102" t="s">
        <v>1294</v>
      </c>
      <c r="F102" t="s">
        <v>645</v>
      </c>
      <c r="H102">
        <v>20</v>
      </c>
      <c r="J102" s="1">
        <v>202207.1</v>
      </c>
      <c r="K102" s="1"/>
      <c r="L102" s="1">
        <v>202207.1</v>
      </c>
      <c r="M102" s="1">
        <v>64032.27</v>
      </c>
      <c r="N102" s="1">
        <f t="shared" si="6"/>
        <v>10110.355</v>
      </c>
    </row>
    <row r="103" spans="1:23" hidden="1" x14ac:dyDescent="0.4">
      <c r="A103" t="s">
        <v>1295</v>
      </c>
      <c r="B103" t="s">
        <v>1284</v>
      </c>
      <c r="C103" s="131">
        <v>41653</v>
      </c>
      <c r="D103" t="s">
        <v>1296</v>
      </c>
      <c r="F103" t="s">
        <v>645</v>
      </c>
      <c r="H103">
        <v>20</v>
      </c>
      <c r="J103" s="1">
        <v>67543.289999999994</v>
      </c>
      <c r="K103" s="1"/>
      <c r="L103" s="1">
        <v>67543.289999999994</v>
      </c>
      <c r="M103" s="1">
        <v>32083.06</v>
      </c>
      <c r="N103" s="1">
        <f t="shared" si="6"/>
        <v>3377.1644999999999</v>
      </c>
      <c r="O103" s="35"/>
      <c r="R103" s="35"/>
    </row>
    <row r="104" spans="1:23" hidden="1" x14ac:dyDescent="0.4">
      <c r="A104" t="s">
        <v>1297</v>
      </c>
      <c r="B104" t="s">
        <v>1284</v>
      </c>
      <c r="C104" s="131">
        <v>41653</v>
      </c>
      <c r="D104" t="s">
        <v>1298</v>
      </c>
      <c r="F104" t="s">
        <v>645</v>
      </c>
      <c r="H104">
        <v>20</v>
      </c>
      <c r="J104" s="1">
        <v>67543.289999999994</v>
      </c>
      <c r="K104" s="1"/>
      <c r="L104" s="1">
        <v>67543.289999999994</v>
      </c>
      <c r="M104" s="1">
        <v>32083.06</v>
      </c>
      <c r="N104" s="1">
        <f t="shared" si="6"/>
        <v>3377.1644999999999</v>
      </c>
    </row>
    <row r="105" spans="1:23" hidden="1" x14ac:dyDescent="0.4">
      <c r="A105" t="s">
        <v>1299</v>
      </c>
      <c r="B105" t="s">
        <v>1284</v>
      </c>
      <c r="C105" s="131">
        <v>41653</v>
      </c>
      <c r="D105" t="s">
        <v>1300</v>
      </c>
      <c r="F105" t="s">
        <v>645</v>
      </c>
      <c r="H105">
        <v>20</v>
      </c>
      <c r="J105" s="1">
        <v>33771.69</v>
      </c>
      <c r="K105" s="1"/>
      <c r="L105" s="1">
        <v>33771.69</v>
      </c>
      <c r="M105" s="1">
        <v>16041.55</v>
      </c>
      <c r="N105" s="1">
        <f t="shared" si="6"/>
        <v>1688.5845000000002</v>
      </c>
    </row>
    <row r="106" spans="1:23" hidden="1" x14ac:dyDescent="0.4">
      <c r="A106" t="s">
        <v>1301</v>
      </c>
      <c r="B106" t="s">
        <v>1284</v>
      </c>
      <c r="C106" s="131">
        <v>41653</v>
      </c>
      <c r="D106" t="s">
        <v>1302</v>
      </c>
      <c r="F106" t="s">
        <v>645</v>
      </c>
      <c r="H106">
        <v>20</v>
      </c>
      <c r="J106" s="1">
        <v>67543.289999999994</v>
      </c>
      <c r="K106" s="1"/>
      <c r="L106" s="1">
        <v>67543.289999999994</v>
      </c>
      <c r="M106" s="1">
        <v>32083.06</v>
      </c>
      <c r="N106" s="1">
        <f t="shared" si="6"/>
        <v>3377.1644999999999</v>
      </c>
      <c r="O106" s="2"/>
      <c r="P106" s="2"/>
      <c r="Q106" s="2"/>
      <c r="R106" s="2"/>
      <c r="S106" s="2"/>
      <c r="T106" s="2"/>
    </row>
    <row r="107" spans="1:23" hidden="1" x14ac:dyDescent="0.4">
      <c r="A107" t="s">
        <v>1303</v>
      </c>
      <c r="B107" t="s">
        <v>1284</v>
      </c>
      <c r="C107" s="131">
        <v>41653</v>
      </c>
      <c r="D107" t="s">
        <v>1304</v>
      </c>
      <c r="F107" t="s">
        <v>645</v>
      </c>
      <c r="H107">
        <v>20</v>
      </c>
      <c r="J107" s="1">
        <v>33771.69</v>
      </c>
      <c r="K107" s="1"/>
      <c r="L107" s="1">
        <v>33771.69</v>
      </c>
      <c r="M107" s="1">
        <v>16041.55</v>
      </c>
      <c r="N107" s="1">
        <f t="shared" si="6"/>
        <v>1688.5845000000002</v>
      </c>
      <c r="O107" s="2"/>
      <c r="P107" s="2"/>
      <c r="Q107" s="2"/>
      <c r="R107" s="2"/>
      <c r="S107" s="2"/>
      <c r="T107" s="2"/>
    </row>
    <row r="108" spans="1:23" hidden="1" x14ac:dyDescent="0.4">
      <c r="A108" t="s">
        <v>1305</v>
      </c>
      <c r="B108" t="s">
        <v>1284</v>
      </c>
      <c r="C108" s="131">
        <v>41653</v>
      </c>
      <c r="D108" t="s">
        <v>1306</v>
      </c>
      <c r="F108" t="s">
        <v>645</v>
      </c>
      <c r="H108">
        <v>20</v>
      </c>
      <c r="J108" s="1">
        <v>33771.69</v>
      </c>
      <c r="K108" s="1"/>
      <c r="L108" s="1">
        <v>33771.69</v>
      </c>
      <c r="M108" s="1">
        <v>16041.55</v>
      </c>
      <c r="N108" s="1">
        <f t="shared" si="6"/>
        <v>1688.5845000000002</v>
      </c>
      <c r="O108" s="1"/>
      <c r="P108" s="1"/>
      <c r="Q108" s="1"/>
      <c r="R108" s="1"/>
      <c r="S108" s="1"/>
      <c r="W108" s="35"/>
    </row>
    <row r="109" spans="1:23" hidden="1" x14ac:dyDescent="0.4">
      <c r="A109" t="s">
        <v>1307</v>
      </c>
      <c r="B109" t="s">
        <v>1284</v>
      </c>
      <c r="C109" s="131">
        <v>41653</v>
      </c>
      <c r="D109" t="s">
        <v>1308</v>
      </c>
      <c r="F109" t="s">
        <v>645</v>
      </c>
      <c r="H109">
        <v>20</v>
      </c>
      <c r="J109" s="1">
        <v>67543.289999999994</v>
      </c>
      <c r="K109" s="1"/>
      <c r="L109" s="1">
        <v>67543.289999999994</v>
      </c>
      <c r="M109" s="1">
        <v>32083.06</v>
      </c>
      <c r="N109" s="1">
        <f t="shared" si="6"/>
        <v>3377.1644999999999</v>
      </c>
      <c r="O109" s="1"/>
      <c r="P109" s="1"/>
      <c r="Q109" s="1"/>
      <c r="R109" s="1"/>
      <c r="S109" s="1"/>
      <c r="W109" s="35"/>
    </row>
    <row r="110" spans="1:23" hidden="1" x14ac:dyDescent="0.4">
      <c r="A110" t="s">
        <v>1309</v>
      </c>
      <c r="B110" t="s">
        <v>1284</v>
      </c>
      <c r="C110" s="131">
        <v>41653</v>
      </c>
      <c r="D110" t="s">
        <v>1310</v>
      </c>
      <c r="F110" t="s">
        <v>645</v>
      </c>
      <c r="H110">
        <v>20</v>
      </c>
      <c r="J110" s="1">
        <v>67543.289999999994</v>
      </c>
      <c r="K110" s="1"/>
      <c r="L110" s="1">
        <v>67543.289999999994</v>
      </c>
      <c r="M110" s="1">
        <v>32083.06</v>
      </c>
      <c r="N110" s="1">
        <f t="shared" si="6"/>
        <v>3377.1644999999999</v>
      </c>
      <c r="O110" s="1"/>
      <c r="P110" s="1"/>
      <c r="Q110" s="1"/>
      <c r="R110" s="1"/>
      <c r="S110" s="1"/>
      <c r="W110" s="35"/>
    </row>
    <row r="111" spans="1:23" hidden="1" x14ac:dyDescent="0.4">
      <c r="A111" t="s">
        <v>1311</v>
      </c>
      <c r="B111" t="s">
        <v>1284</v>
      </c>
      <c r="C111" s="131">
        <v>41653</v>
      </c>
      <c r="D111" t="s">
        <v>1312</v>
      </c>
      <c r="F111" t="s">
        <v>645</v>
      </c>
      <c r="H111">
        <v>20</v>
      </c>
      <c r="J111" s="1">
        <v>33771.69</v>
      </c>
      <c r="K111" s="1"/>
      <c r="L111" s="1">
        <v>33771.69</v>
      </c>
      <c r="M111" s="1">
        <v>16041.55</v>
      </c>
      <c r="N111" s="1">
        <f t="shared" si="6"/>
        <v>1688.5845000000002</v>
      </c>
      <c r="O111" s="1"/>
      <c r="P111" s="1"/>
      <c r="Q111" s="1"/>
      <c r="R111" s="1"/>
      <c r="S111" s="1"/>
      <c r="W111" s="35"/>
    </row>
    <row r="112" spans="1:23" hidden="1" x14ac:dyDescent="0.4">
      <c r="A112" t="s">
        <v>1313</v>
      </c>
      <c r="B112" t="s">
        <v>1284</v>
      </c>
      <c r="C112" s="131">
        <v>41653</v>
      </c>
      <c r="D112" t="s">
        <v>1314</v>
      </c>
      <c r="F112" t="s">
        <v>645</v>
      </c>
      <c r="H112">
        <v>20</v>
      </c>
      <c r="J112" s="1">
        <v>67543.289999999994</v>
      </c>
      <c r="K112" s="1"/>
      <c r="L112" s="1">
        <v>67543.289999999994</v>
      </c>
      <c r="M112" s="1">
        <v>32083.06</v>
      </c>
      <c r="N112" s="1">
        <f t="shared" si="6"/>
        <v>3377.1644999999999</v>
      </c>
      <c r="O112" s="1"/>
      <c r="P112" s="1"/>
      <c r="Q112" s="1"/>
      <c r="R112" s="1"/>
      <c r="S112" s="1"/>
      <c r="W112" s="35"/>
    </row>
    <row r="113" spans="1:23" hidden="1" x14ac:dyDescent="0.4">
      <c r="A113" t="s">
        <v>1315</v>
      </c>
      <c r="B113" t="s">
        <v>1284</v>
      </c>
      <c r="C113" s="131">
        <v>41653</v>
      </c>
      <c r="D113" t="s">
        <v>1316</v>
      </c>
      <c r="F113" t="s">
        <v>645</v>
      </c>
      <c r="H113">
        <v>20</v>
      </c>
      <c r="J113" s="1">
        <v>101314.73</v>
      </c>
      <c r="K113" s="1"/>
      <c r="L113" s="1">
        <v>101314.73</v>
      </c>
      <c r="M113" s="1">
        <v>48124.51</v>
      </c>
      <c r="N113" s="1">
        <f t="shared" si="6"/>
        <v>5065.7365</v>
      </c>
      <c r="O113" s="1"/>
      <c r="P113" s="1"/>
      <c r="Q113" s="1"/>
      <c r="R113" s="1"/>
      <c r="S113" s="1"/>
      <c r="W113" s="35"/>
    </row>
    <row r="114" spans="1:23" hidden="1" x14ac:dyDescent="0.4">
      <c r="A114" t="s">
        <v>1317</v>
      </c>
      <c r="B114" t="s">
        <v>1284</v>
      </c>
      <c r="C114" s="131">
        <v>41653</v>
      </c>
      <c r="D114" t="s">
        <v>1318</v>
      </c>
      <c r="F114" t="s">
        <v>645</v>
      </c>
      <c r="H114">
        <v>20</v>
      </c>
      <c r="J114" s="1">
        <v>33771.69</v>
      </c>
      <c r="K114" s="1"/>
      <c r="L114" s="1">
        <v>33771.69</v>
      </c>
      <c r="M114" s="1">
        <v>16041.55</v>
      </c>
      <c r="N114" s="1">
        <f t="shared" si="6"/>
        <v>1688.5845000000002</v>
      </c>
      <c r="O114" s="1"/>
      <c r="P114" s="1"/>
      <c r="Q114" s="1"/>
      <c r="R114" s="1"/>
      <c r="S114" s="1"/>
      <c r="W114" s="35"/>
    </row>
    <row r="115" spans="1:23" hidden="1" x14ac:dyDescent="0.4">
      <c r="A115" t="s">
        <v>1319</v>
      </c>
      <c r="B115" t="s">
        <v>1284</v>
      </c>
      <c r="C115" s="131">
        <v>43270</v>
      </c>
      <c r="D115" t="s">
        <v>1320</v>
      </c>
      <c r="F115" t="s">
        <v>645</v>
      </c>
      <c r="H115">
        <v>20</v>
      </c>
      <c r="J115" s="1">
        <v>301468.2</v>
      </c>
      <c r="K115" s="1"/>
      <c r="L115" s="1">
        <v>301468.2</v>
      </c>
      <c r="M115" s="1">
        <v>55269.17</v>
      </c>
      <c r="N115" s="1">
        <f t="shared" si="6"/>
        <v>15073.41</v>
      </c>
      <c r="O115" s="1"/>
      <c r="P115" s="1"/>
      <c r="Q115" s="1"/>
      <c r="R115" s="1"/>
      <c r="S115" s="1"/>
      <c r="W115" s="35"/>
    </row>
    <row r="116" spans="1:23" hidden="1" x14ac:dyDescent="0.4">
      <c r="A116" t="s">
        <v>1321</v>
      </c>
      <c r="B116" t="s">
        <v>1284</v>
      </c>
      <c r="C116" s="131">
        <v>43119</v>
      </c>
      <c r="D116" t="s">
        <v>1322</v>
      </c>
      <c r="F116" t="s">
        <v>645</v>
      </c>
      <c r="H116">
        <v>15</v>
      </c>
      <c r="J116" s="1">
        <v>45000</v>
      </c>
      <c r="K116" s="1"/>
      <c r="L116" s="1">
        <v>45000</v>
      </c>
      <c r="M116" s="1">
        <v>12375</v>
      </c>
      <c r="N116" s="1">
        <f t="shared" si="6"/>
        <v>3000</v>
      </c>
      <c r="O116" s="1"/>
      <c r="P116" s="1"/>
      <c r="Q116" s="1"/>
      <c r="R116" s="1"/>
      <c r="S116" s="1"/>
      <c r="W116" s="35"/>
    </row>
    <row r="117" spans="1:23" hidden="1" x14ac:dyDescent="0.4">
      <c r="A117" t="s">
        <v>1323</v>
      </c>
      <c r="B117" t="s">
        <v>1284</v>
      </c>
      <c r="C117" s="131">
        <v>43119</v>
      </c>
      <c r="D117" t="s">
        <v>420</v>
      </c>
      <c r="F117" t="s">
        <v>645</v>
      </c>
      <c r="H117">
        <v>20</v>
      </c>
      <c r="J117" s="1">
        <v>60000</v>
      </c>
      <c r="K117" s="1"/>
      <c r="L117" s="1">
        <v>60000</v>
      </c>
      <c r="M117" s="1">
        <v>11000</v>
      </c>
      <c r="N117" s="1">
        <f t="shared" si="6"/>
        <v>3000</v>
      </c>
      <c r="O117" s="1"/>
      <c r="P117" s="1"/>
      <c r="Q117" s="1"/>
      <c r="R117" s="1"/>
      <c r="S117" s="1"/>
      <c r="W117" s="35"/>
    </row>
    <row r="118" spans="1:23" hidden="1" x14ac:dyDescent="0.4">
      <c r="A118" t="s">
        <v>1324</v>
      </c>
      <c r="B118" t="s">
        <v>1284</v>
      </c>
      <c r="C118" s="131">
        <v>43119</v>
      </c>
      <c r="D118" t="s">
        <v>1325</v>
      </c>
      <c r="F118" t="s">
        <v>645</v>
      </c>
      <c r="H118">
        <v>20</v>
      </c>
      <c r="J118" s="1">
        <v>70000</v>
      </c>
      <c r="K118" s="1"/>
      <c r="L118" s="1">
        <v>70000</v>
      </c>
      <c r="M118" s="1">
        <v>12833.32</v>
      </c>
      <c r="N118" s="1">
        <f t="shared" si="6"/>
        <v>3500</v>
      </c>
      <c r="O118" s="1"/>
      <c r="P118" s="1"/>
      <c r="Q118" s="1"/>
      <c r="R118" s="1"/>
      <c r="S118" s="1"/>
      <c r="W118" s="35"/>
    </row>
    <row r="119" spans="1:23" hidden="1" x14ac:dyDescent="0.4">
      <c r="A119" t="s">
        <v>1326</v>
      </c>
      <c r="B119" t="s">
        <v>1284</v>
      </c>
      <c r="C119" s="131">
        <v>43119</v>
      </c>
      <c r="D119" t="s">
        <v>1327</v>
      </c>
      <c r="F119" t="s">
        <v>645</v>
      </c>
      <c r="H119">
        <v>20</v>
      </c>
      <c r="J119" s="1">
        <v>65000</v>
      </c>
      <c r="K119" s="1"/>
      <c r="L119" s="1">
        <v>65000</v>
      </c>
      <c r="M119" s="1">
        <v>11916.68</v>
      </c>
      <c r="N119" s="1">
        <f t="shared" si="6"/>
        <v>3250</v>
      </c>
      <c r="O119" s="1"/>
      <c r="P119" s="1"/>
      <c r="Q119" s="1"/>
      <c r="R119" s="1"/>
      <c r="S119" s="1"/>
      <c r="W119" s="35"/>
    </row>
    <row r="120" spans="1:23" hidden="1" x14ac:dyDescent="0.4">
      <c r="A120" t="s">
        <v>1328</v>
      </c>
      <c r="B120" t="s">
        <v>1284</v>
      </c>
      <c r="C120" s="131">
        <v>43647</v>
      </c>
      <c r="D120" t="s">
        <v>1320</v>
      </c>
      <c r="F120" t="s">
        <v>645</v>
      </c>
      <c r="H120">
        <v>20</v>
      </c>
      <c r="J120" s="1">
        <v>178849.88</v>
      </c>
      <c r="K120" s="1"/>
      <c r="L120" s="1">
        <v>178849.88</v>
      </c>
      <c r="M120" s="1">
        <v>20120.62</v>
      </c>
      <c r="N120" s="1">
        <f t="shared" si="6"/>
        <v>8942.4940000000006</v>
      </c>
      <c r="O120" s="1"/>
      <c r="P120" s="1"/>
      <c r="Q120" s="1"/>
      <c r="R120" s="1"/>
      <c r="S120" s="1"/>
      <c r="W120" s="35"/>
    </row>
    <row r="121" spans="1:23" hidden="1" x14ac:dyDescent="0.4">
      <c r="A121" t="s">
        <v>1329</v>
      </c>
      <c r="B121" t="s">
        <v>1284</v>
      </c>
      <c r="C121" s="131">
        <v>44013</v>
      </c>
      <c r="D121" t="s">
        <v>1320</v>
      </c>
      <c r="F121" t="s">
        <v>645</v>
      </c>
      <c r="H121">
        <v>20</v>
      </c>
      <c r="J121" s="1">
        <v>97554.48</v>
      </c>
      <c r="K121" s="1"/>
      <c r="L121" s="1">
        <v>97554.48</v>
      </c>
      <c r="M121" s="1">
        <v>8536.01</v>
      </c>
      <c r="N121" s="1">
        <f t="shared" si="6"/>
        <v>4877.7240000000002</v>
      </c>
      <c r="O121" s="1"/>
      <c r="P121" s="1"/>
      <c r="Q121" s="1"/>
      <c r="R121" s="1"/>
      <c r="S121" s="1"/>
      <c r="W121" s="35"/>
    </row>
    <row r="122" spans="1:23" hidden="1" x14ac:dyDescent="0.4">
      <c r="A122" t="s">
        <v>1330</v>
      </c>
      <c r="B122" t="s">
        <v>1284</v>
      </c>
      <c r="C122" s="131">
        <v>44543</v>
      </c>
      <c r="D122" t="s">
        <v>1331</v>
      </c>
      <c r="F122" t="s">
        <v>645</v>
      </c>
      <c r="H122">
        <v>45</v>
      </c>
      <c r="J122" s="1">
        <v>6970</v>
      </c>
      <c r="K122" s="1"/>
      <c r="L122" s="1">
        <v>6970</v>
      </c>
      <c r="M122" s="1">
        <v>435.63</v>
      </c>
      <c r="N122" s="1">
        <f t="shared" si="6"/>
        <v>154.88888888888889</v>
      </c>
      <c r="O122" s="1"/>
      <c r="P122" s="1"/>
      <c r="Q122" s="1"/>
      <c r="R122" s="1"/>
      <c r="S122" s="1"/>
      <c r="W122" s="35"/>
    </row>
    <row r="123" spans="1:23" hidden="1" x14ac:dyDescent="0.4">
      <c r="A123" t="s">
        <v>1332</v>
      </c>
      <c r="B123" t="s">
        <v>1284</v>
      </c>
      <c r="C123" s="131">
        <v>44378</v>
      </c>
      <c r="D123" t="s">
        <v>1320</v>
      </c>
      <c r="F123" t="s">
        <v>645</v>
      </c>
      <c r="H123">
        <v>20</v>
      </c>
      <c r="J123" s="1">
        <v>195108.96</v>
      </c>
      <c r="K123" s="1"/>
      <c r="L123" s="1">
        <v>195108.96</v>
      </c>
      <c r="M123" s="1">
        <v>12194.3</v>
      </c>
      <c r="N123" s="1">
        <f t="shared" si="6"/>
        <v>9755.4480000000003</v>
      </c>
      <c r="O123" s="1"/>
      <c r="P123" s="1"/>
      <c r="Q123" s="1"/>
      <c r="R123" s="1"/>
      <c r="S123" s="1"/>
      <c r="W123" s="35"/>
    </row>
    <row r="124" spans="1:23" hidden="1" x14ac:dyDescent="0.4">
      <c r="A124" t="s">
        <v>1333</v>
      </c>
      <c r="B124" t="s">
        <v>1284</v>
      </c>
      <c r="C124" s="131">
        <v>44536</v>
      </c>
      <c r="D124" t="s">
        <v>1334</v>
      </c>
      <c r="F124" t="s">
        <v>645</v>
      </c>
      <c r="H124">
        <v>45</v>
      </c>
      <c r="J124" s="1">
        <v>95750</v>
      </c>
      <c r="K124" s="1"/>
      <c r="L124" s="1">
        <v>95750</v>
      </c>
      <c r="M124" s="1">
        <v>5984.38</v>
      </c>
      <c r="N124" s="1">
        <f t="shared" si="6"/>
        <v>2127.7777777777778</v>
      </c>
      <c r="O124" s="1"/>
      <c r="P124" s="1"/>
      <c r="Q124" s="1"/>
      <c r="R124" s="1"/>
      <c r="S124" s="1"/>
      <c r="W124" s="35"/>
    </row>
    <row r="125" spans="1:23" hidden="1" x14ac:dyDescent="0.4">
      <c r="A125" t="s">
        <v>1335</v>
      </c>
      <c r="B125" t="s">
        <v>1284</v>
      </c>
      <c r="C125" s="131">
        <v>44743</v>
      </c>
      <c r="D125" t="s">
        <v>1336</v>
      </c>
      <c r="F125" t="s">
        <v>645</v>
      </c>
      <c r="H125">
        <v>20</v>
      </c>
      <c r="J125" s="1">
        <v>89424.9</v>
      </c>
      <c r="K125" s="1"/>
      <c r="L125" s="1">
        <v>89424.9</v>
      </c>
      <c r="M125" s="1">
        <v>3353.43</v>
      </c>
      <c r="N125" s="1">
        <f t="shared" si="6"/>
        <v>4471.2449999999999</v>
      </c>
      <c r="O125" s="1"/>
      <c r="P125" s="1"/>
      <c r="Q125" s="1"/>
      <c r="R125" s="1"/>
      <c r="S125" s="1"/>
      <c r="W125" s="35"/>
    </row>
    <row r="126" spans="1:23" hidden="1" x14ac:dyDescent="0.4">
      <c r="A126" t="s">
        <v>1337</v>
      </c>
      <c r="B126" t="s">
        <v>1284</v>
      </c>
      <c r="C126" s="131">
        <v>44562</v>
      </c>
      <c r="D126" t="s">
        <v>1338</v>
      </c>
      <c r="F126" t="s">
        <v>645</v>
      </c>
      <c r="H126">
        <v>45</v>
      </c>
      <c r="J126" s="1">
        <v>6000</v>
      </c>
      <c r="K126" s="1"/>
      <c r="L126" s="1">
        <v>6000</v>
      </c>
      <c r="M126" s="1">
        <v>225</v>
      </c>
      <c r="N126" s="1">
        <f t="shared" si="6"/>
        <v>133.33333333333334</v>
      </c>
      <c r="O126" s="1"/>
      <c r="P126" s="1"/>
      <c r="Q126" s="1"/>
      <c r="R126" s="1"/>
      <c r="S126" s="1"/>
      <c r="W126" s="35"/>
    </row>
    <row r="127" spans="1:23" hidden="1" x14ac:dyDescent="0.4">
      <c r="A127" t="s">
        <v>1339</v>
      </c>
      <c r="B127" t="s">
        <v>1284</v>
      </c>
      <c r="C127" s="131">
        <v>44986</v>
      </c>
      <c r="D127" t="s">
        <v>1340</v>
      </c>
      <c r="F127" t="s">
        <v>645</v>
      </c>
      <c r="H127">
        <v>20</v>
      </c>
      <c r="J127" s="1">
        <v>8129.5</v>
      </c>
      <c r="K127" s="1"/>
      <c r="L127" s="1">
        <v>8129.5</v>
      </c>
      <c r="M127" s="1">
        <v>101.62</v>
      </c>
      <c r="N127" s="1">
        <f t="shared" si="6"/>
        <v>406.47500000000002</v>
      </c>
      <c r="O127" s="1"/>
      <c r="P127" s="1"/>
      <c r="Q127" s="1"/>
      <c r="R127" s="1"/>
      <c r="S127" s="1"/>
      <c r="W127" s="35"/>
    </row>
    <row r="128" spans="1:23" hidden="1" x14ac:dyDescent="0.4">
      <c r="A128" t="s">
        <v>1341</v>
      </c>
      <c r="B128" t="s">
        <v>1342</v>
      </c>
      <c r="C128" s="131">
        <v>31229</v>
      </c>
      <c r="D128" t="s">
        <v>1343</v>
      </c>
      <c r="F128" t="s">
        <v>645</v>
      </c>
      <c r="H128">
        <v>45</v>
      </c>
      <c r="J128" s="1">
        <v>15000</v>
      </c>
      <c r="K128" s="1"/>
      <c r="L128" s="1">
        <v>15000</v>
      </c>
      <c r="M128" s="1">
        <v>14437.5</v>
      </c>
      <c r="N128" s="1">
        <f t="shared" si="6"/>
        <v>333.33333333333331</v>
      </c>
      <c r="O128" s="1"/>
      <c r="P128" s="1"/>
      <c r="Q128" s="1"/>
      <c r="R128" s="1"/>
      <c r="S128" s="1"/>
      <c r="W128" s="35"/>
    </row>
    <row r="129" spans="1:23" hidden="1" x14ac:dyDescent="0.4">
      <c r="A129" t="s">
        <v>1344</v>
      </c>
      <c r="B129" t="s">
        <v>1342</v>
      </c>
      <c r="C129" s="131">
        <v>31229</v>
      </c>
      <c r="D129" t="s">
        <v>1345</v>
      </c>
      <c r="F129" t="s">
        <v>645</v>
      </c>
      <c r="H129">
        <v>20</v>
      </c>
      <c r="J129" s="1">
        <v>5000</v>
      </c>
      <c r="K129" s="1"/>
      <c r="L129" s="1">
        <v>5000</v>
      </c>
      <c r="M129" s="1">
        <v>4812.5</v>
      </c>
      <c r="N129" s="1">
        <f t="shared" si="6"/>
        <v>250</v>
      </c>
      <c r="O129" s="1"/>
      <c r="P129" s="1"/>
      <c r="Q129" s="1"/>
      <c r="R129" s="1"/>
      <c r="S129" s="1"/>
      <c r="W129" s="35"/>
    </row>
    <row r="130" spans="1:23" hidden="1" x14ac:dyDescent="0.4">
      <c r="A130" t="s">
        <v>1346</v>
      </c>
      <c r="B130" t="s">
        <v>1342</v>
      </c>
      <c r="C130" s="131">
        <v>31352</v>
      </c>
      <c r="D130" t="s">
        <v>1347</v>
      </c>
      <c r="F130" t="s">
        <v>645</v>
      </c>
      <c r="H130">
        <v>45</v>
      </c>
      <c r="J130" s="1">
        <v>12000</v>
      </c>
      <c r="K130" s="1"/>
      <c r="L130" s="1">
        <v>12000</v>
      </c>
      <c r="M130" s="1">
        <v>11450</v>
      </c>
      <c r="N130" s="1">
        <f t="shared" si="6"/>
        <v>266.66666666666669</v>
      </c>
      <c r="O130" s="1"/>
      <c r="P130" s="1"/>
      <c r="Q130" s="1"/>
      <c r="R130" s="1"/>
      <c r="S130" s="1"/>
      <c r="W130" s="35"/>
    </row>
    <row r="131" spans="1:23" hidden="1" x14ac:dyDescent="0.4">
      <c r="A131" t="s">
        <v>1348</v>
      </c>
      <c r="B131" t="s">
        <v>1342</v>
      </c>
      <c r="C131" s="131">
        <v>31229</v>
      </c>
      <c r="D131" t="s">
        <v>1349</v>
      </c>
      <c r="F131" t="s">
        <v>645</v>
      </c>
      <c r="H131">
        <v>45</v>
      </c>
      <c r="J131" s="1">
        <v>90000</v>
      </c>
      <c r="K131" s="1"/>
      <c r="L131" s="1">
        <v>90000</v>
      </c>
      <c r="M131" s="1">
        <v>86625</v>
      </c>
      <c r="N131" s="1">
        <f t="shared" si="6"/>
        <v>2000</v>
      </c>
      <c r="O131" s="1"/>
      <c r="P131" s="1"/>
      <c r="Q131" s="1"/>
      <c r="R131" s="1"/>
      <c r="S131" s="1"/>
      <c r="W131" s="35"/>
    </row>
    <row r="132" spans="1:23" hidden="1" x14ac:dyDescent="0.4">
      <c r="A132" t="s">
        <v>1350</v>
      </c>
      <c r="B132" t="s">
        <v>1342</v>
      </c>
      <c r="C132" s="131">
        <v>31229</v>
      </c>
      <c r="D132" t="s">
        <v>1351</v>
      </c>
      <c r="F132" t="s">
        <v>645</v>
      </c>
      <c r="H132">
        <v>45</v>
      </c>
      <c r="J132" s="1">
        <v>65000</v>
      </c>
      <c r="K132" s="1"/>
      <c r="L132" s="1">
        <v>65000</v>
      </c>
      <c r="M132" s="1">
        <v>62562.5</v>
      </c>
      <c r="N132" s="1">
        <f t="shared" si="6"/>
        <v>1444.4444444444443</v>
      </c>
      <c r="O132" s="1"/>
      <c r="P132" s="1"/>
      <c r="Q132" s="1"/>
      <c r="R132" s="1"/>
      <c r="S132" s="1"/>
      <c r="T132" s="35"/>
      <c r="W132" s="35"/>
    </row>
    <row r="133" spans="1:23" hidden="1" x14ac:dyDescent="0.4">
      <c r="A133" t="s">
        <v>1352</v>
      </c>
      <c r="B133" t="s">
        <v>1342</v>
      </c>
      <c r="C133" s="131">
        <v>31229</v>
      </c>
      <c r="D133" t="s">
        <v>1353</v>
      </c>
      <c r="F133" t="s">
        <v>645</v>
      </c>
      <c r="H133">
        <v>45</v>
      </c>
      <c r="J133" s="1">
        <v>65000</v>
      </c>
      <c r="K133" s="1"/>
      <c r="L133" s="1">
        <v>65000</v>
      </c>
      <c r="M133" s="1">
        <v>62562.5</v>
      </c>
      <c r="N133" s="1">
        <f t="shared" si="6"/>
        <v>1444.4444444444443</v>
      </c>
      <c r="O133" s="1"/>
      <c r="P133" s="1"/>
      <c r="Q133" s="1"/>
      <c r="R133" s="1"/>
      <c r="S133" s="1"/>
      <c r="W133" s="35"/>
    </row>
    <row r="134" spans="1:23" hidden="1" x14ac:dyDescent="0.4">
      <c r="A134" t="s">
        <v>1354</v>
      </c>
      <c r="B134" t="s">
        <v>1342</v>
      </c>
      <c r="C134" s="131">
        <v>31168</v>
      </c>
      <c r="D134" t="s">
        <v>1355</v>
      </c>
      <c r="F134" t="s">
        <v>645</v>
      </c>
      <c r="H134">
        <v>45</v>
      </c>
      <c r="J134" s="1">
        <v>196232</v>
      </c>
      <c r="K134" s="1"/>
      <c r="L134" s="1">
        <v>196232</v>
      </c>
      <c r="M134" s="1">
        <v>189690.93</v>
      </c>
      <c r="N134" s="1">
        <f t="shared" si="6"/>
        <v>4360.7111111111108</v>
      </c>
      <c r="O134" s="1"/>
      <c r="P134" s="1"/>
      <c r="Q134" s="1"/>
      <c r="R134" s="1"/>
      <c r="S134" s="1"/>
      <c r="W134" s="35"/>
    </row>
    <row r="135" spans="1:23" hidden="1" x14ac:dyDescent="0.4">
      <c r="A135" t="s">
        <v>1356</v>
      </c>
      <c r="B135" t="s">
        <v>1342</v>
      </c>
      <c r="C135" s="131">
        <v>31502</v>
      </c>
      <c r="D135" t="s">
        <v>1357</v>
      </c>
      <c r="F135" t="s">
        <v>645</v>
      </c>
      <c r="H135">
        <v>45</v>
      </c>
      <c r="J135" s="1">
        <v>228.1</v>
      </c>
      <c r="K135" s="1"/>
      <c r="L135" s="1">
        <v>228.1</v>
      </c>
      <c r="M135" s="1">
        <v>215.65</v>
      </c>
      <c r="N135" s="1">
        <f t="shared" si="6"/>
        <v>5.068888888888889</v>
      </c>
      <c r="O135" s="1"/>
      <c r="P135" s="1"/>
      <c r="Q135" s="1"/>
      <c r="R135" s="1"/>
      <c r="S135" s="1"/>
      <c r="W135" s="35"/>
    </row>
    <row r="136" spans="1:23" hidden="1" x14ac:dyDescent="0.4">
      <c r="A136" t="s">
        <v>1358</v>
      </c>
      <c r="B136" t="s">
        <v>1342</v>
      </c>
      <c r="C136" s="131">
        <v>31594</v>
      </c>
      <c r="D136" t="s">
        <v>1359</v>
      </c>
      <c r="F136" t="s">
        <v>645</v>
      </c>
      <c r="H136">
        <v>45</v>
      </c>
      <c r="J136" s="1">
        <v>8738</v>
      </c>
      <c r="K136" s="1"/>
      <c r="L136" s="1">
        <v>8738</v>
      </c>
      <c r="M136" s="1">
        <v>8282.9</v>
      </c>
      <c r="N136" s="1">
        <f t="shared" si="6"/>
        <v>194.17777777777778</v>
      </c>
      <c r="O136" s="1"/>
      <c r="P136" s="1"/>
      <c r="Q136" s="1"/>
      <c r="R136" s="1"/>
      <c r="S136" s="1"/>
      <c r="W136" s="35"/>
    </row>
    <row r="137" spans="1:23" hidden="1" x14ac:dyDescent="0.4">
      <c r="A137" t="s">
        <v>1360</v>
      </c>
      <c r="B137" t="s">
        <v>1342</v>
      </c>
      <c r="C137" s="131">
        <v>30164</v>
      </c>
      <c r="D137" t="s">
        <v>1361</v>
      </c>
      <c r="F137" t="s">
        <v>645</v>
      </c>
      <c r="H137">
        <v>45</v>
      </c>
      <c r="J137" s="1">
        <v>129742.98</v>
      </c>
      <c r="K137" s="1"/>
      <c r="L137" s="1">
        <v>129742.98</v>
      </c>
      <c r="M137" s="1">
        <v>107470.45</v>
      </c>
      <c r="N137" s="1">
        <f t="shared" si="6"/>
        <v>2883.1773333333331</v>
      </c>
      <c r="O137" s="1"/>
      <c r="P137" s="1"/>
      <c r="Q137" s="1"/>
      <c r="R137" s="1"/>
      <c r="S137" s="1"/>
      <c r="W137" s="35"/>
    </row>
    <row r="138" spans="1:23" hidden="1" x14ac:dyDescent="0.4">
      <c r="A138" t="s">
        <v>1362</v>
      </c>
      <c r="B138" t="s">
        <v>1342</v>
      </c>
      <c r="C138" s="131">
        <v>31228</v>
      </c>
      <c r="D138" t="s">
        <v>1363</v>
      </c>
      <c r="F138" t="s">
        <v>645</v>
      </c>
      <c r="H138">
        <v>45</v>
      </c>
      <c r="J138" s="1">
        <v>23938.71</v>
      </c>
      <c r="K138" s="1"/>
      <c r="L138" s="1">
        <v>23938.71</v>
      </c>
      <c r="M138" s="1">
        <v>18472.57</v>
      </c>
      <c r="N138" s="1">
        <f t="shared" si="6"/>
        <v>531.97133333333329</v>
      </c>
      <c r="O138" s="1"/>
      <c r="P138" s="1"/>
      <c r="Q138" s="1"/>
      <c r="R138" s="1"/>
      <c r="S138" s="1"/>
      <c r="W138" s="35"/>
    </row>
    <row r="139" spans="1:23" hidden="1" x14ac:dyDescent="0.4">
      <c r="A139" t="s">
        <v>1364</v>
      </c>
      <c r="B139" t="s">
        <v>1342</v>
      </c>
      <c r="C139" s="131">
        <v>32063</v>
      </c>
      <c r="D139" t="s">
        <v>1365</v>
      </c>
      <c r="F139" t="s">
        <v>645</v>
      </c>
      <c r="H139">
        <v>45</v>
      </c>
      <c r="J139" s="1">
        <v>237182.97</v>
      </c>
      <c r="K139" s="1"/>
      <c r="L139" s="1">
        <v>237182.97</v>
      </c>
      <c r="M139" s="1">
        <v>214946.93</v>
      </c>
      <c r="N139" s="1">
        <f t="shared" si="6"/>
        <v>5270.7326666666668</v>
      </c>
      <c r="O139" s="1"/>
      <c r="P139" s="1"/>
      <c r="Q139" s="1"/>
      <c r="R139" s="1"/>
      <c r="S139" s="1"/>
      <c r="W139" s="35"/>
    </row>
    <row r="140" spans="1:23" hidden="1" x14ac:dyDescent="0.4">
      <c r="A140" t="s">
        <v>1366</v>
      </c>
      <c r="B140" t="s">
        <v>1342</v>
      </c>
      <c r="C140" s="131">
        <v>32119</v>
      </c>
      <c r="D140" t="s">
        <v>1367</v>
      </c>
      <c r="F140" t="s">
        <v>645</v>
      </c>
      <c r="H140">
        <v>45</v>
      </c>
      <c r="J140" s="1">
        <v>140355.67000000001</v>
      </c>
      <c r="K140" s="1"/>
      <c r="L140" s="1">
        <v>140355.67000000001</v>
      </c>
      <c r="M140" s="1">
        <v>126612.45</v>
      </c>
      <c r="N140" s="1">
        <f t="shared" si="6"/>
        <v>3119.0148888888893</v>
      </c>
      <c r="O140" s="1"/>
      <c r="P140" s="1"/>
      <c r="Q140" s="1"/>
      <c r="R140" s="1"/>
      <c r="S140" s="1"/>
      <c r="W140" s="35"/>
    </row>
    <row r="141" spans="1:23" hidden="1" x14ac:dyDescent="0.4">
      <c r="A141" t="s">
        <v>1368</v>
      </c>
      <c r="B141" t="s">
        <v>1342</v>
      </c>
      <c r="C141" s="131">
        <v>32409</v>
      </c>
      <c r="D141" t="s">
        <v>1369</v>
      </c>
      <c r="F141" t="s">
        <v>645</v>
      </c>
      <c r="H141">
        <v>45</v>
      </c>
      <c r="J141" s="1">
        <v>663828.84</v>
      </c>
      <c r="K141" s="1"/>
      <c r="L141" s="1">
        <v>663828.84</v>
      </c>
      <c r="M141" s="1">
        <v>586382.11</v>
      </c>
      <c r="N141" s="1">
        <f t="shared" si="6"/>
        <v>14751.751999999999</v>
      </c>
      <c r="O141" s="1"/>
      <c r="P141" s="1"/>
      <c r="Q141" s="1"/>
      <c r="R141" s="1"/>
      <c r="S141" s="1"/>
      <c r="W141" s="35"/>
    </row>
    <row r="142" spans="1:23" hidden="1" x14ac:dyDescent="0.4">
      <c r="A142" t="s">
        <v>1370</v>
      </c>
      <c r="B142" t="s">
        <v>1342</v>
      </c>
      <c r="C142" s="131">
        <v>32860</v>
      </c>
      <c r="D142" t="s">
        <v>1371</v>
      </c>
      <c r="F142" t="s">
        <v>645</v>
      </c>
      <c r="H142">
        <v>45</v>
      </c>
      <c r="J142" s="1">
        <v>382997.54</v>
      </c>
      <c r="K142" s="1"/>
      <c r="L142" s="1">
        <v>382997.54</v>
      </c>
      <c r="M142" s="1">
        <v>326345.87</v>
      </c>
      <c r="N142" s="1">
        <f t="shared" si="6"/>
        <v>8511.0564444444444</v>
      </c>
      <c r="O142" s="1"/>
      <c r="P142" s="1"/>
      <c r="Q142" s="1"/>
      <c r="R142" s="1"/>
      <c r="S142" s="1"/>
      <c r="W142" s="35"/>
    </row>
    <row r="143" spans="1:23" hidden="1" x14ac:dyDescent="0.4">
      <c r="A143" t="s">
        <v>1372</v>
      </c>
      <c r="B143" t="s">
        <v>1342</v>
      </c>
      <c r="C143" s="131">
        <v>32861</v>
      </c>
      <c r="D143" t="s">
        <v>1373</v>
      </c>
      <c r="F143" t="s">
        <v>645</v>
      </c>
      <c r="H143">
        <v>45</v>
      </c>
      <c r="J143" s="1">
        <v>19785.830000000002</v>
      </c>
      <c r="K143" s="1"/>
      <c r="L143" s="1">
        <v>19785.830000000002</v>
      </c>
      <c r="M143" s="1">
        <v>16859.310000000001</v>
      </c>
      <c r="N143" s="1">
        <f t="shared" si="6"/>
        <v>439.68511111111115</v>
      </c>
      <c r="O143" s="1"/>
      <c r="P143" s="1"/>
      <c r="Q143" s="1"/>
      <c r="R143" s="1"/>
      <c r="S143" s="1"/>
      <c r="W143" s="35"/>
    </row>
    <row r="144" spans="1:23" hidden="1" x14ac:dyDescent="0.4">
      <c r="A144" t="s">
        <v>1374</v>
      </c>
      <c r="B144" t="s">
        <v>1342</v>
      </c>
      <c r="C144" s="131">
        <v>32861</v>
      </c>
      <c r="D144" t="s">
        <v>1373</v>
      </c>
      <c r="F144" t="s">
        <v>645</v>
      </c>
      <c r="H144">
        <v>45</v>
      </c>
      <c r="J144" s="1">
        <v>735664.04</v>
      </c>
      <c r="K144" s="1"/>
      <c r="L144" s="1">
        <v>735664.04</v>
      </c>
      <c r="M144" s="1">
        <v>626847.03</v>
      </c>
      <c r="N144" s="1">
        <f t="shared" si="6"/>
        <v>16348.089777777779</v>
      </c>
      <c r="O144" s="1"/>
      <c r="P144" s="1"/>
      <c r="Q144" s="1"/>
      <c r="R144" s="1"/>
      <c r="S144" s="1"/>
      <c r="W144" s="35"/>
    </row>
    <row r="145" spans="1:23" hidden="1" x14ac:dyDescent="0.4">
      <c r="A145" t="s">
        <v>1375</v>
      </c>
      <c r="B145" t="s">
        <v>1342</v>
      </c>
      <c r="C145" s="131">
        <v>33063</v>
      </c>
      <c r="D145" t="s">
        <v>1376</v>
      </c>
      <c r="F145" t="s">
        <v>645</v>
      </c>
      <c r="H145">
        <v>45</v>
      </c>
      <c r="J145" s="1">
        <v>61870.400000000001</v>
      </c>
      <c r="K145" s="1"/>
      <c r="L145" s="1">
        <v>61870.400000000001</v>
      </c>
      <c r="M145" s="1">
        <v>51816.46</v>
      </c>
      <c r="N145" s="1">
        <f t="shared" si="6"/>
        <v>1374.8977777777777</v>
      </c>
      <c r="O145" s="1"/>
      <c r="P145" s="1"/>
      <c r="Q145" s="1"/>
      <c r="R145" s="1"/>
      <c r="S145" s="1"/>
      <c r="W145" s="35"/>
    </row>
    <row r="146" spans="1:23" hidden="1" x14ac:dyDescent="0.4">
      <c r="A146" t="s">
        <v>1377</v>
      </c>
      <c r="B146" t="s">
        <v>1342</v>
      </c>
      <c r="C146" s="131">
        <v>33542</v>
      </c>
      <c r="D146" t="s">
        <v>1378</v>
      </c>
      <c r="F146" t="s">
        <v>645</v>
      </c>
      <c r="H146">
        <v>20</v>
      </c>
      <c r="J146" s="1">
        <v>8729.25</v>
      </c>
      <c r="K146" s="1"/>
      <c r="L146" s="1">
        <v>8729.25</v>
      </c>
      <c r="M146" s="1">
        <v>7037.92</v>
      </c>
      <c r="N146" s="1">
        <f t="shared" si="6"/>
        <v>436.46249999999998</v>
      </c>
      <c r="O146" s="1"/>
      <c r="P146" s="1"/>
      <c r="Q146" s="1"/>
      <c r="R146" s="1"/>
      <c r="S146" s="1"/>
      <c r="W146" s="35"/>
    </row>
    <row r="147" spans="1:23" hidden="1" x14ac:dyDescent="0.4">
      <c r="A147" t="s">
        <v>1379</v>
      </c>
      <c r="B147" t="s">
        <v>1342</v>
      </c>
      <c r="C147" s="131">
        <v>33756</v>
      </c>
      <c r="D147" t="s">
        <v>1380</v>
      </c>
      <c r="F147" t="s">
        <v>645</v>
      </c>
      <c r="H147">
        <v>45</v>
      </c>
      <c r="J147" s="1">
        <v>291577.62</v>
      </c>
      <c r="K147" s="1"/>
      <c r="L147" s="1">
        <v>291577.62</v>
      </c>
      <c r="M147" s="1">
        <v>230224.81</v>
      </c>
      <c r="N147" s="1">
        <f t="shared" si="6"/>
        <v>6479.5026666666663</v>
      </c>
      <c r="O147" s="1"/>
      <c r="P147" s="1"/>
      <c r="Q147" s="1"/>
      <c r="R147" s="1"/>
      <c r="S147" s="1"/>
      <c r="W147" s="35"/>
    </row>
    <row r="148" spans="1:23" hidden="1" x14ac:dyDescent="0.4">
      <c r="A148" t="s">
        <v>1381</v>
      </c>
      <c r="B148" t="s">
        <v>1342</v>
      </c>
      <c r="C148" s="131">
        <v>33634</v>
      </c>
      <c r="D148" t="s">
        <v>1382</v>
      </c>
      <c r="F148" t="s">
        <v>645</v>
      </c>
      <c r="H148">
        <v>45</v>
      </c>
      <c r="J148" s="1">
        <v>208061</v>
      </c>
      <c r="K148" s="1"/>
      <c r="L148" s="1">
        <v>208061</v>
      </c>
      <c r="M148" s="1">
        <v>166448.93</v>
      </c>
      <c r="N148" s="1">
        <f t="shared" si="6"/>
        <v>4623.5777777777776</v>
      </c>
      <c r="O148" s="1"/>
      <c r="P148" s="1"/>
      <c r="Q148" s="1"/>
      <c r="R148" s="1"/>
      <c r="S148" s="1"/>
      <c r="W148" s="35"/>
    </row>
    <row r="149" spans="1:23" hidden="1" x14ac:dyDescent="0.4">
      <c r="A149" t="s">
        <v>1383</v>
      </c>
      <c r="B149" t="s">
        <v>1342</v>
      </c>
      <c r="C149" s="131">
        <v>34463</v>
      </c>
      <c r="D149" t="s">
        <v>1384</v>
      </c>
      <c r="F149" t="s">
        <v>645</v>
      </c>
      <c r="H149">
        <v>45</v>
      </c>
      <c r="J149" s="1">
        <v>941205.33</v>
      </c>
      <c r="K149" s="1"/>
      <c r="L149" s="1">
        <v>941205.33</v>
      </c>
      <c r="M149" s="1">
        <v>698060.52</v>
      </c>
      <c r="N149" s="1">
        <f t="shared" si="6"/>
        <v>20915.673999999999</v>
      </c>
      <c r="O149" s="1"/>
      <c r="P149" s="1"/>
      <c r="Q149" s="1"/>
      <c r="R149" s="1"/>
      <c r="S149" s="1"/>
      <c r="W149" s="35"/>
    </row>
    <row r="150" spans="1:23" hidden="1" x14ac:dyDescent="0.4">
      <c r="A150" t="s">
        <v>1385</v>
      </c>
      <c r="B150" t="s">
        <v>1342</v>
      </c>
      <c r="C150" s="131">
        <v>35059</v>
      </c>
      <c r="D150" t="s">
        <v>755</v>
      </c>
      <c r="F150" t="s">
        <v>645</v>
      </c>
      <c r="H150">
        <v>45</v>
      </c>
      <c r="J150" s="1">
        <v>329188.34000000003</v>
      </c>
      <c r="K150" s="1"/>
      <c r="L150" s="1">
        <v>329188.34000000003</v>
      </c>
      <c r="M150" s="1">
        <v>231117.69</v>
      </c>
      <c r="N150" s="1">
        <f t="shared" si="6"/>
        <v>7315.2964444444451</v>
      </c>
      <c r="O150" s="1"/>
      <c r="P150" s="1"/>
      <c r="Q150" s="1"/>
      <c r="R150" s="1"/>
      <c r="S150" s="1"/>
      <c r="W150" s="35"/>
    </row>
    <row r="151" spans="1:23" hidden="1" x14ac:dyDescent="0.4">
      <c r="A151" t="s">
        <v>1386</v>
      </c>
      <c r="B151" t="s">
        <v>1342</v>
      </c>
      <c r="C151" s="131">
        <v>35059</v>
      </c>
      <c r="D151" t="s">
        <v>757</v>
      </c>
      <c r="F151" t="s">
        <v>645</v>
      </c>
      <c r="H151">
        <v>45</v>
      </c>
      <c r="J151" s="1">
        <v>62452.959999999999</v>
      </c>
      <c r="K151" s="1"/>
      <c r="L151" s="1">
        <v>62452.959999999999</v>
      </c>
      <c r="M151" s="1">
        <v>43847.07</v>
      </c>
      <c r="N151" s="1">
        <f t="shared" si="6"/>
        <v>1387.8435555555554</v>
      </c>
      <c r="O151" s="1"/>
      <c r="P151" s="1"/>
      <c r="Q151" s="1"/>
      <c r="R151" s="1"/>
      <c r="S151" s="1"/>
      <c r="W151" s="35"/>
    </row>
    <row r="152" spans="1:23" hidden="1" x14ac:dyDescent="0.4">
      <c r="A152" t="s">
        <v>1387</v>
      </c>
      <c r="B152" t="s">
        <v>1342</v>
      </c>
      <c r="C152" s="131">
        <v>35674</v>
      </c>
      <c r="D152" t="s">
        <v>1388</v>
      </c>
      <c r="F152" t="s">
        <v>645</v>
      </c>
      <c r="H152">
        <v>45</v>
      </c>
      <c r="J152" s="1">
        <v>148631.17000000001</v>
      </c>
      <c r="K152" s="1"/>
      <c r="L152" s="1">
        <v>148631.17000000001</v>
      </c>
      <c r="M152" s="1">
        <v>97848.87</v>
      </c>
      <c r="N152" s="1">
        <f t="shared" si="6"/>
        <v>3302.914888888889</v>
      </c>
      <c r="O152" s="1"/>
      <c r="P152" s="1"/>
      <c r="Q152" s="1"/>
      <c r="R152" s="1"/>
      <c r="S152" s="1"/>
      <c r="W152" s="35"/>
    </row>
    <row r="153" spans="1:23" hidden="1" x14ac:dyDescent="0.4">
      <c r="A153" t="s">
        <v>1389</v>
      </c>
      <c r="B153" t="s">
        <v>1342</v>
      </c>
      <c r="C153" s="131">
        <v>35765</v>
      </c>
      <c r="D153" t="s">
        <v>760</v>
      </c>
      <c r="F153" t="s">
        <v>645</v>
      </c>
      <c r="H153">
        <v>45</v>
      </c>
      <c r="J153" s="1">
        <v>123216</v>
      </c>
      <c r="K153" s="1"/>
      <c r="L153" s="1">
        <v>123216</v>
      </c>
      <c r="M153" s="1">
        <v>80347.100000000006</v>
      </c>
      <c r="N153" s="1">
        <f t="shared" si="6"/>
        <v>2738.1333333333332</v>
      </c>
      <c r="O153" s="1"/>
      <c r="P153" s="1"/>
      <c r="Q153" s="1"/>
      <c r="R153" s="1"/>
      <c r="S153" s="1"/>
      <c r="W153" s="35"/>
    </row>
    <row r="154" spans="1:23" hidden="1" x14ac:dyDescent="0.4">
      <c r="A154" t="s">
        <v>1390</v>
      </c>
      <c r="B154" t="s">
        <v>1342</v>
      </c>
      <c r="C154" s="131">
        <v>36982</v>
      </c>
      <c r="D154" t="s">
        <v>774</v>
      </c>
      <c r="F154" t="s">
        <v>645</v>
      </c>
      <c r="H154">
        <v>45</v>
      </c>
      <c r="J154" s="1">
        <v>1360</v>
      </c>
      <c r="K154" s="1"/>
      <c r="L154" s="1">
        <v>1360</v>
      </c>
      <c r="M154" s="1">
        <v>773.62</v>
      </c>
      <c r="N154" s="1">
        <f t="shared" si="6"/>
        <v>30.222222222222221</v>
      </c>
      <c r="O154" s="1"/>
      <c r="P154" s="1"/>
      <c r="Q154" s="1"/>
      <c r="R154" s="1"/>
      <c r="S154" s="1"/>
      <c r="W154" s="35"/>
    </row>
    <row r="155" spans="1:23" hidden="1" x14ac:dyDescent="0.4">
      <c r="A155" t="s">
        <v>1391</v>
      </c>
      <c r="B155" t="s">
        <v>1342</v>
      </c>
      <c r="C155" s="131">
        <v>37454</v>
      </c>
      <c r="D155" t="s">
        <v>1392</v>
      </c>
      <c r="F155" t="s">
        <v>645</v>
      </c>
      <c r="H155">
        <v>45</v>
      </c>
      <c r="J155" s="1">
        <v>168600</v>
      </c>
      <c r="K155" s="1"/>
      <c r="L155" s="1">
        <v>168600</v>
      </c>
      <c r="M155" s="1">
        <v>120606.74</v>
      </c>
      <c r="N155" s="1">
        <f t="shared" si="6"/>
        <v>3746.6666666666665</v>
      </c>
      <c r="O155" s="1"/>
      <c r="P155" s="1"/>
      <c r="Q155" s="1"/>
      <c r="R155" s="1"/>
      <c r="S155" s="1"/>
      <c r="W155" s="35"/>
    </row>
    <row r="156" spans="1:23" hidden="1" x14ac:dyDescent="0.4">
      <c r="A156" t="s">
        <v>1393</v>
      </c>
      <c r="B156" t="s">
        <v>1342</v>
      </c>
      <c r="C156" s="131">
        <v>37348</v>
      </c>
      <c r="D156" t="s">
        <v>1394</v>
      </c>
      <c r="F156" t="s">
        <v>645</v>
      </c>
      <c r="H156">
        <v>45</v>
      </c>
      <c r="J156" s="1">
        <v>75400</v>
      </c>
      <c r="K156" s="1"/>
      <c r="L156" s="1">
        <v>75400</v>
      </c>
      <c r="M156" s="1">
        <v>54666.65</v>
      </c>
      <c r="N156" s="1">
        <f t="shared" si="6"/>
        <v>1675.5555555555557</v>
      </c>
      <c r="O156" s="1"/>
      <c r="P156" s="1"/>
      <c r="Q156" s="1"/>
      <c r="R156" s="1"/>
      <c r="S156" s="1"/>
      <c r="W156" s="35"/>
    </row>
    <row r="157" spans="1:23" hidden="1" x14ac:dyDescent="0.4">
      <c r="A157" t="s">
        <v>1395</v>
      </c>
      <c r="B157" t="s">
        <v>1342</v>
      </c>
      <c r="C157" s="131">
        <v>37532</v>
      </c>
      <c r="D157" t="s">
        <v>1396</v>
      </c>
      <c r="F157" t="s">
        <v>645</v>
      </c>
      <c r="H157">
        <v>45</v>
      </c>
      <c r="J157" s="1">
        <v>46790</v>
      </c>
      <c r="K157" s="1"/>
      <c r="L157" s="1">
        <v>46790</v>
      </c>
      <c r="M157" s="1">
        <v>33137.65</v>
      </c>
      <c r="N157" s="1">
        <f t="shared" si="6"/>
        <v>1039.7777777777778</v>
      </c>
      <c r="O157" s="1"/>
      <c r="P157" s="1"/>
      <c r="Q157" s="1"/>
      <c r="R157" s="1"/>
      <c r="S157" s="1"/>
      <c r="W157" s="35"/>
    </row>
    <row r="158" spans="1:23" hidden="1" x14ac:dyDescent="0.4">
      <c r="A158" t="s">
        <v>1397</v>
      </c>
      <c r="B158" t="s">
        <v>1342</v>
      </c>
      <c r="C158" s="131">
        <v>37477</v>
      </c>
      <c r="D158" t="s">
        <v>1398</v>
      </c>
      <c r="F158" t="s">
        <v>645</v>
      </c>
      <c r="H158">
        <v>45</v>
      </c>
      <c r="J158" s="1">
        <v>13195</v>
      </c>
      <c r="K158" s="1"/>
      <c r="L158" s="1">
        <v>13195</v>
      </c>
      <c r="M158" s="1">
        <v>9411.16</v>
      </c>
      <c r="N158" s="1">
        <f t="shared" si="6"/>
        <v>293.22222222222223</v>
      </c>
      <c r="O158" s="1"/>
      <c r="P158" s="1"/>
      <c r="Q158" s="1"/>
      <c r="R158" s="1"/>
      <c r="S158" s="1"/>
      <c r="W158" s="35"/>
    </row>
    <row r="159" spans="1:23" hidden="1" x14ac:dyDescent="0.4">
      <c r="A159" t="s">
        <v>1399</v>
      </c>
      <c r="B159" t="s">
        <v>1342</v>
      </c>
      <c r="C159" s="131">
        <v>38113</v>
      </c>
      <c r="D159" t="s">
        <v>1400</v>
      </c>
      <c r="F159" t="s">
        <v>645</v>
      </c>
      <c r="H159">
        <v>45</v>
      </c>
      <c r="J159" s="1">
        <v>63864</v>
      </c>
      <c r="K159" s="1"/>
      <c r="L159" s="1">
        <v>63864</v>
      </c>
      <c r="M159" s="1">
        <v>41866.400000000001</v>
      </c>
      <c r="N159" s="1">
        <f t="shared" si="6"/>
        <v>1419.2</v>
      </c>
      <c r="O159" s="1"/>
      <c r="P159" s="1"/>
      <c r="Q159" s="1"/>
      <c r="R159" s="1"/>
      <c r="S159" s="1"/>
      <c r="W159" s="35"/>
    </row>
    <row r="160" spans="1:23" hidden="1" x14ac:dyDescent="0.4">
      <c r="A160" t="s">
        <v>1401</v>
      </c>
      <c r="B160" t="s">
        <v>1342</v>
      </c>
      <c r="C160" s="131">
        <v>38113</v>
      </c>
      <c r="D160" t="s">
        <v>1402</v>
      </c>
      <c r="F160" t="s">
        <v>645</v>
      </c>
      <c r="H160">
        <v>45</v>
      </c>
      <c r="J160" s="1">
        <v>50000</v>
      </c>
      <c r="K160" s="1"/>
      <c r="L160" s="1">
        <v>50000</v>
      </c>
      <c r="M160" s="1">
        <v>32777.839999999997</v>
      </c>
      <c r="N160" s="1">
        <f t="shared" si="6"/>
        <v>1111.1111111111111</v>
      </c>
      <c r="O160" s="1"/>
      <c r="P160" s="1"/>
      <c r="Q160" s="1"/>
      <c r="R160" s="1"/>
      <c r="S160" s="1"/>
      <c r="W160" s="35"/>
    </row>
    <row r="161" spans="1:23" hidden="1" x14ac:dyDescent="0.4">
      <c r="A161" t="s">
        <v>1403</v>
      </c>
      <c r="B161" t="s">
        <v>1342</v>
      </c>
      <c r="C161" s="131">
        <v>38113</v>
      </c>
      <c r="D161" t="s">
        <v>1404</v>
      </c>
      <c r="F161" t="s">
        <v>645</v>
      </c>
      <c r="H161">
        <v>45</v>
      </c>
      <c r="J161" s="1">
        <v>185000</v>
      </c>
      <c r="K161" s="1"/>
      <c r="L161" s="1">
        <v>185000</v>
      </c>
      <c r="M161" s="1">
        <v>121277.84</v>
      </c>
      <c r="N161" s="1">
        <f t="shared" si="6"/>
        <v>4111.1111111111113</v>
      </c>
      <c r="O161" s="1"/>
      <c r="P161" s="1"/>
      <c r="Q161" s="1"/>
      <c r="R161" s="1"/>
      <c r="S161" s="1"/>
      <c r="W161" s="35"/>
    </row>
    <row r="162" spans="1:23" hidden="1" x14ac:dyDescent="0.4">
      <c r="A162" t="s">
        <v>1405</v>
      </c>
      <c r="B162" t="s">
        <v>1342</v>
      </c>
      <c r="C162" s="131">
        <v>38113</v>
      </c>
      <c r="D162" t="s">
        <v>1406</v>
      </c>
      <c r="F162" t="s">
        <v>645</v>
      </c>
      <c r="H162">
        <v>45</v>
      </c>
      <c r="J162" s="1">
        <v>97000</v>
      </c>
      <c r="K162" s="1"/>
      <c r="L162" s="1">
        <v>97000</v>
      </c>
      <c r="M162" s="1">
        <v>63588.83</v>
      </c>
      <c r="N162" s="1">
        <f t="shared" ref="N162:N171" si="7">J162/H162</f>
        <v>2155.5555555555557</v>
      </c>
      <c r="O162" s="1"/>
      <c r="P162" s="1"/>
      <c r="Q162" s="1"/>
      <c r="R162" s="1"/>
      <c r="S162" s="1"/>
      <c r="W162" s="35"/>
    </row>
    <row r="163" spans="1:23" hidden="1" x14ac:dyDescent="0.4">
      <c r="A163" t="s">
        <v>1407</v>
      </c>
      <c r="B163" t="s">
        <v>1342</v>
      </c>
      <c r="C163" s="131">
        <v>38113</v>
      </c>
      <c r="D163" t="s">
        <v>1408</v>
      </c>
      <c r="F163" t="s">
        <v>645</v>
      </c>
      <c r="H163">
        <v>45</v>
      </c>
      <c r="J163" s="1">
        <v>42000</v>
      </c>
      <c r="K163" s="1"/>
      <c r="L163" s="1">
        <v>42000</v>
      </c>
      <c r="M163" s="1">
        <v>27533.33</v>
      </c>
      <c r="N163" s="1">
        <f t="shared" si="7"/>
        <v>933.33333333333337</v>
      </c>
      <c r="O163" s="1"/>
      <c r="P163" s="1"/>
      <c r="Q163" s="1"/>
      <c r="R163" s="1"/>
      <c r="S163" s="1"/>
      <c r="W163" s="35"/>
    </row>
    <row r="164" spans="1:23" hidden="1" x14ac:dyDescent="0.4">
      <c r="A164" t="s">
        <v>1409</v>
      </c>
      <c r="B164" t="s">
        <v>1342</v>
      </c>
      <c r="C164" s="131">
        <v>38113</v>
      </c>
      <c r="D164" t="s">
        <v>1410</v>
      </c>
      <c r="F164" t="s">
        <v>645</v>
      </c>
      <c r="H164">
        <v>45</v>
      </c>
      <c r="J164" s="1">
        <v>288000</v>
      </c>
      <c r="K164" s="1"/>
      <c r="L164" s="1">
        <v>288000</v>
      </c>
      <c r="M164" s="1">
        <v>188800</v>
      </c>
      <c r="N164" s="1">
        <f t="shared" si="7"/>
        <v>6400</v>
      </c>
      <c r="O164" s="1"/>
      <c r="P164" s="1"/>
      <c r="Q164" s="1"/>
      <c r="R164" s="1"/>
      <c r="S164" s="1"/>
      <c r="W164" s="35"/>
    </row>
    <row r="165" spans="1:23" hidden="1" x14ac:dyDescent="0.4">
      <c r="A165" t="s">
        <v>1411</v>
      </c>
      <c r="B165" t="s">
        <v>1342</v>
      </c>
      <c r="C165" s="131">
        <v>38113</v>
      </c>
      <c r="D165" t="s">
        <v>1412</v>
      </c>
      <c r="F165" t="s">
        <v>645</v>
      </c>
      <c r="H165">
        <v>45</v>
      </c>
      <c r="J165" s="1">
        <v>588000</v>
      </c>
      <c r="K165" s="1"/>
      <c r="L165" s="1">
        <v>588000</v>
      </c>
      <c r="M165" s="1">
        <v>385466.67</v>
      </c>
      <c r="N165" s="1">
        <f t="shared" si="7"/>
        <v>13066.666666666666</v>
      </c>
      <c r="O165" s="1"/>
      <c r="P165" s="1"/>
      <c r="Q165" s="1"/>
      <c r="R165" s="1"/>
      <c r="S165" s="1"/>
      <c r="W165" s="35"/>
    </row>
    <row r="166" spans="1:23" hidden="1" x14ac:dyDescent="0.4">
      <c r="A166" t="s">
        <v>1413</v>
      </c>
      <c r="B166" t="s">
        <v>1342</v>
      </c>
      <c r="C166" s="131">
        <v>38113</v>
      </c>
      <c r="D166" t="s">
        <v>1414</v>
      </c>
      <c r="F166" t="s">
        <v>645</v>
      </c>
      <c r="H166">
        <v>20</v>
      </c>
      <c r="J166" s="1">
        <v>58800</v>
      </c>
      <c r="K166" s="1"/>
      <c r="L166" s="1">
        <v>58800</v>
      </c>
      <c r="M166" s="1">
        <v>38546.67</v>
      </c>
      <c r="N166" s="1">
        <f t="shared" si="7"/>
        <v>2940</v>
      </c>
      <c r="O166" s="1"/>
      <c r="P166" s="1"/>
      <c r="Q166" s="1"/>
      <c r="R166" s="1"/>
      <c r="S166" s="1"/>
      <c r="W166" s="35"/>
    </row>
    <row r="167" spans="1:23" hidden="1" x14ac:dyDescent="0.4">
      <c r="A167" t="s">
        <v>1415</v>
      </c>
      <c r="B167" t="s">
        <v>1342</v>
      </c>
      <c r="C167" s="131">
        <v>38292</v>
      </c>
      <c r="D167" t="s">
        <v>1416</v>
      </c>
      <c r="F167" t="s">
        <v>645</v>
      </c>
      <c r="H167">
        <v>45</v>
      </c>
      <c r="J167" s="1">
        <v>41700</v>
      </c>
      <c r="K167" s="1"/>
      <c r="L167" s="1">
        <v>41700</v>
      </c>
      <c r="M167" s="1">
        <v>26641.67</v>
      </c>
      <c r="N167" s="1">
        <f t="shared" si="7"/>
        <v>926.66666666666663</v>
      </c>
      <c r="O167" s="1"/>
      <c r="P167" s="1"/>
      <c r="Q167" s="1"/>
      <c r="R167" s="1"/>
      <c r="S167" s="1"/>
      <c r="W167" s="35"/>
    </row>
    <row r="168" spans="1:23" hidden="1" x14ac:dyDescent="0.4">
      <c r="A168" t="s">
        <v>1417</v>
      </c>
      <c r="B168" t="s">
        <v>1342</v>
      </c>
      <c r="C168" s="131">
        <v>35681</v>
      </c>
      <c r="D168" t="s">
        <v>1418</v>
      </c>
      <c r="F168" t="s">
        <v>645</v>
      </c>
      <c r="H168">
        <v>45</v>
      </c>
      <c r="J168" s="1">
        <v>18000</v>
      </c>
      <c r="K168" s="1"/>
      <c r="L168" s="1">
        <v>18000</v>
      </c>
      <c r="M168" s="1">
        <v>15900</v>
      </c>
      <c r="N168" s="1">
        <f t="shared" si="7"/>
        <v>400</v>
      </c>
      <c r="O168" s="1"/>
      <c r="P168" s="1"/>
      <c r="Q168" s="1"/>
      <c r="R168" s="1"/>
      <c r="S168" s="1"/>
      <c r="W168" s="35"/>
    </row>
    <row r="169" spans="1:23" hidden="1" x14ac:dyDescent="0.4">
      <c r="A169" t="s">
        <v>1419</v>
      </c>
      <c r="B169" t="s">
        <v>1342</v>
      </c>
      <c r="C169" s="131">
        <v>36069</v>
      </c>
      <c r="D169" t="s">
        <v>1420</v>
      </c>
      <c r="F169" t="s">
        <v>645</v>
      </c>
      <c r="H169">
        <v>45</v>
      </c>
      <c r="J169" s="1">
        <v>172000</v>
      </c>
      <c r="K169" s="1"/>
      <c r="L169" s="1">
        <v>172000</v>
      </c>
      <c r="M169" s="1">
        <v>144778.35999999999</v>
      </c>
      <c r="N169" s="1">
        <f t="shared" si="7"/>
        <v>3822.2222222222222</v>
      </c>
      <c r="O169" s="1"/>
      <c r="P169" s="1"/>
      <c r="Q169" s="1"/>
      <c r="R169" s="1"/>
      <c r="S169" s="1"/>
      <c r="W169" s="35"/>
    </row>
    <row r="170" spans="1:23" hidden="1" x14ac:dyDescent="0.4">
      <c r="A170" t="s">
        <v>1421</v>
      </c>
      <c r="B170" t="s">
        <v>1342</v>
      </c>
      <c r="C170" s="131">
        <v>36069</v>
      </c>
      <c r="D170" t="s">
        <v>1422</v>
      </c>
      <c r="F170" t="s">
        <v>645</v>
      </c>
      <c r="H170">
        <v>45</v>
      </c>
      <c r="J170" s="1">
        <v>39524</v>
      </c>
      <c r="K170" s="1"/>
      <c r="L170" s="1">
        <v>39524</v>
      </c>
      <c r="M170" s="1">
        <v>33268.82</v>
      </c>
      <c r="N170" s="1">
        <f t="shared" si="7"/>
        <v>878.31111111111113</v>
      </c>
      <c r="O170" s="1"/>
      <c r="P170" s="1"/>
      <c r="Q170" s="1"/>
      <c r="R170" s="1"/>
      <c r="S170" s="1"/>
      <c r="T170" s="35"/>
      <c r="W170" s="35"/>
    </row>
    <row r="171" spans="1:23" hidden="1" x14ac:dyDescent="0.4">
      <c r="A171" t="s">
        <v>1423</v>
      </c>
      <c r="B171" t="s">
        <v>1342</v>
      </c>
      <c r="C171" s="131">
        <v>36069</v>
      </c>
      <c r="D171" t="s">
        <v>1424</v>
      </c>
      <c r="F171" t="s">
        <v>645</v>
      </c>
      <c r="H171">
        <v>45</v>
      </c>
      <c r="J171" s="1">
        <v>80000</v>
      </c>
      <c r="K171" s="1"/>
      <c r="L171" s="1">
        <v>80000</v>
      </c>
      <c r="M171" s="1">
        <v>67338.899999999994</v>
      </c>
      <c r="N171" s="1">
        <f t="shared" si="7"/>
        <v>1777.7777777777778</v>
      </c>
      <c r="O171" s="1"/>
      <c r="P171" s="1"/>
      <c r="Q171" s="1"/>
      <c r="R171" s="1"/>
      <c r="S171" s="1"/>
      <c r="W171" s="35"/>
    </row>
    <row r="172" spans="1:23" x14ac:dyDescent="0.4">
      <c r="C172" s="131"/>
      <c r="J172" s="1"/>
      <c r="K172" s="1"/>
      <c r="L172" s="1"/>
      <c r="M172" s="1"/>
      <c r="N172" s="1"/>
      <c r="O172" s="1"/>
      <c r="P172" s="1"/>
      <c r="Q172" s="1"/>
      <c r="R172" s="1"/>
      <c r="S172" s="1"/>
      <c r="W172" s="35"/>
    </row>
    <row r="173" spans="1:23" x14ac:dyDescent="0.4">
      <c r="A173" s="237" t="str">
        <f>A96</f>
        <v>Storage Tanks</v>
      </c>
      <c r="C173" s="131"/>
      <c r="J173" s="1">
        <f>SUM(J97:J172)</f>
        <v>9519119.1900000013</v>
      </c>
      <c r="K173" s="1"/>
      <c r="L173" s="1"/>
      <c r="M173" s="1"/>
      <c r="N173" s="1">
        <f>SUM(N97:N172)</f>
        <v>269527.79283333337</v>
      </c>
    </row>
    <row r="174" spans="1:23" x14ac:dyDescent="0.4">
      <c r="C174" s="131"/>
      <c r="J174" s="1"/>
      <c r="K174" s="1"/>
      <c r="L174" s="1"/>
      <c r="M174" s="1"/>
      <c r="N174" s="1"/>
      <c r="O174" s="35"/>
      <c r="R174" s="35"/>
    </row>
    <row r="175" spans="1:23" x14ac:dyDescent="0.4">
      <c r="C175" s="131"/>
      <c r="J175" s="1"/>
      <c r="K175" s="1"/>
      <c r="L175" s="1"/>
      <c r="M175" s="1"/>
      <c r="N175" s="1"/>
    </row>
    <row r="176" spans="1:23" x14ac:dyDescent="0.4">
      <c r="C176" s="131"/>
      <c r="J176" s="1"/>
      <c r="K176" s="1"/>
      <c r="L176" s="1"/>
      <c r="M176" s="1"/>
      <c r="N176" s="1"/>
    </row>
    <row r="177" spans="1:23" ht="21" x14ac:dyDescent="0.5">
      <c r="A177" s="242" t="s">
        <v>1425</v>
      </c>
      <c r="C177" s="131"/>
      <c r="J177" s="1"/>
      <c r="K177" s="1"/>
      <c r="L177" s="1"/>
      <c r="M177" s="1"/>
      <c r="N177" s="1"/>
    </row>
    <row r="178" spans="1:23" hidden="1" x14ac:dyDescent="0.4">
      <c r="A178" t="s">
        <v>780</v>
      </c>
      <c r="B178" t="s">
        <v>779</v>
      </c>
      <c r="C178" s="131">
        <v>31229</v>
      </c>
      <c r="D178" t="s">
        <v>781</v>
      </c>
      <c r="F178" t="s">
        <v>645</v>
      </c>
      <c r="H178">
        <v>62.5</v>
      </c>
      <c r="J178" s="1">
        <v>918207.55</v>
      </c>
      <c r="K178" s="1"/>
      <c r="L178" s="1">
        <v>918207.55</v>
      </c>
      <c r="M178" s="1">
        <v>883774.81</v>
      </c>
      <c r="N178" s="1">
        <f>L178/H178</f>
        <v>14691.320800000001</v>
      </c>
    </row>
    <row r="179" spans="1:23" hidden="1" x14ac:dyDescent="0.4">
      <c r="A179" t="s">
        <v>782</v>
      </c>
      <c r="B179" t="s">
        <v>779</v>
      </c>
      <c r="C179" s="131">
        <v>31229</v>
      </c>
      <c r="D179" t="s">
        <v>783</v>
      </c>
      <c r="F179" t="s">
        <v>645</v>
      </c>
      <c r="H179">
        <v>62.5</v>
      </c>
      <c r="J179" s="1">
        <v>664101.87</v>
      </c>
      <c r="K179" s="1"/>
      <c r="L179" s="1">
        <v>664101.87</v>
      </c>
      <c r="M179" s="1">
        <v>639198.17000000004</v>
      </c>
      <c r="N179" s="1">
        <f t="shared" ref="N179:N242" si="8">L179/H179</f>
        <v>10625.629919999999</v>
      </c>
    </row>
    <row r="180" spans="1:23" hidden="1" x14ac:dyDescent="0.4">
      <c r="A180" t="s">
        <v>784</v>
      </c>
      <c r="B180" t="s">
        <v>779</v>
      </c>
      <c r="C180" s="131">
        <v>31352</v>
      </c>
      <c r="D180" t="s">
        <v>785</v>
      </c>
      <c r="F180" t="s">
        <v>645</v>
      </c>
      <c r="H180">
        <v>62.5</v>
      </c>
      <c r="J180" s="1">
        <v>15736</v>
      </c>
      <c r="K180" s="1"/>
      <c r="L180" s="1">
        <v>15736</v>
      </c>
      <c r="M180" s="1">
        <v>15014.77</v>
      </c>
      <c r="N180" s="1">
        <f t="shared" si="8"/>
        <v>251.77600000000001</v>
      </c>
    </row>
    <row r="181" spans="1:23" hidden="1" x14ac:dyDescent="0.4">
      <c r="A181" t="s">
        <v>786</v>
      </c>
      <c r="B181" t="s">
        <v>779</v>
      </c>
      <c r="C181" s="131">
        <v>31352</v>
      </c>
      <c r="D181" t="s">
        <v>787</v>
      </c>
      <c r="F181" t="s">
        <v>645</v>
      </c>
      <c r="H181">
        <v>62.5</v>
      </c>
      <c r="J181" s="63">
        <v>96097</v>
      </c>
      <c r="K181" s="63"/>
      <c r="L181" s="63">
        <v>96097</v>
      </c>
      <c r="M181" s="63">
        <v>91692.69</v>
      </c>
      <c r="N181" s="63">
        <f t="shared" si="8"/>
        <v>1537.5519999999999</v>
      </c>
    </row>
    <row r="182" spans="1:23" hidden="1" x14ac:dyDescent="0.4">
      <c r="A182" t="s">
        <v>788</v>
      </c>
      <c r="B182" t="s">
        <v>779</v>
      </c>
      <c r="C182" s="131">
        <v>31229</v>
      </c>
      <c r="D182" t="s">
        <v>789</v>
      </c>
      <c r="F182" t="s">
        <v>645</v>
      </c>
      <c r="H182">
        <v>62.5</v>
      </c>
      <c r="J182" s="1">
        <v>1782.5</v>
      </c>
      <c r="K182" s="1"/>
      <c r="L182" s="1">
        <v>1782.5</v>
      </c>
      <c r="M182" s="1">
        <v>1715.56</v>
      </c>
      <c r="N182" s="1">
        <f t="shared" si="8"/>
        <v>28.52</v>
      </c>
      <c r="O182" s="1"/>
      <c r="P182" s="1"/>
      <c r="Q182" s="1"/>
      <c r="R182" s="1"/>
      <c r="S182" s="1"/>
      <c r="W182" s="35"/>
    </row>
    <row r="183" spans="1:23" hidden="1" x14ac:dyDescent="0.4">
      <c r="A183" t="s">
        <v>790</v>
      </c>
      <c r="B183" t="s">
        <v>779</v>
      </c>
      <c r="C183" s="131">
        <v>31229</v>
      </c>
      <c r="D183" t="s">
        <v>791</v>
      </c>
      <c r="F183" t="s">
        <v>645</v>
      </c>
      <c r="H183">
        <v>62.5</v>
      </c>
      <c r="J183" s="1">
        <v>34511.57</v>
      </c>
      <c r="K183" s="1"/>
      <c r="L183" s="1">
        <v>34511.57</v>
      </c>
      <c r="M183" s="1">
        <v>33217.410000000003</v>
      </c>
      <c r="N183" s="1">
        <f t="shared" si="8"/>
        <v>552.18511999999998</v>
      </c>
      <c r="O183" s="1"/>
      <c r="P183" s="1"/>
      <c r="Q183" s="1"/>
      <c r="R183" s="1"/>
      <c r="S183" s="1"/>
      <c r="W183" s="35"/>
    </row>
    <row r="184" spans="1:23" hidden="1" x14ac:dyDescent="0.4">
      <c r="A184" t="s">
        <v>792</v>
      </c>
      <c r="B184" t="s">
        <v>779</v>
      </c>
      <c r="C184" s="131">
        <v>31229</v>
      </c>
      <c r="D184" t="s">
        <v>793</v>
      </c>
      <c r="F184" t="s">
        <v>645</v>
      </c>
      <c r="H184">
        <v>62.5</v>
      </c>
      <c r="J184" s="1">
        <v>263930.37</v>
      </c>
      <c r="K184" s="1"/>
      <c r="L184" s="1">
        <v>263930.37</v>
      </c>
      <c r="M184" s="1">
        <v>254033.01</v>
      </c>
      <c r="N184" s="1">
        <f t="shared" si="8"/>
        <v>4222.8859199999997</v>
      </c>
      <c r="O184" s="1"/>
      <c r="P184" s="1"/>
      <c r="Q184" s="1"/>
      <c r="R184" s="1"/>
      <c r="S184" s="1"/>
      <c r="W184" s="35"/>
    </row>
    <row r="185" spans="1:23" hidden="1" x14ac:dyDescent="0.4">
      <c r="A185" t="s">
        <v>794</v>
      </c>
      <c r="B185" t="s">
        <v>779</v>
      </c>
      <c r="C185" s="131">
        <v>31382</v>
      </c>
      <c r="D185" t="s">
        <v>793</v>
      </c>
      <c r="F185" t="s">
        <v>645</v>
      </c>
      <c r="H185">
        <v>62.5</v>
      </c>
      <c r="J185" s="1">
        <v>6439.11</v>
      </c>
      <c r="K185" s="1"/>
      <c r="L185" s="1">
        <v>6439.11</v>
      </c>
      <c r="M185" s="1">
        <v>6130.65</v>
      </c>
      <c r="N185" s="1">
        <f t="shared" si="8"/>
        <v>103.02575999999999</v>
      </c>
    </row>
    <row r="186" spans="1:23" hidden="1" x14ac:dyDescent="0.4">
      <c r="A186" t="s">
        <v>795</v>
      </c>
      <c r="B186" t="s">
        <v>779</v>
      </c>
      <c r="C186" s="131">
        <v>31229</v>
      </c>
      <c r="D186" t="s">
        <v>793</v>
      </c>
      <c r="F186" t="s">
        <v>645</v>
      </c>
      <c r="H186">
        <v>62.5</v>
      </c>
      <c r="J186" s="1">
        <v>24000</v>
      </c>
      <c r="K186" s="1"/>
      <c r="L186" s="1">
        <v>24000</v>
      </c>
      <c r="M186" s="1">
        <v>23100</v>
      </c>
      <c r="N186" s="1">
        <f t="shared" si="8"/>
        <v>384</v>
      </c>
      <c r="P186" s="35"/>
      <c r="R186" s="35"/>
    </row>
    <row r="187" spans="1:23" hidden="1" x14ac:dyDescent="0.4">
      <c r="A187" t="s">
        <v>797</v>
      </c>
      <c r="B187" t="s">
        <v>779</v>
      </c>
      <c r="C187" s="131">
        <v>30164</v>
      </c>
      <c r="D187" t="s">
        <v>798</v>
      </c>
      <c r="F187" t="s">
        <v>645</v>
      </c>
      <c r="H187">
        <v>62.5</v>
      </c>
      <c r="J187" s="1">
        <v>1168035.69</v>
      </c>
      <c r="K187" s="1"/>
      <c r="L187" s="1">
        <v>1168035.69</v>
      </c>
      <c r="M187" s="1">
        <v>967522.76</v>
      </c>
      <c r="N187" s="1">
        <f t="shared" si="8"/>
        <v>18688.571039999999</v>
      </c>
      <c r="P187" s="35"/>
    </row>
    <row r="188" spans="1:23" hidden="1" x14ac:dyDescent="0.4">
      <c r="A188" t="s">
        <v>799</v>
      </c>
      <c r="B188" t="s">
        <v>779</v>
      </c>
      <c r="C188" s="131">
        <v>30437</v>
      </c>
      <c r="D188" t="s">
        <v>800</v>
      </c>
      <c r="F188" t="s">
        <v>645</v>
      </c>
      <c r="H188">
        <v>62.5</v>
      </c>
      <c r="J188" s="1">
        <v>5283.43</v>
      </c>
      <c r="K188" s="1"/>
      <c r="L188" s="1">
        <v>5283.43</v>
      </c>
      <c r="M188" s="1">
        <v>4297.25</v>
      </c>
      <c r="N188" s="1">
        <f t="shared" si="8"/>
        <v>84.534880000000001</v>
      </c>
    </row>
    <row r="189" spans="1:23" hidden="1" x14ac:dyDescent="0.4">
      <c r="A189" t="s">
        <v>801</v>
      </c>
      <c r="B189" t="s">
        <v>779</v>
      </c>
      <c r="C189" s="131">
        <v>30317</v>
      </c>
      <c r="D189" t="s">
        <v>802</v>
      </c>
      <c r="F189" t="s">
        <v>645</v>
      </c>
      <c r="H189">
        <v>62.5</v>
      </c>
      <c r="J189" s="1">
        <v>14020.29</v>
      </c>
      <c r="K189" s="1"/>
      <c r="L189" s="1">
        <v>14020.29</v>
      </c>
      <c r="M189" s="1">
        <v>11496.77</v>
      </c>
      <c r="N189" s="1">
        <f t="shared" si="8"/>
        <v>224.32464000000002</v>
      </c>
    </row>
    <row r="190" spans="1:23" hidden="1" x14ac:dyDescent="0.4">
      <c r="A190" t="s">
        <v>803</v>
      </c>
      <c r="B190" t="s">
        <v>779</v>
      </c>
      <c r="C190" s="131">
        <v>30560</v>
      </c>
      <c r="D190" t="s">
        <v>804</v>
      </c>
      <c r="F190" t="s">
        <v>645</v>
      </c>
      <c r="H190">
        <v>62.5</v>
      </c>
      <c r="J190" s="1">
        <v>429.06</v>
      </c>
      <c r="K190" s="1"/>
      <c r="L190" s="1">
        <v>429.06</v>
      </c>
      <c r="M190" s="1">
        <v>346.06</v>
      </c>
      <c r="N190" s="1">
        <f t="shared" si="8"/>
        <v>6.86496</v>
      </c>
    </row>
    <row r="191" spans="1:23" hidden="1" x14ac:dyDescent="0.4">
      <c r="A191" t="s">
        <v>805</v>
      </c>
      <c r="B191" t="s">
        <v>779</v>
      </c>
      <c r="C191" s="131">
        <v>30834</v>
      </c>
      <c r="D191" t="s">
        <v>796</v>
      </c>
      <c r="F191" t="s">
        <v>645</v>
      </c>
      <c r="H191">
        <v>62.5</v>
      </c>
      <c r="J191" s="1">
        <v>150</v>
      </c>
      <c r="K191" s="1"/>
      <c r="L191" s="1">
        <v>150</v>
      </c>
      <c r="M191" s="1">
        <v>118.75</v>
      </c>
      <c r="N191" s="1">
        <f t="shared" si="8"/>
        <v>2.4</v>
      </c>
      <c r="O191" s="1"/>
      <c r="P191" s="1"/>
      <c r="Q191" s="1"/>
      <c r="R191" s="1"/>
      <c r="S191" s="1"/>
    </row>
    <row r="192" spans="1:23" hidden="1" x14ac:dyDescent="0.4">
      <c r="A192" t="s">
        <v>806</v>
      </c>
      <c r="B192" t="s">
        <v>779</v>
      </c>
      <c r="C192" s="131">
        <v>31017</v>
      </c>
      <c r="D192" t="s">
        <v>796</v>
      </c>
      <c r="F192" t="s">
        <v>645</v>
      </c>
      <c r="H192">
        <v>62.5</v>
      </c>
      <c r="J192" s="1">
        <v>14091.39</v>
      </c>
      <c r="K192" s="1"/>
      <c r="L192" s="1">
        <v>14091.39</v>
      </c>
      <c r="M192" s="1">
        <v>11014.86</v>
      </c>
      <c r="N192" s="1">
        <f t="shared" si="8"/>
        <v>225.46223999999998</v>
      </c>
      <c r="O192" s="1"/>
      <c r="P192" s="1"/>
      <c r="Q192" s="1"/>
      <c r="R192" s="1"/>
      <c r="S192" s="1"/>
    </row>
    <row r="193" spans="1:19" hidden="1" x14ac:dyDescent="0.4">
      <c r="A193" t="s">
        <v>807</v>
      </c>
      <c r="B193" t="s">
        <v>779</v>
      </c>
      <c r="C193" s="131">
        <v>31048</v>
      </c>
      <c r="D193" t="s">
        <v>808</v>
      </c>
      <c r="F193" t="s">
        <v>645</v>
      </c>
      <c r="H193">
        <v>62.5</v>
      </c>
      <c r="J193" s="1">
        <v>112222.53</v>
      </c>
      <c r="K193" s="1"/>
      <c r="L193" s="1">
        <v>112222.53</v>
      </c>
      <c r="M193" s="1">
        <v>87533.55</v>
      </c>
      <c r="N193" s="1">
        <f t="shared" si="8"/>
        <v>1795.5604799999999</v>
      </c>
      <c r="O193" s="1"/>
      <c r="P193" s="1"/>
      <c r="Q193" s="1"/>
      <c r="R193" s="1"/>
      <c r="S193" s="1"/>
    </row>
    <row r="194" spans="1:19" hidden="1" x14ac:dyDescent="0.4">
      <c r="A194" t="s">
        <v>809</v>
      </c>
      <c r="B194" t="s">
        <v>779</v>
      </c>
      <c r="C194" s="131">
        <v>31413</v>
      </c>
      <c r="D194" t="s">
        <v>810</v>
      </c>
      <c r="F194" t="s">
        <v>645</v>
      </c>
      <c r="H194">
        <v>62.5</v>
      </c>
      <c r="J194" s="1">
        <v>1477.59</v>
      </c>
      <c r="K194" s="1"/>
      <c r="L194" s="1">
        <v>1477.59</v>
      </c>
      <c r="M194" s="1">
        <v>1122.9000000000001</v>
      </c>
      <c r="N194" s="1">
        <f t="shared" si="8"/>
        <v>23.641439999999999</v>
      </c>
    </row>
    <row r="195" spans="1:19" hidden="1" x14ac:dyDescent="0.4">
      <c r="A195" t="s">
        <v>811</v>
      </c>
      <c r="B195" t="s">
        <v>779</v>
      </c>
      <c r="C195" s="131">
        <v>31594</v>
      </c>
      <c r="D195" t="s">
        <v>812</v>
      </c>
      <c r="F195" t="s">
        <v>645</v>
      </c>
      <c r="H195">
        <v>62.5</v>
      </c>
      <c r="J195" s="1">
        <v>6942.48</v>
      </c>
      <c r="K195" s="1"/>
      <c r="L195" s="1">
        <v>6942.48</v>
      </c>
      <c r="M195" s="1">
        <v>5206.87</v>
      </c>
      <c r="N195" s="1">
        <f t="shared" si="8"/>
        <v>111.07968</v>
      </c>
      <c r="P195" s="35"/>
      <c r="R195" s="35"/>
    </row>
    <row r="196" spans="1:19" hidden="1" x14ac:dyDescent="0.4">
      <c r="A196" t="s">
        <v>813</v>
      </c>
      <c r="B196" t="s">
        <v>779</v>
      </c>
      <c r="C196" s="131">
        <v>32063</v>
      </c>
      <c r="D196" t="s">
        <v>814</v>
      </c>
      <c r="F196" t="s">
        <v>645</v>
      </c>
      <c r="H196">
        <v>62.5</v>
      </c>
      <c r="J196" s="63">
        <v>457398.48</v>
      </c>
      <c r="K196" s="63"/>
      <c r="L196" s="63">
        <v>457398.48</v>
      </c>
      <c r="M196" s="63">
        <v>414517.3</v>
      </c>
      <c r="N196" s="63">
        <f t="shared" si="8"/>
        <v>7318.3756800000001</v>
      </c>
    </row>
    <row r="197" spans="1:19" hidden="1" x14ac:dyDescent="0.4">
      <c r="A197" t="s">
        <v>815</v>
      </c>
      <c r="B197" t="s">
        <v>779</v>
      </c>
      <c r="C197" s="131">
        <v>32119</v>
      </c>
      <c r="D197" t="s">
        <v>816</v>
      </c>
      <c r="F197" t="s">
        <v>645</v>
      </c>
      <c r="H197">
        <v>62.5</v>
      </c>
      <c r="J197" s="1">
        <v>115984.59</v>
      </c>
      <c r="K197" s="1"/>
      <c r="L197" s="1">
        <v>115984.59</v>
      </c>
      <c r="M197" s="1">
        <v>104627.63</v>
      </c>
      <c r="N197" s="1">
        <f t="shared" si="8"/>
        <v>1855.75344</v>
      </c>
    </row>
    <row r="198" spans="1:19" hidden="1" x14ac:dyDescent="0.4">
      <c r="A198" t="s">
        <v>817</v>
      </c>
      <c r="B198" t="s">
        <v>779</v>
      </c>
      <c r="C198" s="131">
        <v>32409</v>
      </c>
      <c r="D198" t="s">
        <v>818</v>
      </c>
      <c r="F198" t="s">
        <v>645</v>
      </c>
      <c r="H198">
        <v>62.5</v>
      </c>
      <c r="J198" s="1">
        <v>2473499.5699999998</v>
      </c>
      <c r="K198" s="1"/>
      <c r="L198" s="1">
        <v>2473499.5699999998</v>
      </c>
      <c r="M198" s="1">
        <v>2184924.65</v>
      </c>
      <c r="N198" s="1">
        <f t="shared" si="8"/>
        <v>39575.993119999999</v>
      </c>
    </row>
    <row r="199" spans="1:19" hidden="1" x14ac:dyDescent="0.4">
      <c r="A199" t="s">
        <v>819</v>
      </c>
      <c r="B199" t="s">
        <v>779</v>
      </c>
      <c r="C199" s="131">
        <v>32509</v>
      </c>
      <c r="D199" t="s">
        <v>820</v>
      </c>
      <c r="F199" t="s">
        <v>645</v>
      </c>
      <c r="H199">
        <v>62.5</v>
      </c>
      <c r="J199" s="1">
        <v>74659.710000000006</v>
      </c>
      <c r="K199" s="1"/>
      <c r="L199" s="1">
        <v>74659.710000000006</v>
      </c>
      <c r="M199" s="1">
        <v>65327.15</v>
      </c>
      <c r="N199" s="1">
        <f t="shared" si="8"/>
        <v>1194.5553600000001</v>
      </c>
    </row>
    <row r="200" spans="1:19" hidden="1" x14ac:dyDescent="0.4">
      <c r="A200" t="s">
        <v>821</v>
      </c>
      <c r="B200" t="s">
        <v>779</v>
      </c>
      <c r="C200" s="131">
        <v>32860</v>
      </c>
      <c r="D200" t="s">
        <v>822</v>
      </c>
      <c r="F200" t="s">
        <v>645</v>
      </c>
      <c r="H200">
        <v>62.5</v>
      </c>
      <c r="J200" s="1">
        <v>1320227.46</v>
      </c>
      <c r="K200" s="1"/>
      <c r="L200" s="1">
        <v>1320227.46</v>
      </c>
      <c r="M200" s="1">
        <v>1124943.93</v>
      </c>
      <c r="N200" s="1">
        <f t="shared" si="8"/>
        <v>21123.639360000001</v>
      </c>
    </row>
    <row r="201" spans="1:19" hidden="1" x14ac:dyDescent="0.4">
      <c r="A201" t="s">
        <v>823</v>
      </c>
      <c r="B201" t="s">
        <v>779</v>
      </c>
      <c r="C201" s="131">
        <v>32861</v>
      </c>
      <c r="D201" t="s">
        <v>822</v>
      </c>
      <c r="F201" t="s">
        <v>645</v>
      </c>
      <c r="H201">
        <v>62.5</v>
      </c>
      <c r="J201" s="1">
        <v>4065222.22</v>
      </c>
      <c r="K201" s="1"/>
      <c r="L201" s="1">
        <v>4065222.22</v>
      </c>
      <c r="M201" s="1">
        <v>3463908.23</v>
      </c>
      <c r="N201" s="1">
        <f t="shared" si="8"/>
        <v>65043.555520000002</v>
      </c>
    </row>
    <row r="202" spans="1:19" hidden="1" x14ac:dyDescent="0.4">
      <c r="A202" t="s">
        <v>824</v>
      </c>
      <c r="B202" t="s">
        <v>779</v>
      </c>
      <c r="C202" s="131">
        <v>33063</v>
      </c>
      <c r="D202" t="s">
        <v>822</v>
      </c>
      <c r="F202" t="s">
        <v>645</v>
      </c>
      <c r="H202">
        <v>62.5</v>
      </c>
      <c r="J202" s="1">
        <v>912928.72</v>
      </c>
      <c r="K202" s="1"/>
      <c r="L202" s="1">
        <v>912928.72</v>
      </c>
      <c r="M202" s="1">
        <v>764577.87</v>
      </c>
      <c r="N202" s="1">
        <f t="shared" si="8"/>
        <v>14606.85952</v>
      </c>
    </row>
    <row r="203" spans="1:19" hidden="1" x14ac:dyDescent="0.4">
      <c r="A203" t="s">
        <v>825</v>
      </c>
      <c r="B203" t="s">
        <v>779</v>
      </c>
      <c r="C203" s="131">
        <v>33238</v>
      </c>
      <c r="D203" t="s">
        <v>826</v>
      </c>
      <c r="F203" t="s">
        <v>645</v>
      </c>
      <c r="H203">
        <v>62.5</v>
      </c>
      <c r="J203" s="1">
        <v>281735</v>
      </c>
      <c r="K203" s="1"/>
      <c r="L203" s="1">
        <v>281735</v>
      </c>
      <c r="M203" s="1">
        <v>233018.45</v>
      </c>
      <c r="N203" s="1">
        <f t="shared" si="8"/>
        <v>4507.76</v>
      </c>
    </row>
    <row r="204" spans="1:19" hidden="1" x14ac:dyDescent="0.4">
      <c r="A204" t="s">
        <v>827</v>
      </c>
      <c r="B204" t="s">
        <v>779</v>
      </c>
      <c r="C204" s="131">
        <v>33756</v>
      </c>
      <c r="D204" t="s">
        <v>828</v>
      </c>
      <c r="F204" t="s">
        <v>645</v>
      </c>
      <c r="H204">
        <v>62.5</v>
      </c>
      <c r="J204" s="1">
        <v>1356217.63</v>
      </c>
      <c r="K204" s="1"/>
      <c r="L204" s="1">
        <v>1356217.63</v>
      </c>
      <c r="M204" s="1">
        <v>1070846.81</v>
      </c>
      <c r="N204" s="1">
        <f t="shared" si="8"/>
        <v>21699.482079999998</v>
      </c>
    </row>
    <row r="205" spans="1:19" hidden="1" x14ac:dyDescent="0.4">
      <c r="A205" t="s">
        <v>829</v>
      </c>
      <c r="B205" t="s">
        <v>779</v>
      </c>
      <c r="C205" s="131">
        <v>33634</v>
      </c>
      <c r="D205" t="s">
        <v>830</v>
      </c>
      <c r="F205" t="s">
        <v>645</v>
      </c>
      <c r="H205">
        <v>62.5</v>
      </c>
      <c r="J205" s="1">
        <v>665649</v>
      </c>
      <c r="K205" s="1"/>
      <c r="L205" s="1">
        <v>665649</v>
      </c>
      <c r="M205" s="1">
        <v>532519.32999999996</v>
      </c>
      <c r="N205" s="1">
        <f t="shared" si="8"/>
        <v>10650.384</v>
      </c>
    </row>
    <row r="206" spans="1:19" hidden="1" x14ac:dyDescent="0.4">
      <c r="A206" t="s">
        <v>831</v>
      </c>
      <c r="B206" t="s">
        <v>779</v>
      </c>
      <c r="C206" s="131">
        <v>33785</v>
      </c>
      <c r="D206" t="s">
        <v>832</v>
      </c>
      <c r="F206" t="s">
        <v>645</v>
      </c>
      <c r="H206">
        <v>62.5</v>
      </c>
      <c r="J206" s="63">
        <v>5670</v>
      </c>
      <c r="K206" s="63"/>
      <c r="L206" s="63">
        <v>5670</v>
      </c>
      <c r="M206" s="63">
        <v>4476.9399999999996</v>
      </c>
      <c r="N206" s="63">
        <f t="shared" si="8"/>
        <v>90.72</v>
      </c>
    </row>
    <row r="207" spans="1:19" hidden="1" x14ac:dyDescent="0.4">
      <c r="A207" t="s">
        <v>833</v>
      </c>
      <c r="B207" t="s">
        <v>779</v>
      </c>
      <c r="C207" s="131">
        <v>34463</v>
      </c>
      <c r="D207" t="s">
        <v>834</v>
      </c>
      <c r="F207" t="s">
        <v>645</v>
      </c>
      <c r="H207">
        <v>62.5</v>
      </c>
      <c r="J207" s="1">
        <v>2901183.93</v>
      </c>
      <c r="K207" s="1"/>
      <c r="L207" s="1">
        <v>2901183.93</v>
      </c>
      <c r="M207" s="1">
        <v>2151711.4700000002</v>
      </c>
      <c r="N207" s="1">
        <f t="shared" si="8"/>
        <v>46418.942880000002</v>
      </c>
      <c r="O207" s="1"/>
      <c r="P207" s="1"/>
      <c r="Q207" s="1"/>
      <c r="R207" s="1"/>
    </row>
    <row r="208" spans="1:19" hidden="1" x14ac:dyDescent="0.4">
      <c r="A208" t="s">
        <v>835</v>
      </c>
      <c r="B208" t="s">
        <v>779</v>
      </c>
      <c r="C208" s="131">
        <v>34515</v>
      </c>
      <c r="D208" t="s">
        <v>822</v>
      </c>
      <c r="F208" t="s">
        <v>645</v>
      </c>
      <c r="H208">
        <v>62.5</v>
      </c>
      <c r="J208" s="1">
        <v>337707.5</v>
      </c>
      <c r="K208" s="1"/>
      <c r="L208" s="1">
        <v>337707.5</v>
      </c>
      <c r="M208" s="1">
        <v>249059.36</v>
      </c>
      <c r="N208" s="1">
        <f t="shared" si="8"/>
        <v>5403.32</v>
      </c>
      <c r="O208" s="1"/>
      <c r="P208" s="1"/>
      <c r="Q208" s="1"/>
      <c r="R208" s="1"/>
    </row>
    <row r="209" spans="1:18" hidden="1" x14ac:dyDescent="0.4">
      <c r="A209" t="s">
        <v>836</v>
      </c>
      <c r="B209" t="s">
        <v>779</v>
      </c>
      <c r="C209" s="131">
        <v>35059</v>
      </c>
      <c r="D209" t="s">
        <v>755</v>
      </c>
      <c r="F209" t="s">
        <v>645</v>
      </c>
      <c r="H209">
        <v>62.5</v>
      </c>
      <c r="J209" s="1">
        <v>1779373.83</v>
      </c>
      <c r="K209" s="1"/>
      <c r="L209" s="1">
        <v>1779373.83</v>
      </c>
      <c r="M209" s="1">
        <v>1249268.83</v>
      </c>
      <c r="N209" s="1">
        <f t="shared" si="8"/>
        <v>28469.98128</v>
      </c>
      <c r="O209" s="1"/>
      <c r="P209" s="1"/>
      <c r="Q209" s="1"/>
      <c r="R209" s="1"/>
    </row>
    <row r="210" spans="1:18" hidden="1" x14ac:dyDescent="0.4">
      <c r="A210" t="s">
        <v>837</v>
      </c>
      <c r="B210" t="s">
        <v>779</v>
      </c>
      <c r="C210" s="131">
        <v>35059</v>
      </c>
      <c r="D210" t="s">
        <v>838</v>
      </c>
      <c r="F210" t="s">
        <v>645</v>
      </c>
      <c r="H210">
        <v>62.5</v>
      </c>
      <c r="J210" s="1">
        <v>367917.58</v>
      </c>
      <c r="K210" s="1"/>
      <c r="L210" s="1">
        <v>367917.58</v>
      </c>
      <c r="M210" s="1">
        <v>258308.81</v>
      </c>
      <c r="N210" s="1">
        <f t="shared" si="8"/>
        <v>5886.6812800000007</v>
      </c>
      <c r="O210" s="1"/>
      <c r="P210" s="1"/>
      <c r="Q210" s="1"/>
      <c r="R210" s="1"/>
    </row>
    <row r="211" spans="1:18" hidden="1" x14ac:dyDescent="0.4">
      <c r="A211" t="s">
        <v>839</v>
      </c>
      <c r="B211" t="s">
        <v>779</v>
      </c>
      <c r="C211" s="131">
        <v>35674</v>
      </c>
      <c r="D211" t="s">
        <v>840</v>
      </c>
      <c r="F211" t="s">
        <v>645</v>
      </c>
      <c r="H211">
        <v>62.5</v>
      </c>
      <c r="J211" s="1">
        <v>1881860.7</v>
      </c>
      <c r="K211" s="1"/>
      <c r="L211" s="1">
        <v>1881860.7</v>
      </c>
      <c r="M211" s="1">
        <v>1238891.69</v>
      </c>
      <c r="N211" s="1">
        <f t="shared" si="8"/>
        <v>30109.771199999999</v>
      </c>
      <c r="O211" s="1"/>
      <c r="P211" s="1"/>
      <c r="Q211" s="1"/>
      <c r="R211" s="1"/>
    </row>
    <row r="212" spans="1:18" hidden="1" x14ac:dyDescent="0.4">
      <c r="A212" t="s">
        <v>841</v>
      </c>
      <c r="B212" t="s">
        <v>779</v>
      </c>
      <c r="C212" s="131">
        <v>35765</v>
      </c>
      <c r="D212" t="s">
        <v>760</v>
      </c>
      <c r="F212" t="s">
        <v>645</v>
      </c>
      <c r="H212">
        <v>62.5</v>
      </c>
      <c r="J212" s="1">
        <v>572316.53</v>
      </c>
      <c r="K212" s="1"/>
      <c r="L212" s="1">
        <v>572316.53</v>
      </c>
      <c r="M212" s="1">
        <v>373197.99</v>
      </c>
      <c r="N212" s="1">
        <f t="shared" si="8"/>
        <v>9157.0644800000009</v>
      </c>
      <c r="O212" s="1"/>
      <c r="P212" s="1"/>
      <c r="Q212" s="1"/>
      <c r="R212" s="1"/>
    </row>
    <row r="213" spans="1:18" hidden="1" x14ac:dyDescent="0.4">
      <c r="A213" t="s">
        <v>842</v>
      </c>
      <c r="B213" t="s">
        <v>779</v>
      </c>
      <c r="C213" s="131">
        <v>36192</v>
      </c>
      <c r="D213" t="s">
        <v>843</v>
      </c>
      <c r="F213" t="s">
        <v>645</v>
      </c>
      <c r="H213">
        <v>62.5</v>
      </c>
      <c r="J213" s="1">
        <v>10520.05</v>
      </c>
      <c r="K213" s="1"/>
      <c r="L213" s="1">
        <v>10520.05</v>
      </c>
      <c r="M213" s="1">
        <v>6552.66</v>
      </c>
      <c r="N213" s="1">
        <f t="shared" si="8"/>
        <v>168.32079999999999</v>
      </c>
      <c r="O213" s="1"/>
      <c r="P213" s="1"/>
      <c r="Q213" s="1"/>
      <c r="R213" s="1"/>
    </row>
    <row r="214" spans="1:18" hidden="1" x14ac:dyDescent="0.4">
      <c r="A214" t="s">
        <v>844</v>
      </c>
      <c r="B214" t="s">
        <v>779</v>
      </c>
      <c r="C214" s="131">
        <v>36220</v>
      </c>
      <c r="D214" t="s">
        <v>845</v>
      </c>
      <c r="F214" t="s">
        <v>645</v>
      </c>
      <c r="H214">
        <v>62.5</v>
      </c>
      <c r="J214" s="1">
        <v>932.69</v>
      </c>
      <c r="K214" s="1"/>
      <c r="L214" s="1">
        <v>932.69</v>
      </c>
      <c r="M214" s="1">
        <v>579.23</v>
      </c>
      <c r="N214" s="1">
        <f t="shared" si="8"/>
        <v>14.92304</v>
      </c>
      <c r="O214" s="1"/>
      <c r="P214" s="1"/>
      <c r="Q214" s="1"/>
      <c r="R214" s="1"/>
    </row>
    <row r="215" spans="1:18" hidden="1" x14ac:dyDescent="0.4">
      <c r="A215" t="s">
        <v>846</v>
      </c>
      <c r="B215" t="s">
        <v>779</v>
      </c>
      <c r="C215" s="131">
        <v>36251</v>
      </c>
      <c r="D215" t="s">
        <v>847</v>
      </c>
      <c r="F215" t="s">
        <v>645</v>
      </c>
      <c r="H215">
        <v>62.5</v>
      </c>
      <c r="J215" s="1">
        <v>76457.02</v>
      </c>
      <c r="K215" s="1"/>
      <c r="L215" s="1">
        <v>76457.02</v>
      </c>
      <c r="M215" s="1">
        <v>47314.44</v>
      </c>
      <c r="N215" s="1">
        <f t="shared" si="8"/>
        <v>1223.31232</v>
      </c>
    </row>
    <row r="216" spans="1:18" hidden="1" x14ac:dyDescent="0.4">
      <c r="A216" t="s">
        <v>848</v>
      </c>
      <c r="B216" t="s">
        <v>779</v>
      </c>
      <c r="C216" s="131">
        <v>36251</v>
      </c>
      <c r="D216" t="s">
        <v>849</v>
      </c>
      <c r="F216" t="s">
        <v>645</v>
      </c>
      <c r="H216">
        <v>62.5</v>
      </c>
      <c r="J216" s="1">
        <v>1914.28</v>
      </c>
      <c r="K216" s="1"/>
      <c r="L216" s="1">
        <v>1914.28</v>
      </c>
      <c r="M216" s="1">
        <v>1184.7</v>
      </c>
      <c r="N216" s="1">
        <f t="shared" si="8"/>
        <v>30.62848</v>
      </c>
      <c r="O216" s="35"/>
      <c r="R216" s="35"/>
    </row>
    <row r="217" spans="1:18" hidden="1" x14ac:dyDescent="0.4">
      <c r="A217" t="s">
        <v>850</v>
      </c>
      <c r="B217" t="s">
        <v>779</v>
      </c>
      <c r="C217" s="131">
        <v>36251</v>
      </c>
      <c r="D217" t="s">
        <v>851</v>
      </c>
      <c r="F217" t="s">
        <v>645</v>
      </c>
      <c r="H217">
        <v>62.5</v>
      </c>
      <c r="J217" s="1">
        <v>3201.78</v>
      </c>
      <c r="K217" s="1"/>
      <c r="L217" s="1">
        <v>3201.78</v>
      </c>
      <c r="M217" s="1">
        <v>1981.27</v>
      </c>
      <c r="N217" s="1">
        <f t="shared" si="8"/>
        <v>51.228480000000005</v>
      </c>
    </row>
    <row r="218" spans="1:18" hidden="1" x14ac:dyDescent="0.4">
      <c r="A218" t="s">
        <v>852</v>
      </c>
      <c r="B218" t="s">
        <v>779</v>
      </c>
      <c r="C218" s="131">
        <v>36342</v>
      </c>
      <c r="D218" t="s">
        <v>853</v>
      </c>
      <c r="F218" t="s">
        <v>645</v>
      </c>
      <c r="H218">
        <v>62.5</v>
      </c>
      <c r="J218" s="1">
        <v>4837.5600000000004</v>
      </c>
      <c r="K218" s="1"/>
      <c r="L218" s="1">
        <v>4837.5600000000004</v>
      </c>
      <c r="M218" s="1">
        <v>2963.53</v>
      </c>
      <c r="N218" s="1">
        <f t="shared" si="8"/>
        <v>77.400960000000012</v>
      </c>
      <c r="O218" s="1"/>
      <c r="P218" s="1"/>
      <c r="Q218" s="1"/>
      <c r="R218" s="1"/>
    </row>
    <row r="219" spans="1:18" hidden="1" x14ac:dyDescent="0.4">
      <c r="A219" t="s">
        <v>854</v>
      </c>
      <c r="B219" t="s">
        <v>779</v>
      </c>
      <c r="C219" s="131">
        <v>36373</v>
      </c>
      <c r="D219" t="s">
        <v>855</v>
      </c>
      <c r="F219" t="s">
        <v>645</v>
      </c>
      <c r="H219">
        <v>62.5</v>
      </c>
      <c r="J219" s="1">
        <v>662.05</v>
      </c>
      <c r="K219" s="1"/>
      <c r="L219" s="1">
        <v>662.05</v>
      </c>
      <c r="M219" s="1">
        <v>404.14</v>
      </c>
      <c r="N219" s="1">
        <f t="shared" si="8"/>
        <v>10.592799999999999</v>
      </c>
      <c r="O219" s="1"/>
      <c r="P219" s="1"/>
      <c r="Q219" s="1"/>
      <c r="R219" s="1"/>
    </row>
    <row r="220" spans="1:18" hidden="1" x14ac:dyDescent="0.4">
      <c r="A220" t="s">
        <v>856</v>
      </c>
      <c r="B220" t="s">
        <v>779</v>
      </c>
      <c r="C220" s="131">
        <v>36404</v>
      </c>
      <c r="D220" t="s">
        <v>857</v>
      </c>
      <c r="F220" t="s">
        <v>645</v>
      </c>
      <c r="H220">
        <v>62.5</v>
      </c>
      <c r="J220" s="1">
        <v>2099.23</v>
      </c>
      <c r="K220" s="1"/>
      <c r="L220" s="1">
        <v>2099.23</v>
      </c>
      <c r="M220" s="1">
        <v>1277.06</v>
      </c>
      <c r="N220" s="1">
        <f t="shared" si="8"/>
        <v>33.587679999999999</v>
      </c>
      <c r="O220" s="1"/>
      <c r="P220" s="1"/>
      <c r="Q220" s="1"/>
      <c r="R220" s="1"/>
    </row>
    <row r="221" spans="1:18" hidden="1" x14ac:dyDescent="0.4">
      <c r="A221" t="s">
        <v>858</v>
      </c>
      <c r="B221" t="s">
        <v>779</v>
      </c>
      <c r="C221" s="131">
        <v>36495</v>
      </c>
      <c r="D221" t="s">
        <v>859</v>
      </c>
      <c r="F221" t="s">
        <v>645</v>
      </c>
      <c r="H221">
        <v>62.5</v>
      </c>
      <c r="J221" s="1">
        <v>5482.15</v>
      </c>
      <c r="K221" s="1"/>
      <c r="L221" s="1">
        <v>5482.15</v>
      </c>
      <c r="M221" s="1">
        <v>3300.84</v>
      </c>
      <c r="N221" s="1">
        <f t="shared" si="8"/>
        <v>87.714399999999998</v>
      </c>
      <c r="O221" s="1"/>
      <c r="P221" s="1"/>
      <c r="Q221" s="1"/>
      <c r="R221" s="1"/>
    </row>
    <row r="222" spans="1:18" hidden="1" x14ac:dyDescent="0.4">
      <c r="A222" t="s">
        <v>860</v>
      </c>
      <c r="B222" t="s">
        <v>779</v>
      </c>
      <c r="C222" s="131">
        <v>36495</v>
      </c>
      <c r="D222" t="s">
        <v>861</v>
      </c>
      <c r="F222" t="s">
        <v>645</v>
      </c>
      <c r="H222">
        <v>62.5</v>
      </c>
      <c r="J222" s="1">
        <v>1429</v>
      </c>
      <c r="K222" s="1"/>
      <c r="L222" s="1">
        <v>1429</v>
      </c>
      <c r="M222" s="1">
        <v>860.55</v>
      </c>
      <c r="N222" s="1">
        <f t="shared" si="8"/>
        <v>22.864000000000001</v>
      </c>
      <c r="O222" s="1"/>
      <c r="P222" s="1"/>
      <c r="Q222" s="1"/>
      <c r="R222" s="1"/>
    </row>
    <row r="223" spans="1:18" hidden="1" x14ac:dyDescent="0.4">
      <c r="A223" t="s">
        <v>862</v>
      </c>
      <c r="B223" t="s">
        <v>779</v>
      </c>
      <c r="C223" s="131">
        <v>36161</v>
      </c>
      <c r="D223" t="s">
        <v>863</v>
      </c>
      <c r="F223" t="s">
        <v>645</v>
      </c>
      <c r="H223">
        <v>62.5</v>
      </c>
      <c r="J223" s="1">
        <v>1740.52</v>
      </c>
      <c r="K223" s="1"/>
      <c r="L223" s="1">
        <v>1740.52</v>
      </c>
      <c r="M223" s="1">
        <v>1087.75</v>
      </c>
      <c r="N223" s="1">
        <f t="shared" si="8"/>
        <v>27.848320000000001</v>
      </c>
      <c r="O223" s="1"/>
      <c r="P223" s="1"/>
      <c r="Q223" s="1"/>
      <c r="R223" s="1"/>
    </row>
    <row r="224" spans="1:18" hidden="1" x14ac:dyDescent="0.4">
      <c r="A224" t="s">
        <v>864</v>
      </c>
      <c r="B224" t="s">
        <v>779</v>
      </c>
      <c r="C224" s="131">
        <v>36161</v>
      </c>
      <c r="D224" t="s">
        <v>865</v>
      </c>
      <c r="F224" t="s">
        <v>645</v>
      </c>
      <c r="H224">
        <v>62.5</v>
      </c>
      <c r="J224" s="1">
        <v>1689.17</v>
      </c>
      <c r="K224" s="1"/>
      <c r="L224" s="1">
        <v>1689.17</v>
      </c>
      <c r="M224" s="1">
        <v>1055.75</v>
      </c>
      <c r="N224" s="1">
        <f t="shared" si="8"/>
        <v>27.026720000000001</v>
      </c>
      <c r="O224" s="1"/>
      <c r="P224" s="1"/>
      <c r="Q224" s="1"/>
      <c r="R224" s="1"/>
    </row>
    <row r="225" spans="1:19" hidden="1" x14ac:dyDescent="0.4">
      <c r="A225" t="s">
        <v>866</v>
      </c>
      <c r="B225" t="s">
        <v>779</v>
      </c>
      <c r="C225" s="131">
        <v>36161</v>
      </c>
      <c r="D225" t="s">
        <v>867</v>
      </c>
      <c r="F225" t="s">
        <v>645</v>
      </c>
      <c r="H225">
        <v>62.5</v>
      </c>
      <c r="J225" s="1">
        <v>3348.79</v>
      </c>
      <c r="K225" s="1"/>
      <c r="L225" s="1">
        <v>3348.79</v>
      </c>
      <c r="M225" s="1">
        <v>2093</v>
      </c>
      <c r="N225" s="1">
        <f t="shared" si="8"/>
        <v>53.580640000000002</v>
      </c>
      <c r="O225" s="1"/>
      <c r="P225" s="1"/>
      <c r="Q225" s="1"/>
      <c r="R225" s="1"/>
    </row>
    <row r="226" spans="1:19" hidden="1" x14ac:dyDescent="0.4">
      <c r="A226" t="s">
        <v>868</v>
      </c>
      <c r="B226" t="s">
        <v>779</v>
      </c>
      <c r="C226" s="131">
        <v>36434</v>
      </c>
      <c r="D226" t="s">
        <v>869</v>
      </c>
      <c r="F226" t="s">
        <v>645</v>
      </c>
      <c r="H226">
        <v>62.5</v>
      </c>
      <c r="J226" s="1">
        <v>60303.73</v>
      </c>
      <c r="K226" s="1"/>
      <c r="L226" s="1">
        <v>60303.73</v>
      </c>
      <c r="M226" s="1">
        <v>36562.160000000003</v>
      </c>
      <c r="N226" s="1">
        <f t="shared" si="8"/>
        <v>964.85968000000003</v>
      </c>
    </row>
    <row r="227" spans="1:19" hidden="1" x14ac:dyDescent="0.4">
      <c r="A227" t="s">
        <v>870</v>
      </c>
      <c r="B227" t="s">
        <v>779</v>
      </c>
      <c r="C227" s="131">
        <v>36342</v>
      </c>
      <c r="D227" t="s">
        <v>871</v>
      </c>
      <c r="F227" t="s">
        <v>645</v>
      </c>
      <c r="H227">
        <v>62.5</v>
      </c>
      <c r="J227" s="1">
        <v>90114.45</v>
      </c>
      <c r="K227" s="1"/>
      <c r="L227" s="1">
        <v>90114.45</v>
      </c>
      <c r="M227" s="1">
        <v>55204.33</v>
      </c>
      <c r="N227" s="1">
        <f t="shared" si="8"/>
        <v>1441.8311999999999</v>
      </c>
      <c r="O227" s="35"/>
      <c r="R227" s="35"/>
    </row>
    <row r="228" spans="1:19" hidden="1" x14ac:dyDescent="0.4">
      <c r="A228" t="s">
        <v>872</v>
      </c>
      <c r="B228" t="s">
        <v>779</v>
      </c>
      <c r="C228" s="131">
        <v>36495</v>
      </c>
      <c r="D228" t="s">
        <v>873</v>
      </c>
      <c r="F228" t="s">
        <v>645</v>
      </c>
      <c r="H228">
        <v>62.5</v>
      </c>
      <c r="J228" s="1">
        <v>152880.04</v>
      </c>
      <c r="K228" s="1"/>
      <c r="L228" s="1">
        <v>152880.04</v>
      </c>
      <c r="M228" s="1">
        <v>92052.61</v>
      </c>
      <c r="N228" s="1">
        <f t="shared" si="8"/>
        <v>2446.0806400000001</v>
      </c>
    </row>
    <row r="229" spans="1:19" hidden="1" x14ac:dyDescent="0.4">
      <c r="A229" t="s">
        <v>874</v>
      </c>
      <c r="B229" t="s">
        <v>779</v>
      </c>
      <c r="C229" s="131">
        <v>36404</v>
      </c>
      <c r="D229" t="s">
        <v>875</v>
      </c>
      <c r="F229" t="s">
        <v>645</v>
      </c>
      <c r="H229">
        <v>62.5</v>
      </c>
      <c r="J229" s="1">
        <v>436903</v>
      </c>
      <c r="K229" s="1"/>
      <c r="L229" s="1">
        <v>436903</v>
      </c>
      <c r="M229" s="1">
        <v>265792.75</v>
      </c>
      <c r="N229" s="1">
        <f t="shared" si="8"/>
        <v>6990.4480000000003</v>
      </c>
    </row>
    <row r="230" spans="1:19" hidden="1" x14ac:dyDescent="0.4">
      <c r="A230" t="s">
        <v>876</v>
      </c>
      <c r="B230" t="s">
        <v>779</v>
      </c>
      <c r="C230" s="131">
        <v>36404</v>
      </c>
      <c r="D230" t="s">
        <v>877</v>
      </c>
      <c r="F230" t="s">
        <v>645</v>
      </c>
      <c r="H230">
        <v>62.5</v>
      </c>
      <c r="J230" s="1">
        <v>160011.29999999999</v>
      </c>
      <c r="K230" s="1"/>
      <c r="L230" s="1">
        <v>160011.29999999999</v>
      </c>
      <c r="M230" s="1">
        <v>97343.8</v>
      </c>
      <c r="N230" s="1">
        <f t="shared" si="8"/>
        <v>2560.1807999999996</v>
      </c>
      <c r="O230" s="1"/>
      <c r="P230" s="1"/>
      <c r="Q230" s="1"/>
    </row>
    <row r="231" spans="1:19" hidden="1" x14ac:dyDescent="0.4">
      <c r="A231" t="s">
        <v>878</v>
      </c>
      <c r="B231" t="s">
        <v>779</v>
      </c>
      <c r="C231" s="131">
        <v>36404</v>
      </c>
      <c r="D231" t="s">
        <v>879</v>
      </c>
      <c r="F231" t="s">
        <v>645</v>
      </c>
      <c r="H231">
        <v>62.5</v>
      </c>
      <c r="J231" s="63">
        <v>173924.9</v>
      </c>
      <c r="K231" s="63"/>
      <c r="L231" s="63">
        <v>173924.9</v>
      </c>
      <c r="M231" s="63">
        <v>105808.22</v>
      </c>
      <c r="N231" s="63">
        <f t="shared" si="8"/>
        <v>2782.7984000000001</v>
      </c>
      <c r="O231" s="63"/>
      <c r="P231" s="63"/>
      <c r="Q231" s="63"/>
    </row>
    <row r="232" spans="1:19" hidden="1" x14ac:dyDescent="0.4">
      <c r="A232" t="s">
        <v>880</v>
      </c>
      <c r="B232" t="s">
        <v>779</v>
      </c>
      <c r="C232" s="131">
        <v>36800</v>
      </c>
      <c r="D232" t="s">
        <v>881</v>
      </c>
      <c r="F232" t="s">
        <v>645</v>
      </c>
      <c r="H232">
        <v>62.5</v>
      </c>
      <c r="J232" s="1">
        <v>1968.24</v>
      </c>
      <c r="K232" s="1"/>
      <c r="L232" s="1">
        <v>1968.24</v>
      </c>
      <c r="M232" s="1">
        <v>1144.2</v>
      </c>
      <c r="N232" s="1">
        <f t="shared" si="8"/>
        <v>31.49184</v>
      </c>
      <c r="O232" s="1"/>
      <c r="P232" s="1"/>
      <c r="Q232" s="1"/>
      <c r="R232" s="1"/>
      <c r="S232" s="1"/>
    </row>
    <row r="233" spans="1:19" hidden="1" x14ac:dyDescent="0.4">
      <c r="A233" t="s">
        <v>882</v>
      </c>
      <c r="B233" t="s">
        <v>779</v>
      </c>
      <c r="C233" s="131">
        <v>36831</v>
      </c>
      <c r="D233" t="s">
        <v>883</v>
      </c>
      <c r="F233" t="s">
        <v>645</v>
      </c>
      <c r="H233">
        <v>62.5</v>
      </c>
      <c r="J233" s="1">
        <v>5397.91</v>
      </c>
      <c r="K233" s="1"/>
      <c r="L233" s="1">
        <v>5397.91</v>
      </c>
      <c r="M233" s="1">
        <v>3126.34</v>
      </c>
      <c r="N233" s="1">
        <f t="shared" si="8"/>
        <v>86.366559999999993</v>
      </c>
      <c r="O233" s="1"/>
      <c r="P233" s="1"/>
      <c r="Q233" s="1"/>
      <c r="R233" s="1"/>
      <c r="S233" s="1"/>
    </row>
    <row r="234" spans="1:19" hidden="1" x14ac:dyDescent="0.4">
      <c r="A234" t="s">
        <v>884</v>
      </c>
      <c r="B234" t="s">
        <v>779</v>
      </c>
      <c r="C234" s="131">
        <v>36861</v>
      </c>
      <c r="D234" t="s">
        <v>885</v>
      </c>
      <c r="F234" t="s">
        <v>645</v>
      </c>
      <c r="H234">
        <v>62.5</v>
      </c>
      <c r="J234" s="1">
        <v>5096</v>
      </c>
      <c r="K234" s="1"/>
      <c r="L234" s="1">
        <v>5096</v>
      </c>
      <c r="M234" s="1">
        <v>2940.99</v>
      </c>
      <c r="N234" s="1">
        <f t="shared" si="8"/>
        <v>81.536000000000001</v>
      </c>
      <c r="O234" s="1"/>
      <c r="P234" s="1"/>
      <c r="Q234" s="1"/>
      <c r="R234" s="1"/>
      <c r="S234" s="1"/>
    </row>
    <row r="235" spans="1:19" hidden="1" x14ac:dyDescent="0.4">
      <c r="A235" t="s">
        <v>886</v>
      </c>
      <c r="B235" t="s">
        <v>779</v>
      </c>
      <c r="C235" s="131">
        <v>36836</v>
      </c>
      <c r="D235" t="s">
        <v>887</v>
      </c>
      <c r="F235" t="s">
        <v>645</v>
      </c>
      <c r="H235">
        <v>62.5</v>
      </c>
      <c r="J235" s="1">
        <v>70386.03</v>
      </c>
      <c r="K235" s="1"/>
      <c r="L235" s="1">
        <v>70386.03</v>
      </c>
      <c r="M235" s="1">
        <v>41351.78</v>
      </c>
      <c r="N235" s="1">
        <f t="shared" si="8"/>
        <v>1126.1764800000001</v>
      </c>
      <c r="O235" s="1"/>
      <c r="P235" s="1"/>
      <c r="Q235" s="1"/>
      <c r="R235" s="1"/>
      <c r="S235" s="1"/>
    </row>
    <row r="236" spans="1:19" hidden="1" x14ac:dyDescent="0.4">
      <c r="A236" t="s">
        <v>888</v>
      </c>
      <c r="B236" t="s">
        <v>779</v>
      </c>
      <c r="C236" s="131">
        <v>36616</v>
      </c>
      <c r="D236" t="s">
        <v>889</v>
      </c>
      <c r="F236" t="s">
        <v>645</v>
      </c>
      <c r="H236">
        <v>62.5</v>
      </c>
      <c r="J236" s="1">
        <v>83179.02</v>
      </c>
      <c r="K236" s="1"/>
      <c r="L236" s="1">
        <v>83179.02</v>
      </c>
      <c r="M236" s="1">
        <v>48867.68</v>
      </c>
      <c r="N236" s="1">
        <f t="shared" si="8"/>
        <v>1330.8643200000001</v>
      </c>
      <c r="O236" s="1"/>
      <c r="P236" s="1"/>
      <c r="Q236" s="1"/>
      <c r="R236" s="1"/>
      <c r="S236" s="1"/>
    </row>
    <row r="237" spans="1:19" hidden="1" x14ac:dyDescent="0.4">
      <c r="A237" t="s">
        <v>890</v>
      </c>
      <c r="B237" t="s">
        <v>779</v>
      </c>
      <c r="C237" s="131">
        <v>36878</v>
      </c>
      <c r="D237" t="s">
        <v>891</v>
      </c>
      <c r="F237" t="s">
        <v>645</v>
      </c>
      <c r="H237">
        <v>62.5</v>
      </c>
      <c r="J237" s="1">
        <v>355854.98</v>
      </c>
      <c r="K237" s="1"/>
      <c r="L237" s="1">
        <v>355854.98</v>
      </c>
      <c r="M237" s="1">
        <v>209064.8</v>
      </c>
      <c r="N237" s="1">
        <f t="shared" si="8"/>
        <v>5693.6796799999993</v>
      </c>
      <c r="O237" s="1"/>
      <c r="P237" s="1"/>
      <c r="Q237" s="1"/>
      <c r="R237" s="1"/>
      <c r="S237" s="1"/>
    </row>
    <row r="238" spans="1:19" hidden="1" x14ac:dyDescent="0.4">
      <c r="A238" t="s">
        <v>892</v>
      </c>
      <c r="B238" t="s">
        <v>779</v>
      </c>
      <c r="C238" s="131">
        <v>36770</v>
      </c>
      <c r="D238" t="s">
        <v>893</v>
      </c>
      <c r="F238" t="s">
        <v>645</v>
      </c>
      <c r="H238">
        <v>62.5</v>
      </c>
      <c r="J238" s="1">
        <v>1544128.02</v>
      </c>
      <c r="K238" s="1"/>
      <c r="L238" s="1">
        <v>1544128.02</v>
      </c>
      <c r="M238" s="1">
        <v>907175.24</v>
      </c>
      <c r="N238" s="1">
        <f t="shared" si="8"/>
        <v>24706.048320000002</v>
      </c>
      <c r="O238" s="1"/>
      <c r="P238" s="1"/>
      <c r="Q238" s="1"/>
      <c r="R238" s="1"/>
      <c r="S238" s="1"/>
    </row>
    <row r="239" spans="1:19" hidden="1" x14ac:dyDescent="0.4">
      <c r="A239" t="s">
        <v>894</v>
      </c>
      <c r="B239" t="s">
        <v>779</v>
      </c>
      <c r="C239" s="131">
        <v>36923</v>
      </c>
      <c r="D239" t="s">
        <v>895</v>
      </c>
      <c r="F239" t="s">
        <v>645</v>
      </c>
      <c r="H239">
        <v>62.5</v>
      </c>
      <c r="J239" s="1">
        <v>1250.31</v>
      </c>
      <c r="K239" s="1"/>
      <c r="L239" s="1">
        <v>1250.31</v>
      </c>
      <c r="M239" s="1">
        <v>716.32</v>
      </c>
      <c r="N239" s="1">
        <f t="shared" si="8"/>
        <v>20.004960000000001</v>
      </c>
      <c r="O239" s="1"/>
      <c r="P239" s="1"/>
      <c r="Q239" s="1"/>
      <c r="R239" s="1"/>
      <c r="S239" s="1"/>
    </row>
    <row r="240" spans="1:19" hidden="1" x14ac:dyDescent="0.4">
      <c r="A240" t="s">
        <v>896</v>
      </c>
      <c r="B240" t="s">
        <v>779</v>
      </c>
      <c r="C240" s="131">
        <v>37135</v>
      </c>
      <c r="D240" t="s">
        <v>897</v>
      </c>
      <c r="F240" t="s">
        <v>645</v>
      </c>
      <c r="H240">
        <v>62.5</v>
      </c>
      <c r="J240" s="1">
        <v>4539.84</v>
      </c>
      <c r="K240" s="1"/>
      <c r="L240" s="1">
        <v>4539.84</v>
      </c>
      <c r="M240" s="1">
        <v>2534.94</v>
      </c>
      <c r="N240" s="1">
        <f t="shared" si="8"/>
        <v>72.637439999999998</v>
      </c>
      <c r="O240" s="1"/>
      <c r="P240" s="1"/>
      <c r="Q240" s="1"/>
      <c r="R240" s="1"/>
      <c r="S240" s="1"/>
    </row>
    <row r="241" spans="1:19" hidden="1" x14ac:dyDescent="0.4">
      <c r="A241" t="s">
        <v>898</v>
      </c>
      <c r="B241" t="s">
        <v>779</v>
      </c>
      <c r="C241" s="131">
        <v>37165</v>
      </c>
      <c r="D241" t="s">
        <v>899</v>
      </c>
      <c r="F241" t="s">
        <v>645</v>
      </c>
      <c r="H241">
        <v>62.5</v>
      </c>
      <c r="J241" s="1">
        <v>1154.97</v>
      </c>
      <c r="K241" s="1"/>
      <c r="L241" s="1">
        <v>1154.97</v>
      </c>
      <c r="M241" s="1">
        <v>642.41999999999996</v>
      </c>
      <c r="N241" s="1">
        <f t="shared" si="8"/>
        <v>18.479520000000001</v>
      </c>
      <c r="O241" s="1"/>
      <c r="P241" s="1"/>
      <c r="Q241" s="1"/>
      <c r="R241" s="1"/>
      <c r="S241" s="1"/>
    </row>
    <row r="242" spans="1:19" hidden="1" x14ac:dyDescent="0.4">
      <c r="A242" t="s">
        <v>900</v>
      </c>
      <c r="B242" t="s">
        <v>779</v>
      </c>
      <c r="C242" s="131">
        <v>36923</v>
      </c>
      <c r="D242" t="s">
        <v>901</v>
      </c>
      <c r="F242" t="s">
        <v>645</v>
      </c>
      <c r="H242">
        <v>62.5</v>
      </c>
      <c r="J242" s="1">
        <v>3549.97</v>
      </c>
      <c r="K242" s="1"/>
      <c r="L242" s="1">
        <v>3549.97</v>
      </c>
      <c r="M242" s="1">
        <v>2033.71</v>
      </c>
      <c r="N242" s="1">
        <f t="shared" si="8"/>
        <v>56.799519999999994</v>
      </c>
      <c r="O242" s="1"/>
      <c r="P242" s="1"/>
      <c r="Q242" s="1"/>
      <c r="R242" s="1"/>
      <c r="S242" s="1"/>
    </row>
    <row r="243" spans="1:19" hidden="1" x14ac:dyDescent="0.4">
      <c r="A243" t="s">
        <v>902</v>
      </c>
      <c r="B243" t="s">
        <v>779</v>
      </c>
      <c r="C243" s="131">
        <v>36965</v>
      </c>
      <c r="D243" t="s">
        <v>903</v>
      </c>
      <c r="F243" t="s">
        <v>645</v>
      </c>
      <c r="H243">
        <v>62.5</v>
      </c>
      <c r="J243" s="1">
        <v>150291.91</v>
      </c>
      <c r="K243" s="1"/>
      <c r="L243" s="1">
        <v>150291.91</v>
      </c>
      <c r="M243" s="1">
        <v>85666.44</v>
      </c>
      <c r="N243" s="1">
        <f t="shared" ref="N243:N306" si="9">L243/H243</f>
        <v>2404.67056</v>
      </c>
      <c r="O243" s="1"/>
      <c r="P243" s="1"/>
      <c r="Q243" s="1"/>
      <c r="R243" s="1"/>
      <c r="S243" s="1"/>
    </row>
    <row r="244" spans="1:19" hidden="1" x14ac:dyDescent="0.4">
      <c r="A244" t="s">
        <v>904</v>
      </c>
      <c r="B244" t="s">
        <v>779</v>
      </c>
      <c r="C244" s="131">
        <v>37288</v>
      </c>
      <c r="D244" t="s">
        <v>905</v>
      </c>
      <c r="F244" t="s">
        <v>645</v>
      </c>
      <c r="H244">
        <v>62.5</v>
      </c>
      <c r="J244" s="1">
        <v>5374.21</v>
      </c>
      <c r="K244" s="1"/>
      <c r="L244" s="1">
        <v>5374.21</v>
      </c>
      <c r="M244" s="1">
        <v>2944.5</v>
      </c>
      <c r="N244" s="1">
        <f t="shared" si="9"/>
        <v>85.987359999999995</v>
      </c>
      <c r="O244" s="1"/>
      <c r="P244" s="1"/>
      <c r="Q244" s="1"/>
      <c r="R244" s="1"/>
      <c r="S244" s="1"/>
    </row>
    <row r="245" spans="1:19" hidden="1" x14ac:dyDescent="0.4">
      <c r="A245" t="s">
        <v>906</v>
      </c>
      <c r="B245" t="s">
        <v>779</v>
      </c>
      <c r="C245" s="131">
        <v>37499</v>
      </c>
      <c r="D245" t="s">
        <v>907</v>
      </c>
      <c r="F245" t="s">
        <v>645</v>
      </c>
      <c r="H245">
        <v>62.5</v>
      </c>
      <c r="J245" s="1">
        <v>2038.04</v>
      </c>
      <c r="K245" s="1"/>
      <c r="L245" s="1">
        <v>2038.04</v>
      </c>
      <c r="M245" s="1">
        <v>1087.1199999999999</v>
      </c>
      <c r="N245" s="1">
        <f t="shared" si="9"/>
        <v>32.608640000000001</v>
      </c>
      <c r="O245" s="1"/>
      <c r="P245" s="1"/>
      <c r="Q245" s="1"/>
      <c r="R245" s="1"/>
      <c r="S245" s="1"/>
    </row>
    <row r="246" spans="1:19" hidden="1" x14ac:dyDescent="0.4">
      <c r="A246" t="s">
        <v>908</v>
      </c>
      <c r="B246" t="s">
        <v>779</v>
      </c>
      <c r="C246" s="131">
        <v>37499</v>
      </c>
      <c r="D246" t="s">
        <v>909</v>
      </c>
      <c r="F246" t="s">
        <v>645</v>
      </c>
      <c r="H246">
        <v>62.5</v>
      </c>
      <c r="J246" s="1">
        <v>5734.74</v>
      </c>
      <c r="K246" s="1"/>
      <c r="L246" s="1">
        <v>5734.74</v>
      </c>
      <c r="M246" s="1">
        <v>3059.08</v>
      </c>
      <c r="N246" s="1">
        <f t="shared" si="9"/>
        <v>91.755839999999992</v>
      </c>
      <c r="O246" s="1"/>
      <c r="P246" s="1"/>
      <c r="Q246" s="1"/>
      <c r="R246" s="1"/>
      <c r="S246" s="1"/>
    </row>
    <row r="247" spans="1:19" hidden="1" x14ac:dyDescent="0.4">
      <c r="A247" t="s">
        <v>910</v>
      </c>
      <c r="B247" t="s">
        <v>779</v>
      </c>
      <c r="C247" s="131">
        <v>37499</v>
      </c>
      <c r="D247" t="s">
        <v>911</v>
      </c>
      <c r="F247" t="s">
        <v>645</v>
      </c>
      <c r="H247">
        <v>62.5</v>
      </c>
      <c r="J247" s="1">
        <v>1765.33</v>
      </c>
      <c r="K247" s="1"/>
      <c r="L247" s="1">
        <v>1765.33</v>
      </c>
      <c r="M247" s="1">
        <v>941.6</v>
      </c>
      <c r="N247" s="1">
        <f t="shared" si="9"/>
        <v>28.245279999999998</v>
      </c>
      <c r="O247" s="1"/>
      <c r="P247" s="1"/>
      <c r="Q247" s="1"/>
      <c r="R247" s="1"/>
      <c r="S247" s="1"/>
    </row>
    <row r="248" spans="1:19" hidden="1" x14ac:dyDescent="0.4">
      <c r="A248" t="s">
        <v>912</v>
      </c>
      <c r="B248" t="s">
        <v>779</v>
      </c>
      <c r="C248" s="131">
        <v>37529</v>
      </c>
      <c r="D248" t="s">
        <v>913</v>
      </c>
      <c r="F248" t="s">
        <v>645</v>
      </c>
      <c r="H248">
        <v>62.5</v>
      </c>
      <c r="J248" s="1">
        <v>3318.71</v>
      </c>
      <c r="K248" s="1"/>
      <c r="L248" s="1">
        <v>3318.71</v>
      </c>
      <c r="M248" s="1">
        <v>1763.51</v>
      </c>
      <c r="N248" s="1">
        <f t="shared" si="9"/>
        <v>53.099359999999997</v>
      </c>
      <c r="O248" s="1"/>
      <c r="P248" s="1"/>
      <c r="Q248" s="1"/>
      <c r="R248" s="1"/>
      <c r="S248" s="1"/>
    </row>
    <row r="249" spans="1:19" hidden="1" x14ac:dyDescent="0.4">
      <c r="A249" t="s">
        <v>914</v>
      </c>
      <c r="B249" t="s">
        <v>779</v>
      </c>
      <c r="C249" s="131">
        <v>37454</v>
      </c>
      <c r="D249" t="s">
        <v>915</v>
      </c>
      <c r="F249" t="s">
        <v>645</v>
      </c>
      <c r="H249">
        <v>62.5</v>
      </c>
      <c r="J249" s="1">
        <v>1040850.09</v>
      </c>
      <c r="K249" s="1"/>
      <c r="L249" s="1">
        <v>1040850.09</v>
      </c>
      <c r="M249" s="1">
        <v>558423.16</v>
      </c>
      <c r="N249" s="1">
        <f t="shared" si="9"/>
        <v>16653.601439999999</v>
      </c>
      <c r="O249" s="1"/>
      <c r="P249" s="1"/>
      <c r="Q249" s="1"/>
      <c r="R249" s="1"/>
      <c r="S249" s="1"/>
    </row>
    <row r="250" spans="1:19" hidden="1" x14ac:dyDescent="0.4">
      <c r="A250" t="s">
        <v>916</v>
      </c>
      <c r="B250" t="s">
        <v>779</v>
      </c>
      <c r="C250" s="131">
        <v>37454</v>
      </c>
      <c r="D250" t="s">
        <v>915</v>
      </c>
      <c r="F250" t="s">
        <v>645</v>
      </c>
      <c r="H250">
        <v>62.5</v>
      </c>
      <c r="J250" s="1">
        <v>92647.07</v>
      </c>
      <c r="K250" s="1"/>
      <c r="L250" s="1">
        <v>92647.07</v>
      </c>
      <c r="M250" s="1">
        <v>49705.86</v>
      </c>
      <c r="N250" s="1">
        <f t="shared" si="9"/>
        <v>1482.3531200000002</v>
      </c>
      <c r="O250" s="1"/>
      <c r="P250" s="1"/>
      <c r="Q250" s="1"/>
      <c r="R250" s="1"/>
      <c r="S250" s="1"/>
    </row>
    <row r="251" spans="1:19" hidden="1" x14ac:dyDescent="0.4">
      <c r="A251" t="s">
        <v>917</v>
      </c>
      <c r="B251" t="s">
        <v>779</v>
      </c>
      <c r="C251" s="131">
        <v>37606</v>
      </c>
      <c r="D251" t="s">
        <v>918</v>
      </c>
      <c r="F251" t="s">
        <v>645</v>
      </c>
      <c r="H251">
        <v>62.5</v>
      </c>
      <c r="J251" s="1">
        <v>128086.43</v>
      </c>
      <c r="K251" s="1"/>
      <c r="L251" s="1">
        <v>128086.43</v>
      </c>
      <c r="M251" s="1">
        <v>67385.73</v>
      </c>
      <c r="N251" s="1">
        <f t="shared" si="9"/>
        <v>2049.3828800000001</v>
      </c>
      <c r="O251" s="1"/>
      <c r="P251" s="1"/>
      <c r="Q251" s="1"/>
      <c r="R251" s="1"/>
      <c r="S251" s="1"/>
    </row>
    <row r="252" spans="1:19" hidden="1" x14ac:dyDescent="0.4">
      <c r="A252" t="s">
        <v>919</v>
      </c>
      <c r="B252" t="s">
        <v>779</v>
      </c>
      <c r="C252" s="131">
        <v>37510</v>
      </c>
      <c r="D252" t="s">
        <v>920</v>
      </c>
      <c r="F252" t="s">
        <v>645</v>
      </c>
      <c r="H252">
        <v>62.5</v>
      </c>
      <c r="J252" s="1">
        <v>19579.84</v>
      </c>
      <c r="K252" s="1"/>
      <c r="L252" s="1">
        <v>19579.84</v>
      </c>
      <c r="M252" s="1">
        <v>10429.700000000001</v>
      </c>
      <c r="N252" s="1">
        <f t="shared" si="9"/>
        <v>313.27744000000001</v>
      </c>
      <c r="O252" s="1"/>
      <c r="P252" s="1"/>
      <c r="Q252" s="1"/>
      <c r="R252" s="1"/>
      <c r="S252" s="1"/>
    </row>
    <row r="253" spans="1:19" hidden="1" x14ac:dyDescent="0.4">
      <c r="A253" t="s">
        <v>921</v>
      </c>
      <c r="B253" t="s">
        <v>779</v>
      </c>
      <c r="C253" s="131">
        <v>37621</v>
      </c>
      <c r="D253" t="s">
        <v>922</v>
      </c>
      <c r="F253" t="s">
        <v>645</v>
      </c>
      <c r="H253">
        <v>62.5</v>
      </c>
      <c r="J253" s="1">
        <v>84784.56</v>
      </c>
      <c r="K253" s="1"/>
      <c r="L253" s="1">
        <v>84784.56</v>
      </c>
      <c r="M253" s="1">
        <v>44517.62</v>
      </c>
      <c r="N253" s="1">
        <f t="shared" si="9"/>
        <v>1356.55296</v>
      </c>
      <c r="O253" s="1"/>
      <c r="P253" s="1"/>
      <c r="Q253" s="1"/>
      <c r="R253" s="1"/>
      <c r="S253" s="1"/>
    </row>
    <row r="254" spans="1:19" hidden="1" x14ac:dyDescent="0.4">
      <c r="A254" t="s">
        <v>923</v>
      </c>
      <c r="B254" t="s">
        <v>779</v>
      </c>
      <c r="C254" s="131">
        <v>37483</v>
      </c>
      <c r="D254" t="s">
        <v>924</v>
      </c>
      <c r="F254" t="s">
        <v>645</v>
      </c>
      <c r="H254">
        <v>62.5</v>
      </c>
      <c r="J254" s="1">
        <v>71140.289999999994</v>
      </c>
      <c r="K254" s="1"/>
      <c r="L254" s="1">
        <v>71140.289999999994</v>
      </c>
      <c r="M254" s="1">
        <v>38026</v>
      </c>
      <c r="N254" s="1">
        <f t="shared" si="9"/>
        <v>1138.2446399999999</v>
      </c>
      <c r="O254" s="1"/>
      <c r="P254" s="1"/>
      <c r="Q254" s="1"/>
      <c r="R254" s="1"/>
      <c r="S254" s="1"/>
    </row>
    <row r="255" spans="1:19" hidden="1" x14ac:dyDescent="0.4">
      <c r="A255" t="s">
        <v>925</v>
      </c>
      <c r="B255" t="s">
        <v>779</v>
      </c>
      <c r="C255" s="131">
        <v>37349</v>
      </c>
      <c r="D255" t="s">
        <v>926</v>
      </c>
      <c r="F255" t="s">
        <v>645</v>
      </c>
      <c r="H255">
        <v>62.5</v>
      </c>
      <c r="J255" s="1">
        <v>43323.03</v>
      </c>
      <c r="K255" s="1"/>
      <c r="L255" s="1">
        <v>43323.03</v>
      </c>
      <c r="M255" s="1">
        <v>23554.76</v>
      </c>
      <c r="N255" s="1">
        <f t="shared" si="9"/>
        <v>693.16847999999993</v>
      </c>
      <c r="O255" s="1"/>
      <c r="P255" s="1"/>
      <c r="Q255" s="1"/>
      <c r="R255" s="1"/>
      <c r="S255" s="1"/>
    </row>
    <row r="256" spans="1:19" hidden="1" x14ac:dyDescent="0.4">
      <c r="A256" t="s">
        <v>927</v>
      </c>
      <c r="B256" t="s">
        <v>779</v>
      </c>
      <c r="C256" s="131">
        <v>37621</v>
      </c>
      <c r="D256" t="s">
        <v>928</v>
      </c>
      <c r="F256" t="s">
        <v>645</v>
      </c>
      <c r="H256">
        <v>62.5</v>
      </c>
      <c r="J256" s="1">
        <v>327724.23</v>
      </c>
      <c r="K256" s="1"/>
      <c r="L256" s="1">
        <v>327724.23</v>
      </c>
      <c r="M256" s="1">
        <v>172077.76</v>
      </c>
      <c r="N256" s="1">
        <f t="shared" si="9"/>
        <v>5243.5876799999996</v>
      </c>
      <c r="O256" s="1"/>
      <c r="P256" s="1"/>
      <c r="Q256" s="1"/>
      <c r="R256" s="1"/>
      <c r="S256" s="1"/>
    </row>
    <row r="257" spans="1:19" hidden="1" x14ac:dyDescent="0.4">
      <c r="A257" t="s">
        <v>929</v>
      </c>
      <c r="B257" t="s">
        <v>779</v>
      </c>
      <c r="C257" s="131">
        <v>37477</v>
      </c>
      <c r="D257" t="s">
        <v>930</v>
      </c>
      <c r="F257" t="s">
        <v>645</v>
      </c>
      <c r="H257">
        <v>62.5</v>
      </c>
      <c r="J257" s="1">
        <v>170072.93</v>
      </c>
      <c r="K257" s="1"/>
      <c r="L257" s="1">
        <v>170072.93</v>
      </c>
      <c r="M257" s="1">
        <v>90977.3</v>
      </c>
      <c r="N257" s="1">
        <f t="shared" si="9"/>
        <v>2721.1668799999998</v>
      </c>
      <c r="O257" s="1"/>
      <c r="P257" s="1"/>
      <c r="Q257" s="1"/>
      <c r="R257" s="1"/>
      <c r="S257" s="1"/>
    </row>
    <row r="258" spans="1:19" hidden="1" x14ac:dyDescent="0.4">
      <c r="A258" t="s">
        <v>931</v>
      </c>
      <c r="B258" t="s">
        <v>779</v>
      </c>
      <c r="C258" s="131">
        <v>37356</v>
      </c>
      <c r="D258" t="s">
        <v>932</v>
      </c>
      <c r="F258" t="s">
        <v>645</v>
      </c>
      <c r="H258">
        <v>62.5</v>
      </c>
      <c r="J258" s="1">
        <v>91630.27</v>
      </c>
      <c r="K258" s="1"/>
      <c r="L258" s="1">
        <v>91630.27</v>
      </c>
      <c r="M258" s="1">
        <v>49775.39</v>
      </c>
      <c r="N258" s="1">
        <f t="shared" si="9"/>
        <v>1466.0843200000002</v>
      </c>
      <c r="O258" s="1"/>
      <c r="P258" s="1"/>
      <c r="Q258" s="1"/>
      <c r="R258" s="1"/>
      <c r="S258" s="1"/>
    </row>
    <row r="259" spans="1:19" hidden="1" x14ac:dyDescent="0.4">
      <c r="A259" t="s">
        <v>933</v>
      </c>
      <c r="B259" t="s">
        <v>779</v>
      </c>
      <c r="C259" s="131">
        <v>37384</v>
      </c>
      <c r="D259" t="s">
        <v>934</v>
      </c>
      <c r="F259" t="s">
        <v>645</v>
      </c>
      <c r="H259">
        <v>62.5</v>
      </c>
      <c r="J259" s="1">
        <v>95771.9</v>
      </c>
      <c r="K259" s="1"/>
      <c r="L259" s="1">
        <v>95771.9</v>
      </c>
      <c r="M259" s="1">
        <v>51841.51</v>
      </c>
      <c r="N259" s="1">
        <f t="shared" si="9"/>
        <v>1532.3503999999998</v>
      </c>
      <c r="O259" s="1"/>
      <c r="P259" s="1"/>
      <c r="Q259" s="1"/>
      <c r="R259" s="1"/>
      <c r="S259" s="1"/>
    </row>
    <row r="260" spans="1:19" hidden="1" x14ac:dyDescent="0.4">
      <c r="A260" t="s">
        <v>935</v>
      </c>
      <c r="B260" t="s">
        <v>779</v>
      </c>
      <c r="C260" s="131">
        <v>37354</v>
      </c>
      <c r="D260" t="s">
        <v>936</v>
      </c>
      <c r="F260" t="s">
        <v>645</v>
      </c>
      <c r="H260">
        <v>62.5</v>
      </c>
      <c r="J260" s="1">
        <v>54055.08</v>
      </c>
      <c r="K260" s="1"/>
      <c r="L260" s="1">
        <v>54055.08</v>
      </c>
      <c r="M260" s="1">
        <v>29371.22</v>
      </c>
      <c r="N260" s="1">
        <f t="shared" si="9"/>
        <v>864.88128000000006</v>
      </c>
      <c r="O260" s="1"/>
      <c r="P260" s="1"/>
      <c r="Q260" s="1"/>
      <c r="R260" s="1"/>
      <c r="S260" s="1"/>
    </row>
    <row r="261" spans="1:19" hidden="1" x14ac:dyDescent="0.4">
      <c r="A261" t="s">
        <v>937</v>
      </c>
      <c r="B261" t="s">
        <v>779</v>
      </c>
      <c r="C261" s="131">
        <v>37257</v>
      </c>
      <c r="D261" t="s">
        <v>938</v>
      </c>
      <c r="F261" t="s">
        <v>645</v>
      </c>
      <c r="H261">
        <v>62.5</v>
      </c>
      <c r="J261" s="1">
        <v>23406.639999999999</v>
      </c>
      <c r="K261" s="1"/>
      <c r="L261" s="1">
        <v>23406.639999999999</v>
      </c>
      <c r="M261" s="1">
        <v>12873.74</v>
      </c>
      <c r="N261" s="1">
        <f t="shared" si="9"/>
        <v>374.50623999999999</v>
      </c>
      <c r="O261" s="1"/>
      <c r="P261" s="1"/>
      <c r="Q261" s="1"/>
      <c r="R261" s="1"/>
      <c r="S261" s="1"/>
    </row>
    <row r="262" spans="1:19" hidden="1" x14ac:dyDescent="0.4">
      <c r="A262" t="s">
        <v>939</v>
      </c>
      <c r="B262" t="s">
        <v>779</v>
      </c>
      <c r="C262" s="131">
        <v>37257</v>
      </c>
      <c r="D262" t="s">
        <v>940</v>
      </c>
      <c r="F262" t="s">
        <v>645</v>
      </c>
      <c r="H262">
        <v>62.5</v>
      </c>
      <c r="J262" s="1">
        <v>39344.239999999998</v>
      </c>
      <c r="K262" s="1"/>
      <c r="L262" s="1">
        <v>39344.239999999998</v>
      </c>
      <c r="M262" s="1">
        <v>21639.42</v>
      </c>
      <c r="N262" s="1">
        <f t="shared" si="9"/>
        <v>629.50783999999999</v>
      </c>
      <c r="O262" s="1"/>
      <c r="P262" s="1"/>
      <c r="Q262" s="1"/>
      <c r="R262" s="1"/>
      <c r="S262" s="1"/>
    </row>
    <row r="263" spans="1:19" hidden="1" x14ac:dyDescent="0.4">
      <c r="A263" t="s">
        <v>941</v>
      </c>
      <c r="B263" t="s">
        <v>779</v>
      </c>
      <c r="C263" s="131">
        <v>37532</v>
      </c>
      <c r="D263" t="s">
        <v>942</v>
      </c>
      <c r="F263" t="s">
        <v>645</v>
      </c>
      <c r="H263">
        <v>62.5</v>
      </c>
      <c r="J263" s="1">
        <v>181308.09</v>
      </c>
      <c r="K263" s="1"/>
      <c r="L263" s="1">
        <v>181308.09</v>
      </c>
      <c r="M263" s="1">
        <v>96304.35</v>
      </c>
      <c r="N263" s="1">
        <f t="shared" si="9"/>
        <v>2900.9294399999999</v>
      </c>
      <c r="O263" s="1"/>
      <c r="P263" s="1"/>
      <c r="Q263" s="1"/>
      <c r="R263" s="1"/>
      <c r="S263" s="1"/>
    </row>
    <row r="264" spans="1:19" hidden="1" x14ac:dyDescent="0.4">
      <c r="A264" t="s">
        <v>943</v>
      </c>
      <c r="B264" t="s">
        <v>779</v>
      </c>
      <c r="C264" s="131">
        <v>37348</v>
      </c>
      <c r="D264" t="s">
        <v>944</v>
      </c>
      <c r="F264" t="s">
        <v>645</v>
      </c>
      <c r="H264">
        <v>62.5</v>
      </c>
      <c r="J264" s="1">
        <v>123609.88</v>
      </c>
      <c r="K264" s="1"/>
      <c r="L264" s="1">
        <v>123609.88</v>
      </c>
      <c r="M264" s="1">
        <v>67215.05</v>
      </c>
      <c r="N264" s="1">
        <f t="shared" si="9"/>
        <v>1977.7580800000001</v>
      </c>
      <c r="O264" s="1"/>
      <c r="P264" s="1"/>
      <c r="Q264" s="1"/>
      <c r="R264" s="1"/>
      <c r="S264" s="1"/>
    </row>
    <row r="265" spans="1:19" hidden="1" x14ac:dyDescent="0.4">
      <c r="A265" t="s">
        <v>945</v>
      </c>
      <c r="B265" t="s">
        <v>779</v>
      </c>
      <c r="C265" s="131">
        <v>37259</v>
      </c>
      <c r="D265" t="s">
        <v>946</v>
      </c>
      <c r="F265" t="s">
        <v>645</v>
      </c>
      <c r="H265">
        <v>62.5</v>
      </c>
      <c r="J265" s="1">
        <v>119517.69</v>
      </c>
      <c r="K265" s="1"/>
      <c r="L265" s="1">
        <v>119517.69</v>
      </c>
      <c r="M265" s="1">
        <v>65718.31</v>
      </c>
      <c r="N265" s="1">
        <f t="shared" si="9"/>
        <v>1912.28304</v>
      </c>
      <c r="O265" s="1"/>
      <c r="P265" s="1"/>
      <c r="Q265" s="1"/>
      <c r="R265" s="1"/>
      <c r="S265" s="1"/>
    </row>
    <row r="266" spans="1:19" hidden="1" x14ac:dyDescent="0.4">
      <c r="A266" t="s">
        <v>947</v>
      </c>
      <c r="B266" t="s">
        <v>779</v>
      </c>
      <c r="C266" s="131">
        <v>37620</v>
      </c>
      <c r="D266" t="s">
        <v>948</v>
      </c>
      <c r="F266" t="s">
        <v>645</v>
      </c>
      <c r="H266">
        <v>62.5</v>
      </c>
      <c r="J266" s="1">
        <v>58451.43</v>
      </c>
      <c r="K266" s="1"/>
      <c r="L266" s="1">
        <v>58451.43</v>
      </c>
      <c r="M266" s="1">
        <v>30695.1</v>
      </c>
      <c r="N266" s="1">
        <f t="shared" si="9"/>
        <v>935.22288000000003</v>
      </c>
      <c r="O266" s="1"/>
      <c r="P266" s="1"/>
      <c r="Q266" s="1"/>
      <c r="R266" s="1"/>
      <c r="S266" s="1"/>
    </row>
    <row r="267" spans="1:19" hidden="1" x14ac:dyDescent="0.4">
      <c r="A267" t="s">
        <v>949</v>
      </c>
      <c r="B267" t="s">
        <v>779</v>
      </c>
      <c r="C267" s="131">
        <v>37652</v>
      </c>
      <c r="D267" t="s">
        <v>950</v>
      </c>
      <c r="F267" t="s">
        <v>645</v>
      </c>
      <c r="H267">
        <v>62.5</v>
      </c>
      <c r="J267" s="1">
        <v>2504.4299999999998</v>
      </c>
      <c r="K267" s="1"/>
      <c r="L267" s="1">
        <v>2504.4299999999998</v>
      </c>
      <c r="M267" s="1">
        <v>1309.6600000000001</v>
      </c>
      <c r="N267" s="1">
        <f t="shared" si="9"/>
        <v>40.070879999999995</v>
      </c>
      <c r="O267" s="1"/>
      <c r="P267" s="1"/>
      <c r="Q267" s="1"/>
      <c r="R267" s="1"/>
      <c r="S267" s="1"/>
    </row>
    <row r="268" spans="1:19" hidden="1" x14ac:dyDescent="0.4">
      <c r="A268" t="s">
        <v>951</v>
      </c>
      <c r="B268" t="s">
        <v>779</v>
      </c>
      <c r="C268" s="131">
        <v>37680</v>
      </c>
      <c r="D268" t="s">
        <v>952</v>
      </c>
      <c r="F268" t="s">
        <v>645</v>
      </c>
      <c r="H268">
        <v>62.5</v>
      </c>
      <c r="J268" s="1">
        <v>2782.76</v>
      </c>
      <c r="K268" s="1"/>
      <c r="L268" s="1">
        <v>2782.76</v>
      </c>
      <c r="M268" s="1">
        <v>1449.91</v>
      </c>
      <c r="N268" s="1">
        <f t="shared" si="9"/>
        <v>44.524160000000002</v>
      </c>
      <c r="O268" s="1"/>
      <c r="P268" s="1"/>
      <c r="Q268" s="1"/>
      <c r="R268" s="1"/>
      <c r="S268" s="1"/>
    </row>
    <row r="269" spans="1:19" hidden="1" x14ac:dyDescent="0.4">
      <c r="A269" t="s">
        <v>953</v>
      </c>
      <c r="B269" t="s">
        <v>779</v>
      </c>
      <c r="C269" s="131">
        <v>37711</v>
      </c>
      <c r="D269" t="s">
        <v>954</v>
      </c>
      <c r="F269" t="s">
        <v>645</v>
      </c>
      <c r="H269">
        <v>62.5</v>
      </c>
      <c r="J269" s="1">
        <v>968.1</v>
      </c>
      <c r="K269" s="1"/>
      <c r="L269" s="1">
        <v>968.1</v>
      </c>
      <c r="M269" s="1">
        <v>502.3</v>
      </c>
      <c r="N269" s="1">
        <f t="shared" si="9"/>
        <v>15.489600000000001</v>
      </c>
      <c r="O269" s="1"/>
      <c r="P269" s="1"/>
      <c r="Q269" s="1"/>
      <c r="R269" s="1"/>
      <c r="S269" s="1"/>
    </row>
    <row r="270" spans="1:19" hidden="1" x14ac:dyDescent="0.4">
      <c r="A270" t="s">
        <v>955</v>
      </c>
      <c r="B270" t="s">
        <v>779</v>
      </c>
      <c r="C270" s="131">
        <v>37631</v>
      </c>
      <c r="D270" t="s">
        <v>956</v>
      </c>
      <c r="F270" t="s">
        <v>645</v>
      </c>
      <c r="H270">
        <v>62.5</v>
      </c>
      <c r="J270" s="1">
        <v>42399.01</v>
      </c>
      <c r="K270" s="1"/>
      <c r="L270" s="1">
        <v>42399.01</v>
      </c>
      <c r="M270" s="1">
        <v>22233.439999999999</v>
      </c>
      <c r="N270" s="1">
        <f t="shared" si="9"/>
        <v>678.38416000000007</v>
      </c>
      <c r="O270" s="1"/>
      <c r="P270" s="1"/>
      <c r="Q270" s="1"/>
      <c r="R270" s="1"/>
      <c r="S270" s="1"/>
    </row>
    <row r="271" spans="1:19" hidden="1" x14ac:dyDescent="0.4">
      <c r="A271" t="s">
        <v>957</v>
      </c>
      <c r="B271" t="s">
        <v>779</v>
      </c>
      <c r="C271" s="131">
        <v>37867</v>
      </c>
      <c r="D271" t="s">
        <v>958</v>
      </c>
      <c r="F271" t="s">
        <v>645</v>
      </c>
      <c r="H271">
        <v>62.5</v>
      </c>
      <c r="J271" s="1">
        <v>11200</v>
      </c>
      <c r="K271" s="1"/>
      <c r="L271" s="1">
        <v>11200</v>
      </c>
      <c r="M271" s="1">
        <v>5692.05</v>
      </c>
      <c r="N271" s="1">
        <f t="shared" si="9"/>
        <v>179.2</v>
      </c>
      <c r="O271" s="1"/>
      <c r="P271" s="1"/>
      <c r="Q271" s="1"/>
      <c r="R271" s="1"/>
      <c r="S271" s="1"/>
    </row>
    <row r="272" spans="1:19" hidden="1" x14ac:dyDescent="0.4">
      <c r="A272" t="s">
        <v>959</v>
      </c>
      <c r="B272" t="s">
        <v>779</v>
      </c>
      <c r="C272" s="131">
        <v>37895</v>
      </c>
      <c r="D272" t="s">
        <v>960</v>
      </c>
      <c r="F272" t="s">
        <v>645</v>
      </c>
      <c r="H272">
        <v>62.5</v>
      </c>
      <c r="J272" s="1">
        <v>247042.88</v>
      </c>
      <c r="K272" s="1"/>
      <c r="L272" s="1">
        <v>247042.88</v>
      </c>
      <c r="M272" s="1">
        <v>125078.11</v>
      </c>
      <c r="N272" s="1">
        <f t="shared" si="9"/>
        <v>3952.6860799999999</v>
      </c>
      <c r="O272" s="1"/>
      <c r="P272" s="1"/>
      <c r="Q272" s="1"/>
      <c r="R272" s="1"/>
      <c r="S272" s="1"/>
    </row>
    <row r="273" spans="1:19" hidden="1" x14ac:dyDescent="0.4">
      <c r="A273" t="s">
        <v>961</v>
      </c>
      <c r="B273" t="s">
        <v>779</v>
      </c>
      <c r="C273" s="131">
        <v>37636</v>
      </c>
      <c r="D273" t="s">
        <v>962</v>
      </c>
      <c r="F273" t="s">
        <v>645</v>
      </c>
      <c r="H273">
        <v>62.5</v>
      </c>
      <c r="J273" s="1">
        <v>374261.24</v>
      </c>
      <c r="K273" s="1"/>
      <c r="L273" s="1">
        <v>374261.24</v>
      </c>
      <c r="M273" s="1">
        <v>196128.25</v>
      </c>
      <c r="N273" s="1">
        <f t="shared" si="9"/>
        <v>5988.1798399999998</v>
      </c>
      <c r="O273" s="1"/>
      <c r="P273" s="1"/>
      <c r="Q273" s="1"/>
      <c r="R273" s="1"/>
      <c r="S273" s="1"/>
    </row>
    <row r="274" spans="1:19" hidden="1" x14ac:dyDescent="0.4">
      <c r="A274" t="s">
        <v>963</v>
      </c>
      <c r="B274" t="s">
        <v>779</v>
      </c>
      <c r="C274" s="131">
        <v>37883</v>
      </c>
      <c r="D274" t="s">
        <v>964</v>
      </c>
      <c r="F274" t="s">
        <v>645</v>
      </c>
      <c r="H274">
        <v>62.5</v>
      </c>
      <c r="J274" s="1">
        <v>10722.3</v>
      </c>
      <c r="K274" s="1"/>
      <c r="L274" s="1">
        <v>10722.3</v>
      </c>
      <c r="M274" s="1">
        <v>5437.58</v>
      </c>
      <c r="N274" s="1">
        <f t="shared" si="9"/>
        <v>171.55679999999998</v>
      </c>
      <c r="O274" s="1"/>
      <c r="P274" s="1"/>
      <c r="Q274" s="1"/>
      <c r="R274" s="1"/>
      <c r="S274" s="1"/>
    </row>
    <row r="275" spans="1:19" hidden="1" x14ac:dyDescent="0.4">
      <c r="A275" t="s">
        <v>965</v>
      </c>
      <c r="B275" t="s">
        <v>779</v>
      </c>
      <c r="C275" s="131">
        <v>37846</v>
      </c>
      <c r="D275" t="s">
        <v>966</v>
      </c>
      <c r="F275" t="s">
        <v>645</v>
      </c>
      <c r="H275">
        <v>62.5</v>
      </c>
      <c r="J275" s="1">
        <v>9480.9500000000007</v>
      </c>
      <c r="K275" s="1"/>
      <c r="L275" s="1">
        <v>9480.9500000000007</v>
      </c>
      <c r="M275" s="1">
        <v>4831.96</v>
      </c>
      <c r="N275" s="1">
        <f t="shared" si="9"/>
        <v>151.6952</v>
      </c>
      <c r="O275" s="1"/>
      <c r="P275" s="1"/>
      <c r="Q275" s="1"/>
      <c r="R275" s="1"/>
      <c r="S275" s="1"/>
    </row>
    <row r="276" spans="1:19" hidden="1" x14ac:dyDescent="0.4">
      <c r="A276" t="s">
        <v>967</v>
      </c>
      <c r="B276" t="s">
        <v>779</v>
      </c>
      <c r="C276" s="131">
        <v>37883</v>
      </c>
      <c r="D276" t="s">
        <v>968</v>
      </c>
      <c r="F276" t="s">
        <v>645</v>
      </c>
      <c r="H276">
        <v>62.5</v>
      </c>
      <c r="J276" s="1">
        <v>4372.29</v>
      </c>
      <c r="K276" s="1"/>
      <c r="L276" s="1">
        <v>4372.29</v>
      </c>
      <c r="M276" s="1">
        <v>2217.35</v>
      </c>
      <c r="N276" s="1">
        <f t="shared" si="9"/>
        <v>69.956639999999993</v>
      </c>
      <c r="O276" s="1"/>
      <c r="P276" s="1"/>
      <c r="Q276" s="1"/>
      <c r="R276" s="1"/>
      <c r="S276" s="1"/>
    </row>
    <row r="277" spans="1:19" hidden="1" x14ac:dyDescent="0.4">
      <c r="A277" t="s">
        <v>969</v>
      </c>
      <c r="B277" t="s">
        <v>779</v>
      </c>
      <c r="C277" s="131">
        <v>37680</v>
      </c>
      <c r="D277" t="s">
        <v>962</v>
      </c>
      <c r="F277" t="s">
        <v>645</v>
      </c>
      <c r="H277">
        <v>62.5</v>
      </c>
      <c r="J277" s="1">
        <v>8915.2800000000007</v>
      </c>
      <c r="K277" s="1"/>
      <c r="L277" s="1">
        <v>8915.2800000000007</v>
      </c>
      <c r="M277" s="1">
        <v>4645.07</v>
      </c>
      <c r="N277" s="1">
        <f t="shared" si="9"/>
        <v>142.64448000000002</v>
      </c>
      <c r="O277" s="1"/>
      <c r="P277" s="1"/>
      <c r="Q277" s="1"/>
      <c r="R277" s="1"/>
      <c r="S277" s="1"/>
    </row>
    <row r="278" spans="1:19" hidden="1" x14ac:dyDescent="0.4">
      <c r="A278" t="s">
        <v>970</v>
      </c>
      <c r="B278" t="s">
        <v>779</v>
      </c>
      <c r="C278" s="131">
        <v>38017</v>
      </c>
      <c r="D278" t="s">
        <v>971</v>
      </c>
      <c r="F278" t="s">
        <v>645</v>
      </c>
      <c r="H278">
        <v>62.5</v>
      </c>
      <c r="J278" s="1">
        <v>1977.03</v>
      </c>
      <c r="K278" s="1"/>
      <c r="L278" s="1">
        <v>1977.03</v>
      </c>
      <c r="M278" s="1">
        <v>984.54</v>
      </c>
      <c r="N278" s="1">
        <f t="shared" si="9"/>
        <v>31.632480000000001</v>
      </c>
      <c r="O278" s="1"/>
      <c r="P278" s="1"/>
      <c r="Q278" s="1"/>
      <c r="R278" s="1"/>
      <c r="S278" s="1"/>
    </row>
    <row r="279" spans="1:19" hidden="1" x14ac:dyDescent="0.4">
      <c r="A279" t="s">
        <v>972</v>
      </c>
      <c r="B279" t="s">
        <v>779</v>
      </c>
      <c r="C279" s="131">
        <v>38230</v>
      </c>
      <c r="D279" t="s">
        <v>973</v>
      </c>
      <c r="F279" t="s">
        <v>645</v>
      </c>
      <c r="H279">
        <v>62.5</v>
      </c>
      <c r="J279" s="1">
        <v>5125.34</v>
      </c>
      <c r="K279" s="1"/>
      <c r="L279" s="1">
        <v>5125.34</v>
      </c>
      <c r="M279" s="1">
        <v>2477.5300000000002</v>
      </c>
      <c r="N279" s="1">
        <f t="shared" si="9"/>
        <v>82.005440000000007</v>
      </c>
      <c r="O279" s="1"/>
      <c r="P279" s="1"/>
      <c r="Q279" s="1"/>
      <c r="R279" s="1"/>
      <c r="S279" s="1"/>
    </row>
    <row r="280" spans="1:19" hidden="1" x14ac:dyDescent="0.4">
      <c r="A280" t="s">
        <v>974</v>
      </c>
      <c r="B280" t="s">
        <v>779</v>
      </c>
      <c r="C280" s="131">
        <v>38291</v>
      </c>
      <c r="D280" t="s">
        <v>975</v>
      </c>
      <c r="F280" t="s">
        <v>645</v>
      </c>
      <c r="H280">
        <v>62.5</v>
      </c>
      <c r="J280" s="1">
        <v>2528.9299999999998</v>
      </c>
      <c r="K280" s="1"/>
      <c r="L280" s="1">
        <v>2528.9299999999998</v>
      </c>
      <c r="M280" s="1">
        <v>1211.8900000000001</v>
      </c>
      <c r="N280" s="1">
        <f t="shared" si="9"/>
        <v>40.462879999999998</v>
      </c>
      <c r="O280" s="1"/>
      <c r="P280" s="1"/>
      <c r="Q280" s="1"/>
      <c r="R280" s="1"/>
      <c r="S280" s="1"/>
    </row>
    <row r="281" spans="1:19" hidden="1" x14ac:dyDescent="0.4">
      <c r="A281" t="s">
        <v>976</v>
      </c>
      <c r="B281" t="s">
        <v>779</v>
      </c>
      <c r="C281" s="131">
        <v>38113</v>
      </c>
      <c r="D281" t="s">
        <v>977</v>
      </c>
      <c r="F281" t="s">
        <v>645</v>
      </c>
      <c r="H281">
        <v>62.5</v>
      </c>
      <c r="J281" s="1">
        <v>6684433.4800000004</v>
      </c>
      <c r="K281" s="1"/>
      <c r="L281" s="1">
        <v>6684433.4800000004</v>
      </c>
      <c r="M281" s="1">
        <v>3286513.21</v>
      </c>
      <c r="N281" s="1">
        <f t="shared" si="9"/>
        <v>106950.93568000001</v>
      </c>
      <c r="O281" s="1"/>
      <c r="P281" s="1"/>
      <c r="Q281" s="1"/>
      <c r="R281" s="1"/>
      <c r="S281" s="1"/>
    </row>
    <row r="282" spans="1:19" hidden="1" x14ac:dyDescent="0.4">
      <c r="A282" t="s">
        <v>978</v>
      </c>
      <c r="B282" t="s">
        <v>779</v>
      </c>
      <c r="C282" s="131">
        <v>38169</v>
      </c>
      <c r="D282" t="s">
        <v>979</v>
      </c>
      <c r="F282" t="s">
        <v>645</v>
      </c>
      <c r="H282">
        <v>62.5</v>
      </c>
      <c r="J282" s="1">
        <v>192691.5</v>
      </c>
      <c r="K282" s="1"/>
      <c r="L282" s="1">
        <v>192691.5</v>
      </c>
      <c r="M282" s="1">
        <v>93937.15</v>
      </c>
      <c r="N282" s="1">
        <f t="shared" si="9"/>
        <v>3083.0639999999999</v>
      </c>
      <c r="O282" s="1"/>
      <c r="P282" s="1"/>
      <c r="Q282" s="1"/>
      <c r="R282" s="1"/>
      <c r="S282" s="1"/>
    </row>
    <row r="283" spans="1:19" hidden="1" x14ac:dyDescent="0.4">
      <c r="A283" t="s">
        <v>980</v>
      </c>
      <c r="B283" t="s">
        <v>779</v>
      </c>
      <c r="C283" s="131">
        <v>38231</v>
      </c>
      <c r="D283" t="s">
        <v>981</v>
      </c>
      <c r="F283" t="s">
        <v>645</v>
      </c>
      <c r="H283">
        <v>62.5</v>
      </c>
      <c r="J283" s="1">
        <v>1072548.83</v>
      </c>
      <c r="K283" s="1"/>
      <c r="L283" s="1">
        <v>1072548.83</v>
      </c>
      <c r="M283" s="1">
        <v>518398.58</v>
      </c>
      <c r="N283" s="1">
        <f t="shared" si="9"/>
        <v>17160.781280000003</v>
      </c>
      <c r="O283" s="1"/>
      <c r="P283" s="1"/>
      <c r="Q283" s="1"/>
      <c r="R283" s="1"/>
      <c r="S283" s="1"/>
    </row>
    <row r="284" spans="1:19" hidden="1" x14ac:dyDescent="0.4">
      <c r="A284" t="s">
        <v>982</v>
      </c>
      <c r="B284" t="s">
        <v>779</v>
      </c>
      <c r="C284" s="131">
        <v>38231</v>
      </c>
      <c r="D284" t="s">
        <v>983</v>
      </c>
      <c r="F284" t="s">
        <v>645</v>
      </c>
      <c r="H284">
        <v>62.5</v>
      </c>
      <c r="J284" s="1">
        <v>333898.81</v>
      </c>
      <c r="K284" s="1"/>
      <c r="L284" s="1">
        <v>333898.81</v>
      </c>
      <c r="M284" s="1">
        <v>161384.42000000001</v>
      </c>
      <c r="N284" s="1">
        <f t="shared" si="9"/>
        <v>5342.3809600000004</v>
      </c>
      <c r="O284" s="1"/>
      <c r="P284" s="1"/>
      <c r="Q284" s="1"/>
      <c r="R284" s="1"/>
      <c r="S284" s="1"/>
    </row>
    <row r="285" spans="1:19" hidden="1" x14ac:dyDescent="0.4">
      <c r="A285" t="s">
        <v>984</v>
      </c>
      <c r="B285" t="s">
        <v>779</v>
      </c>
      <c r="C285" s="131">
        <v>38231</v>
      </c>
      <c r="D285" t="s">
        <v>985</v>
      </c>
      <c r="F285" t="s">
        <v>645</v>
      </c>
      <c r="H285">
        <v>62.5</v>
      </c>
      <c r="J285" s="1">
        <v>203751.77</v>
      </c>
      <c r="K285" s="1"/>
      <c r="L285" s="1">
        <v>203751.77</v>
      </c>
      <c r="M285" s="1">
        <v>98479.94</v>
      </c>
      <c r="N285" s="1">
        <f t="shared" si="9"/>
        <v>3260.0283199999999</v>
      </c>
      <c r="O285" s="1"/>
      <c r="P285" s="1"/>
      <c r="Q285" s="1"/>
      <c r="R285" s="1"/>
      <c r="S285" s="1"/>
    </row>
    <row r="286" spans="1:19" hidden="1" x14ac:dyDescent="0.4">
      <c r="A286" t="s">
        <v>986</v>
      </c>
      <c r="B286" t="s">
        <v>779</v>
      </c>
      <c r="C286" s="131">
        <v>38231</v>
      </c>
      <c r="D286" t="s">
        <v>987</v>
      </c>
      <c r="F286" t="s">
        <v>645</v>
      </c>
      <c r="H286">
        <v>62.5</v>
      </c>
      <c r="J286" s="1">
        <v>155700.32</v>
      </c>
      <c r="K286" s="1"/>
      <c r="L286" s="1">
        <v>155700.32</v>
      </c>
      <c r="M286" s="1">
        <v>75255.19</v>
      </c>
      <c r="N286" s="1">
        <f t="shared" si="9"/>
        <v>2491.2051200000001</v>
      </c>
      <c r="O286" s="1"/>
      <c r="P286" s="1"/>
      <c r="Q286" s="1"/>
      <c r="R286" s="1"/>
      <c r="S286" s="1"/>
    </row>
    <row r="287" spans="1:19" hidden="1" x14ac:dyDescent="0.4">
      <c r="A287" t="s">
        <v>988</v>
      </c>
      <c r="B287" t="s">
        <v>779</v>
      </c>
      <c r="C287" s="131">
        <v>38503</v>
      </c>
      <c r="D287" t="s">
        <v>989</v>
      </c>
      <c r="F287" t="s">
        <v>645</v>
      </c>
      <c r="H287">
        <v>62.5</v>
      </c>
      <c r="J287" s="1">
        <v>3584.86</v>
      </c>
      <c r="K287" s="1"/>
      <c r="L287" s="1">
        <v>3584.86</v>
      </c>
      <c r="M287" s="1">
        <v>1665.95</v>
      </c>
      <c r="N287" s="1">
        <f t="shared" si="9"/>
        <v>57.357759999999999</v>
      </c>
      <c r="O287" s="1"/>
      <c r="P287" s="1"/>
      <c r="Q287" s="1"/>
      <c r="R287" s="1"/>
      <c r="S287" s="1"/>
    </row>
    <row r="288" spans="1:19" hidden="1" x14ac:dyDescent="0.4">
      <c r="A288" t="s">
        <v>990</v>
      </c>
      <c r="B288" t="s">
        <v>779</v>
      </c>
      <c r="C288" s="131">
        <v>38717</v>
      </c>
      <c r="D288" t="s">
        <v>991</v>
      </c>
      <c r="F288" t="s">
        <v>645</v>
      </c>
      <c r="H288">
        <v>62.5</v>
      </c>
      <c r="J288" s="1">
        <v>1736385.66</v>
      </c>
      <c r="K288" s="1"/>
      <c r="L288" s="1">
        <v>1736385.66</v>
      </c>
      <c r="M288" s="1">
        <v>781492.45</v>
      </c>
      <c r="N288" s="1">
        <f t="shared" si="9"/>
        <v>27782.170559999999</v>
      </c>
      <c r="O288" s="1"/>
      <c r="P288" s="1"/>
      <c r="Q288" s="1"/>
      <c r="R288" s="1"/>
      <c r="S288" s="1"/>
    </row>
    <row r="289" spans="1:19" hidden="1" x14ac:dyDescent="0.4">
      <c r="A289" t="s">
        <v>992</v>
      </c>
      <c r="B289" t="s">
        <v>779</v>
      </c>
      <c r="C289" s="131">
        <v>38717</v>
      </c>
      <c r="D289" t="s">
        <v>993</v>
      </c>
      <c r="F289" t="s">
        <v>645</v>
      </c>
      <c r="H289">
        <v>62.5</v>
      </c>
      <c r="J289" s="1">
        <v>72644.38</v>
      </c>
      <c r="K289" s="1"/>
      <c r="L289" s="1">
        <v>72644.38</v>
      </c>
      <c r="M289" s="1">
        <v>32694.959999999999</v>
      </c>
      <c r="N289" s="1">
        <f t="shared" si="9"/>
        <v>1162.31008</v>
      </c>
      <c r="O289" s="1"/>
      <c r="P289" s="1"/>
      <c r="Q289" s="1"/>
      <c r="R289" s="1"/>
      <c r="S289" s="1"/>
    </row>
    <row r="290" spans="1:19" hidden="1" x14ac:dyDescent="0.4">
      <c r="A290" t="s">
        <v>994</v>
      </c>
      <c r="B290" t="s">
        <v>779</v>
      </c>
      <c r="C290" s="131">
        <v>41408</v>
      </c>
      <c r="D290" t="s">
        <v>995</v>
      </c>
      <c r="F290" t="s">
        <v>645</v>
      </c>
      <c r="H290">
        <v>62.5</v>
      </c>
      <c r="J290" s="1">
        <v>1299999.6399999999</v>
      </c>
      <c r="K290" s="1"/>
      <c r="L290" s="1">
        <v>1299999.6399999999</v>
      </c>
      <c r="M290" s="1">
        <v>341249.93</v>
      </c>
      <c r="N290" s="1">
        <f t="shared" si="9"/>
        <v>20799.99424</v>
      </c>
      <c r="O290" s="1"/>
      <c r="P290" s="1"/>
      <c r="Q290" s="1"/>
      <c r="R290" s="1"/>
      <c r="S290" s="1"/>
    </row>
    <row r="291" spans="1:19" hidden="1" x14ac:dyDescent="0.4">
      <c r="A291" t="s">
        <v>996</v>
      </c>
      <c r="B291" t="s">
        <v>779</v>
      </c>
      <c r="C291" s="131">
        <v>41461</v>
      </c>
      <c r="D291" t="s">
        <v>997</v>
      </c>
      <c r="F291" t="s">
        <v>645</v>
      </c>
      <c r="H291">
        <v>62.5</v>
      </c>
      <c r="J291" s="1">
        <v>46913.3</v>
      </c>
      <c r="K291" s="1"/>
      <c r="L291" s="1">
        <v>46913.3</v>
      </c>
      <c r="M291" s="1">
        <v>12314.72</v>
      </c>
      <c r="N291" s="1">
        <f t="shared" si="9"/>
        <v>750.61279999999999</v>
      </c>
      <c r="O291" s="1"/>
      <c r="P291" s="1"/>
      <c r="Q291" s="1"/>
      <c r="R291" s="1"/>
      <c r="S291" s="1"/>
    </row>
    <row r="292" spans="1:19" hidden="1" x14ac:dyDescent="0.4">
      <c r="A292" t="s">
        <v>998</v>
      </c>
      <c r="B292" t="s">
        <v>779</v>
      </c>
      <c r="C292" s="131">
        <v>35723</v>
      </c>
      <c r="D292" t="s">
        <v>999</v>
      </c>
      <c r="F292" t="s">
        <v>645</v>
      </c>
      <c r="H292">
        <v>62.5</v>
      </c>
      <c r="J292" s="1">
        <v>41378.15</v>
      </c>
      <c r="K292" s="1"/>
      <c r="L292" s="1">
        <v>41378.15</v>
      </c>
      <c r="M292" s="1">
        <v>36550.660000000003</v>
      </c>
      <c r="N292" s="1">
        <f t="shared" si="9"/>
        <v>662.05039999999997</v>
      </c>
      <c r="O292" s="1"/>
      <c r="P292" s="1"/>
      <c r="Q292" s="1"/>
      <c r="R292" s="1"/>
      <c r="S292" s="1"/>
    </row>
    <row r="293" spans="1:19" hidden="1" x14ac:dyDescent="0.4">
      <c r="A293" t="s">
        <v>1000</v>
      </c>
      <c r="B293" t="s">
        <v>779</v>
      </c>
      <c r="C293" s="131">
        <v>35765</v>
      </c>
      <c r="D293" t="s">
        <v>802</v>
      </c>
      <c r="F293" t="s">
        <v>645</v>
      </c>
      <c r="H293">
        <v>62.5</v>
      </c>
      <c r="J293" s="1">
        <v>30015</v>
      </c>
      <c r="K293" s="1"/>
      <c r="L293" s="1">
        <v>30015</v>
      </c>
      <c r="M293" s="1">
        <v>26513.25</v>
      </c>
      <c r="N293" s="1">
        <f t="shared" si="9"/>
        <v>480.24</v>
      </c>
      <c r="O293" s="1"/>
      <c r="P293" s="1"/>
      <c r="Q293" s="1"/>
      <c r="R293" s="1"/>
      <c r="S293" s="1"/>
    </row>
    <row r="294" spans="1:19" hidden="1" x14ac:dyDescent="0.4">
      <c r="A294" t="s">
        <v>1001</v>
      </c>
      <c r="B294" t="s">
        <v>779</v>
      </c>
      <c r="C294" s="131">
        <v>35765</v>
      </c>
      <c r="D294" t="s">
        <v>1002</v>
      </c>
      <c r="F294" t="s">
        <v>645</v>
      </c>
      <c r="H294">
        <v>62.5</v>
      </c>
      <c r="J294" s="1">
        <v>80378.7</v>
      </c>
      <c r="K294" s="1"/>
      <c r="L294" s="1">
        <v>80378.7</v>
      </c>
      <c r="M294" s="1">
        <v>71001.19</v>
      </c>
      <c r="N294" s="1">
        <f t="shared" si="9"/>
        <v>1286.0591999999999</v>
      </c>
      <c r="O294" s="1"/>
      <c r="P294" s="1"/>
      <c r="Q294" s="1"/>
      <c r="R294" s="1"/>
      <c r="S294" s="1"/>
    </row>
    <row r="295" spans="1:19" hidden="1" x14ac:dyDescent="0.4">
      <c r="A295" t="s">
        <v>1003</v>
      </c>
      <c r="B295" t="s">
        <v>779</v>
      </c>
      <c r="C295" s="131">
        <v>35765</v>
      </c>
      <c r="D295" t="s">
        <v>1004</v>
      </c>
      <c r="F295" t="s">
        <v>645</v>
      </c>
      <c r="H295">
        <v>62.5</v>
      </c>
      <c r="J295" s="1">
        <v>217488.61</v>
      </c>
      <c r="K295" s="1"/>
      <c r="L295" s="1">
        <v>217488.61</v>
      </c>
      <c r="M295" s="1">
        <v>192114.93</v>
      </c>
      <c r="N295" s="1">
        <f t="shared" si="9"/>
        <v>3479.8177599999999</v>
      </c>
      <c r="O295" s="1"/>
      <c r="P295" s="1"/>
      <c r="Q295" s="1"/>
      <c r="R295" s="1"/>
      <c r="S295" s="1"/>
    </row>
    <row r="296" spans="1:19" hidden="1" x14ac:dyDescent="0.4">
      <c r="A296" t="s">
        <v>1005</v>
      </c>
      <c r="B296" t="s">
        <v>779</v>
      </c>
      <c r="C296" s="131">
        <v>35765</v>
      </c>
      <c r="D296" t="s">
        <v>1006</v>
      </c>
      <c r="F296" t="s">
        <v>645</v>
      </c>
      <c r="H296">
        <v>62.5</v>
      </c>
      <c r="J296" s="1">
        <v>145669.96</v>
      </c>
      <c r="K296" s="1"/>
      <c r="L296" s="1">
        <v>145669.96</v>
      </c>
      <c r="M296" s="1">
        <v>128674.99</v>
      </c>
      <c r="N296" s="1">
        <f t="shared" si="9"/>
        <v>2330.7193600000001</v>
      </c>
      <c r="O296" s="1"/>
      <c r="P296" s="1"/>
      <c r="Q296" s="1"/>
      <c r="R296" s="1"/>
      <c r="S296" s="1"/>
    </row>
    <row r="297" spans="1:19" hidden="1" x14ac:dyDescent="0.4">
      <c r="A297" t="s">
        <v>1007</v>
      </c>
      <c r="B297" t="s">
        <v>779</v>
      </c>
      <c r="C297" s="131">
        <v>35765</v>
      </c>
      <c r="D297" t="s">
        <v>1008</v>
      </c>
      <c r="F297" t="s">
        <v>645</v>
      </c>
      <c r="H297">
        <v>62.5</v>
      </c>
      <c r="J297" s="1">
        <v>23967.42</v>
      </c>
      <c r="K297" s="1"/>
      <c r="L297" s="1">
        <v>23967.42</v>
      </c>
      <c r="M297" s="1">
        <v>21171.13</v>
      </c>
      <c r="N297" s="1">
        <f t="shared" si="9"/>
        <v>383.47871999999995</v>
      </c>
      <c r="O297" s="1"/>
      <c r="P297" s="1"/>
      <c r="Q297" s="1"/>
      <c r="R297" s="1"/>
      <c r="S297" s="1"/>
    </row>
    <row r="298" spans="1:19" hidden="1" x14ac:dyDescent="0.4">
      <c r="A298" t="s">
        <v>1009</v>
      </c>
      <c r="B298" t="s">
        <v>779</v>
      </c>
      <c r="C298" s="131">
        <v>36160</v>
      </c>
      <c r="D298" t="s">
        <v>1010</v>
      </c>
      <c r="F298" t="s">
        <v>645</v>
      </c>
      <c r="H298">
        <v>62.5</v>
      </c>
      <c r="J298" s="1">
        <v>3774.99</v>
      </c>
      <c r="K298" s="1"/>
      <c r="L298" s="1">
        <v>3774.99</v>
      </c>
      <c r="M298" s="1">
        <v>3146.09</v>
      </c>
      <c r="N298" s="1">
        <f t="shared" si="9"/>
        <v>60.399839999999998</v>
      </c>
      <c r="O298" s="1"/>
      <c r="P298" s="1"/>
      <c r="Q298" s="1"/>
      <c r="R298" s="1"/>
      <c r="S298" s="1"/>
    </row>
    <row r="299" spans="1:19" hidden="1" x14ac:dyDescent="0.4">
      <c r="A299" t="s">
        <v>1011</v>
      </c>
      <c r="B299" t="s">
        <v>779</v>
      </c>
      <c r="C299" s="131">
        <v>36160</v>
      </c>
      <c r="D299" t="s">
        <v>1012</v>
      </c>
      <c r="F299" t="s">
        <v>645</v>
      </c>
      <c r="H299">
        <v>62.5</v>
      </c>
      <c r="J299" s="1">
        <v>36821</v>
      </c>
      <c r="K299" s="1"/>
      <c r="L299" s="1">
        <v>36821</v>
      </c>
      <c r="M299" s="1">
        <v>30687.61</v>
      </c>
      <c r="N299" s="1">
        <f t="shared" si="9"/>
        <v>589.13599999999997</v>
      </c>
      <c r="O299" s="1"/>
      <c r="P299" s="1"/>
      <c r="Q299" s="1"/>
      <c r="R299" s="1"/>
      <c r="S299" s="1"/>
    </row>
    <row r="300" spans="1:19" hidden="1" x14ac:dyDescent="0.4">
      <c r="A300" t="s">
        <v>1013</v>
      </c>
      <c r="B300" t="s">
        <v>779</v>
      </c>
      <c r="C300" s="131">
        <v>36160</v>
      </c>
      <c r="D300" t="s">
        <v>1014</v>
      </c>
      <c r="F300" t="s">
        <v>645</v>
      </c>
      <c r="H300">
        <v>62.5</v>
      </c>
      <c r="J300" s="1">
        <v>34999.25</v>
      </c>
      <c r="K300" s="1"/>
      <c r="L300" s="1">
        <v>34999.25</v>
      </c>
      <c r="M300" s="1">
        <v>29169.200000000001</v>
      </c>
      <c r="N300" s="1">
        <f t="shared" si="9"/>
        <v>559.98800000000006</v>
      </c>
      <c r="O300" s="1"/>
      <c r="P300" s="1"/>
      <c r="Q300" s="1"/>
      <c r="R300" s="1"/>
      <c r="S300" s="1"/>
    </row>
    <row r="301" spans="1:19" hidden="1" x14ac:dyDescent="0.4">
      <c r="A301" t="s">
        <v>1015</v>
      </c>
      <c r="B301" t="s">
        <v>779</v>
      </c>
      <c r="C301" s="131">
        <v>35976</v>
      </c>
      <c r="D301" t="s">
        <v>1016</v>
      </c>
      <c r="F301" t="s">
        <v>645</v>
      </c>
      <c r="H301">
        <v>62.5</v>
      </c>
      <c r="J301" s="1">
        <v>6510.43</v>
      </c>
      <c r="K301" s="1"/>
      <c r="L301" s="1">
        <v>6510.43</v>
      </c>
      <c r="M301" s="1">
        <v>5535.24</v>
      </c>
      <c r="N301" s="1">
        <f t="shared" si="9"/>
        <v>104.16688000000001</v>
      </c>
      <c r="O301" s="1"/>
      <c r="P301" s="1"/>
      <c r="Q301" s="1"/>
      <c r="R301" s="1"/>
      <c r="S301" s="1"/>
    </row>
    <row r="302" spans="1:19" hidden="1" x14ac:dyDescent="0.4">
      <c r="A302" t="s">
        <v>1017</v>
      </c>
      <c r="B302" t="s">
        <v>779</v>
      </c>
      <c r="C302" s="131">
        <v>35976</v>
      </c>
      <c r="D302" t="s">
        <v>1018</v>
      </c>
      <c r="F302" t="s">
        <v>645</v>
      </c>
      <c r="H302">
        <v>62.5</v>
      </c>
      <c r="J302" s="1">
        <v>25285</v>
      </c>
      <c r="K302" s="1"/>
      <c r="L302" s="1">
        <v>25285</v>
      </c>
      <c r="M302" s="1">
        <v>21497.94</v>
      </c>
      <c r="N302" s="1">
        <f t="shared" si="9"/>
        <v>404.56</v>
      </c>
      <c r="O302" s="1"/>
      <c r="P302" s="1"/>
      <c r="Q302" s="1"/>
      <c r="R302" s="1"/>
      <c r="S302" s="1"/>
    </row>
    <row r="303" spans="1:19" hidden="1" x14ac:dyDescent="0.4">
      <c r="A303" t="s">
        <v>1019</v>
      </c>
      <c r="B303" t="s">
        <v>779</v>
      </c>
      <c r="C303" s="131">
        <v>35976</v>
      </c>
      <c r="D303" t="s">
        <v>1020</v>
      </c>
      <c r="F303" t="s">
        <v>645</v>
      </c>
      <c r="H303">
        <v>62.5</v>
      </c>
      <c r="J303" s="1">
        <v>54663.06</v>
      </c>
      <c r="K303" s="1"/>
      <c r="L303" s="1">
        <v>54663.06</v>
      </c>
      <c r="M303" s="1">
        <v>46476.03</v>
      </c>
      <c r="N303" s="1">
        <f t="shared" si="9"/>
        <v>874.60895999999991</v>
      </c>
      <c r="O303" s="1"/>
      <c r="P303" s="1"/>
      <c r="Q303" s="1"/>
      <c r="R303" s="1"/>
      <c r="S303" s="1"/>
    </row>
    <row r="304" spans="1:19" hidden="1" x14ac:dyDescent="0.4">
      <c r="A304" t="s">
        <v>1021</v>
      </c>
      <c r="B304" t="s">
        <v>779</v>
      </c>
      <c r="C304" s="131">
        <v>35976</v>
      </c>
      <c r="D304" t="s">
        <v>1022</v>
      </c>
      <c r="F304" t="s">
        <v>645</v>
      </c>
      <c r="H304">
        <v>62.5</v>
      </c>
      <c r="J304" s="1">
        <v>265055.31</v>
      </c>
      <c r="K304" s="1"/>
      <c r="L304" s="1">
        <v>265055.31</v>
      </c>
      <c r="M304" s="1">
        <v>225357.6</v>
      </c>
      <c r="N304" s="1">
        <f t="shared" si="9"/>
        <v>4240.8849600000003</v>
      </c>
      <c r="O304" s="1"/>
      <c r="P304" s="1"/>
      <c r="Q304" s="1"/>
      <c r="R304" s="1"/>
      <c r="S304" s="1"/>
    </row>
    <row r="305" spans="1:19" hidden="1" x14ac:dyDescent="0.4">
      <c r="A305" t="s">
        <v>1023</v>
      </c>
      <c r="B305" t="s">
        <v>779</v>
      </c>
      <c r="C305" s="131">
        <v>36069</v>
      </c>
      <c r="D305" t="s">
        <v>1024</v>
      </c>
      <c r="F305" t="s">
        <v>645</v>
      </c>
      <c r="H305">
        <v>62.5</v>
      </c>
      <c r="J305" s="1">
        <v>2299913.27</v>
      </c>
      <c r="K305" s="1"/>
      <c r="L305" s="1">
        <v>2299913.27</v>
      </c>
      <c r="M305" s="1">
        <v>1935917.73</v>
      </c>
      <c r="N305" s="1">
        <f t="shared" si="9"/>
        <v>36798.61232</v>
      </c>
      <c r="O305" s="1"/>
      <c r="P305" s="1"/>
      <c r="Q305" s="1"/>
      <c r="R305" s="1"/>
      <c r="S305" s="1"/>
    </row>
    <row r="306" spans="1:19" hidden="1" x14ac:dyDescent="0.4">
      <c r="A306" t="s">
        <v>1025</v>
      </c>
      <c r="B306" t="s">
        <v>779</v>
      </c>
      <c r="C306" s="131">
        <v>36892</v>
      </c>
      <c r="D306" t="s">
        <v>1026</v>
      </c>
      <c r="F306" t="s">
        <v>645</v>
      </c>
      <c r="H306">
        <v>62.5</v>
      </c>
      <c r="J306" s="1">
        <v>2771.64</v>
      </c>
      <c r="K306" s="1"/>
      <c r="L306" s="1">
        <v>2771.64</v>
      </c>
      <c r="M306" s="1">
        <v>1593.67</v>
      </c>
      <c r="N306" s="1">
        <f t="shared" si="9"/>
        <v>44.346239999999995</v>
      </c>
      <c r="O306" s="1"/>
      <c r="P306" s="1"/>
      <c r="Q306" s="1"/>
      <c r="R306" s="1"/>
      <c r="S306" s="1"/>
    </row>
    <row r="307" spans="1:19" hidden="1" x14ac:dyDescent="0.4">
      <c r="A307">
        <v>335</v>
      </c>
      <c r="B307" t="s">
        <v>1027</v>
      </c>
      <c r="C307" s="131">
        <v>42019</v>
      </c>
      <c r="D307" t="s">
        <v>1028</v>
      </c>
      <c r="F307" t="s">
        <v>645</v>
      </c>
      <c r="H307">
        <v>62.5</v>
      </c>
      <c r="J307" s="1">
        <v>81550.710000000006</v>
      </c>
      <c r="K307" s="1"/>
      <c r="L307" s="1">
        <v>81550.710000000006</v>
      </c>
      <c r="M307" s="1">
        <v>16962.560000000001</v>
      </c>
      <c r="N307" s="1">
        <f t="shared" ref="N307:N370" si="10">L307/H307</f>
        <v>1304.8113600000001</v>
      </c>
      <c r="O307" s="1"/>
      <c r="P307" s="1"/>
      <c r="Q307" s="1"/>
      <c r="R307" s="1"/>
      <c r="S307" s="1"/>
    </row>
    <row r="308" spans="1:19" hidden="1" x14ac:dyDescent="0.4">
      <c r="A308" t="s">
        <v>1029</v>
      </c>
      <c r="B308" t="s">
        <v>1027</v>
      </c>
      <c r="C308" s="131">
        <v>37200</v>
      </c>
      <c r="D308" t="s">
        <v>1030</v>
      </c>
      <c r="F308" t="s">
        <v>645</v>
      </c>
      <c r="H308">
        <v>62.5</v>
      </c>
      <c r="J308" s="1">
        <v>82392.600000000006</v>
      </c>
      <c r="K308" s="1"/>
      <c r="L308" s="1">
        <v>82392.600000000006</v>
      </c>
      <c r="M308" s="1">
        <v>45637.71</v>
      </c>
      <c r="N308" s="1">
        <f t="shared" si="10"/>
        <v>1318.2816</v>
      </c>
      <c r="O308" s="1"/>
      <c r="P308" s="1"/>
      <c r="Q308" s="1"/>
      <c r="R308" s="1"/>
      <c r="S308" s="1"/>
    </row>
    <row r="309" spans="1:19" hidden="1" x14ac:dyDescent="0.4">
      <c r="A309" t="s">
        <v>1031</v>
      </c>
      <c r="B309" t="s">
        <v>1027</v>
      </c>
      <c r="C309" s="131">
        <v>36996</v>
      </c>
      <c r="D309" t="s">
        <v>1032</v>
      </c>
      <c r="F309" t="s">
        <v>645</v>
      </c>
      <c r="H309">
        <v>62.5</v>
      </c>
      <c r="J309" s="1">
        <v>38978.15</v>
      </c>
      <c r="K309" s="1"/>
      <c r="L309" s="1">
        <v>38978.15</v>
      </c>
      <c r="M309" s="1">
        <v>22134.7</v>
      </c>
      <c r="N309" s="1">
        <f t="shared" si="10"/>
        <v>623.65039999999999</v>
      </c>
      <c r="O309" s="1"/>
      <c r="P309" s="1"/>
      <c r="Q309" s="1"/>
      <c r="R309" s="1"/>
      <c r="S309" s="1"/>
    </row>
    <row r="310" spans="1:19" hidden="1" x14ac:dyDescent="0.4">
      <c r="A310" t="s">
        <v>1033</v>
      </c>
      <c r="B310" t="s">
        <v>1027</v>
      </c>
      <c r="C310" s="131">
        <v>37146</v>
      </c>
      <c r="D310" t="s">
        <v>1034</v>
      </c>
      <c r="F310" t="s">
        <v>645</v>
      </c>
      <c r="H310">
        <v>62.5</v>
      </c>
      <c r="J310" s="1">
        <v>38200.300000000003</v>
      </c>
      <c r="K310" s="1"/>
      <c r="L310" s="1">
        <v>38200.300000000003</v>
      </c>
      <c r="M310" s="1">
        <v>21300.65</v>
      </c>
      <c r="N310" s="1">
        <f t="shared" si="10"/>
        <v>611.20480000000009</v>
      </c>
      <c r="O310" s="1"/>
      <c r="P310" s="1"/>
      <c r="Q310" s="1"/>
      <c r="R310" s="1"/>
      <c r="S310" s="1"/>
    </row>
    <row r="311" spans="1:19" hidden="1" x14ac:dyDescent="0.4">
      <c r="A311" t="s">
        <v>1035</v>
      </c>
      <c r="B311" t="s">
        <v>1027</v>
      </c>
      <c r="C311" s="131">
        <v>36969</v>
      </c>
      <c r="D311" t="s">
        <v>1036</v>
      </c>
      <c r="F311" t="s">
        <v>645</v>
      </c>
      <c r="H311">
        <v>62.5</v>
      </c>
      <c r="J311" s="1">
        <v>144062.42000000001</v>
      </c>
      <c r="K311" s="1"/>
      <c r="L311" s="1">
        <v>144062.42000000001</v>
      </c>
      <c r="M311" s="1">
        <v>82076.100000000006</v>
      </c>
      <c r="N311" s="1">
        <f t="shared" si="10"/>
        <v>2304.99872</v>
      </c>
      <c r="O311" s="1"/>
      <c r="P311" s="1"/>
      <c r="Q311" s="1"/>
      <c r="R311" s="1"/>
      <c r="S311" s="1"/>
    </row>
    <row r="312" spans="1:19" hidden="1" x14ac:dyDescent="0.4">
      <c r="A312" t="s">
        <v>1037</v>
      </c>
      <c r="B312" t="s">
        <v>1027</v>
      </c>
      <c r="C312" s="131">
        <v>37117</v>
      </c>
      <c r="D312" t="s">
        <v>1038</v>
      </c>
      <c r="F312" t="s">
        <v>645</v>
      </c>
      <c r="H312">
        <v>62.5</v>
      </c>
      <c r="J312" s="1">
        <v>35555.9</v>
      </c>
      <c r="K312" s="1"/>
      <c r="L312" s="1">
        <v>35555.9</v>
      </c>
      <c r="M312" s="1">
        <v>19896.75</v>
      </c>
      <c r="N312" s="1">
        <f t="shared" si="10"/>
        <v>568.89440000000002</v>
      </c>
      <c r="O312" s="1"/>
      <c r="P312" s="1"/>
      <c r="Q312" s="1"/>
      <c r="R312" s="1"/>
      <c r="S312" s="1"/>
    </row>
    <row r="313" spans="1:19" hidden="1" x14ac:dyDescent="0.4">
      <c r="A313" t="s">
        <v>1039</v>
      </c>
      <c r="B313" t="s">
        <v>1027</v>
      </c>
      <c r="C313" s="131">
        <v>37067</v>
      </c>
      <c r="D313" t="s">
        <v>1040</v>
      </c>
      <c r="F313" t="s">
        <v>645</v>
      </c>
      <c r="H313">
        <v>62.5</v>
      </c>
      <c r="J313" s="1">
        <v>39952.300000000003</v>
      </c>
      <c r="K313" s="1"/>
      <c r="L313" s="1">
        <v>39952.300000000003</v>
      </c>
      <c r="M313" s="1">
        <v>22493.75</v>
      </c>
      <c r="N313" s="1">
        <f t="shared" si="10"/>
        <v>639.23680000000002</v>
      </c>
      <c r="O313" s="1"/>
      <c r="P313" s="1"/>
      <c r="Q313" s="1"/>
      <c r="R313" s="1"/>
      <c r="S313" s="1"/>
    </row>
    <row r="314" spans="1:19" hidden="1" x14ac:dyDescent="0.4">
      <c r="A314" t="s">
        <v>1041</v>
      </c>
      <c r="B314" t="s">
        <v>1027</v>
      </c>
      <c r="C314" s="131">
        <v>36965</v>
      </c>
      <c r="D314" t="s">
        <v>1042</v>
      </c>
      <c r="F314" t="s">
        <v>645</v>
      </c>
      <c r="H314">
        <v>62.5</v>
      </c>
      <c r="J314" s="1">
        <v>112319.87</v>
      </c>
      <c r="K314" s="1"/>
      <c r="L314" s="1">
        <v>112319.87</v>
      </c>
      <c r="M314" s="1">
        <v>64022.400000000001</v>
      </c>
      <c r="N314" s="1">
        <f t="shared" si="10"/>
        <v>1797.1179199999999</v>
      </c>
      <c r="O314" s="1"/>
      <c r="P314" s="1"/>
      <c r="Q314" s="1"/>
      <c r="R314" s="1"/>
      <c r="S314" s="1"/>
    </row>
    <row r="315" spans="1:19" hidden="1" x14ac:dyDescent="0.4">
      <c r="A315" t="s">
        <v>1043</v>
      </c>
      <c r="B315" t="s">
        <v>1027</v>
      </c>
      <c r="C315" s="131">
        <v>36892</v>
      </c>
      <c r="D315" t="s">
        <v>1044</v>
      </c>
      <c r="F315" t="s">
        <v>645</v>
      </c>
      <c r="H315">
        <v>62.5</v>
      </c>
      <c r="J315" s="1">
        <v>153876.74</v>
      </c>
      <c r="K315" s="1"/>
      <c r="L315" s="1">
        <v>153876.74</v>
      </c>
      <c r="M315" s="1">
        <v>88479.16</v>
      </c>
      <c r="N315" s="1">
        <f t="shared" si="10"/>
        <v>2462.0278399999997</v>
      </c>
      <c r="O315" s="1"/>
      <c r="P315" s="1"/>
      <c r="Q315" s="1"/>
      <c r="R315" s="1"/>
      <c r="S315" s="1"/>
    </row>
    <row r="316" spans="1:19" hidden="1" x14ac:dyDescent="0.4">
      <c r="A316" t="s">
        <v>1045</v>
      </c>
      <c r="B316" t="s">
        <v>1027</v>
      </c>
      <c r="C316" s="131">
        <v>36892</v>
      </c>
      <c r="D316" t="s">
        <v>1046</v>
      </c>
      <c r="F316" t="s">
        <v>645</v>
      </c>
      <c r="H316">
        <v>62.5</v>
      </c>
      <c r="J316" s="1">
        <v>143314.19</v>
      </c>
      <c r="K316" s="1"/>
      <c r="L316" s="1">
        <v>143314.19</v>
      </c>
      <c r="M316" s="1">
        <v>82405.55</v>
      </c>
      <c r="N316" s="1">
        <f t="shared" si="10"/>
        <v>2293.0270399999999</v>
      </c>
      <c r="O316" s="1"/>
      <c r="P316" s="1"/>
      <c r="Q316" s="1"/>
      <c r="R316" s="1"/>
      <c r="S316" s="1"/>
    </row>
    <row r="317" spans="1:19" hidden="1" x14ac:dyDescent="0.4">
      <c r="A317" t="s">
        <v>1047</v>
      </c>
      <c r="B317" t="s">
        <v>1027</v>
      </c>
      <c r="C317" s="131">
        <v>36892</v>
      </c>
      <c r="D317" t="s">
        <v>1048</v>
      </c>
      <c r="F317" t="s">
        <v>645</v>
      </c>
      <c r="H317">
        <v>62.5</v>
      </c>
      <c r="J317" s="1">
        <v>94826.1</v>
      </c>
      <c r="K317" s="1"/>
      <c r="L317" s="1">
        <v>94826.1</v>
      </c>
      <c r="M317" s="1">
        <v>54524.95</v>
      </c>
      <c r="N317" s="1">
        <f t="shared" si="10"/>
        <v>1517.2176000000002</v>
      </c>
      <c r="O317" s="1"/>
      <c r="P317" s="1"/>
      <c r="Q317" s="1"/>
      <c r="R317" s="1"/>
      <c r="S317" s="1"/>
    </row>
    <row r="318" spans="1:19" hidden="1" x14ac:dyDescent="0.4">
      <c r="A318" t="s">
        <v>1049</v>
      </c>
      <c r="B318" t="s">
        <v>1027</v>
      </c>
      <c r="C318" s="131">
        <v>37133</v>
      </c>
      <c r="D318" t="s">
        <v>1050</v>
      </c>
      <c r="F318" t="s">
        <v>645</v>
      </c>
      <c r="H318">
        <v>62.5</v>
      </c>
      <c r="J318" s="1">
        <v>13261.62</v>
      </c>
      <c r="K318" s="1"/>
      <c r="L318" s="1">
        <v>13261.62</v>
      </c>
      <c r="M318" s="1">
        <v>7406.51</v>
      </c>
      <c r="N318" s="1">
        <f t="shared" si="10"/>
        <v>212.18592000000001</v>
      </c>
      <c r="O318" s="1"/>
      <c r="P318" s="1"/>
      <c r="Q318" s="1"/>
      <c r="R318" s="1"/>
      <c r="S318" s="1"/>
    </row>
    <row r="319" spans="1:19" hidden="1" x14ac:dyDescent="0.4">
      <c r="A319" t="s">
        <v>1051</v>
      </c>
      <c r="B319" t="s">
        <v>1027</v>
      </c>
      <c r="C319" s="131">
        <v>37103</v>
      </c>
      <c r="D319" t="s">
        <v>1052</v>
      </c>
      <c r="F319" t="s">
        <v>645</v>
      </c>
      <c r="H319">
        <v>62.5</v>
      </c>
      <c r="J319" s="1">
        <v>24667.78</v>
      </c>
      <c r="K319" s="1"/>
      <c r="L319" s="1">
        <v>24667.78</v>
      </c>
      <c r="M319" s="1">
        <v>13827.37</v>
      </c>
      <c r="N319" s="1">
        <f t="shared" si="10"/>
        <v>394.68448000000001</v>
      </c>
      <c r="O319" s="1"/>
      <c r="P319" s="1"/>
      <c r="Q319" s="1"/>
      <c r="R319" s="1"/>
      <c r="S319" s="1"/>
    </row>
    <row r="320" spans="1:19" hidden="1" x14ac:dyDescent="0.4">
      <c r="A320" t="s">
        <v>1053</v>
      </c>
      <c r="B320" t="s">
        <v>1027</v>
      </c>
      <c r="C320" s="131">
        <v>37073</v>
      </c>
      <c r="D320" t="s">
        <v>1054</v>
      </c>
      <c r="F320" t="s">
        <v>645</v>
      </c>
      <c r="H320">
        <v>62.5</v>
      </c>
      <c r="J320" s="1">
        <v>15400</v>
      </c>
      <c r="K320" s="1"/>
      <c r="L320" s="1">
        <v>15400</v>
      </c>
      <c r="M320" s="1">
        <v>8664.08</v>
      </c>
      <c r="N320" s="1">
        <f t="shared" si="10"/>
        <v>246.4</v>
      </c>
      <c r="O320" s="1"/>
      <c r="P320" s="1"/>
      <c r="Q320" s="1"/>
      <c r="R320" s="1"/>
      <c r="S320" s="1"/>
    </row>
    <row r="321" spans="1:19" hidden="1" x14ac:dyDescent="0.4">
      <c r="A321" t="s">
        <v>1055</v>
      </c>
      <c r="B321" t="s">
        <v>1027</v>
      </c>
      <c r="C321" s="131">
        <v>37073</v>
      </c>
      <c r="D321" t="s">
        <v>962</v>
      </c>
      <c r="F321" t="s">
        <v>645</v>
      </c>
      <c r="H321">
        <v>62.5</v>
      </c>
      <c r="J321" s="1">
        <v>33373.58</v>
      </c>
      <c r="K321" s="1"/>
      <c r="L321" s="1">
        <v>33373.58</v>
      </c>
      <c r="M321" s="1">
        <v>18776.080000000002</v>
      </c>
      <c r="N321" s="1">
        <f t="shared" si="10"/>
        <v>533.97728000000006</v>
      </c>
      <c r="O321" s="1"/>
      <c r="P321" s="1"/>
      <c r="Q321" s="1"/>
      <c r="R321" s="1"/>
      <c r="S321" s="1"/>
    </row>
    <row r="322" spans="1:19" hidden="1" x14ac:dyDescent="0.4">
      <c r="A322" t="s">
        <v>1056</v>
      </c>
      <c r="B322" t="s">
        <v>1027</v>
      </c>
      <c r="C322" s="131">
        <v>38723</v>
      </c>
      <c r="D322" t="s">
        <v>1057</v>
      </c>
      <c r="F322" t="s">
        <v>645</v>
      </c>
      <c r="H322">
        <v>62.5</v>
      </c>
      <c r="J322" s="1">
        <v>45602.83</v>
      </c>
      <c r="K322" s="1"/>
      <c r="L322" s="1">
        <v>45602.83</v>
      </c>
      <c r="M322" s="1">
        <v>19951.23</v>
      </c>
      <c r="N322" s="1">
        <f t="shared" si="10"/>
        <v>729.64528000000007</v>
      </c>
      <c r="O322" s="1"/>
      <c r="P322" s="1"/>
      <c r="Q322" s="1"/>
      <c r="R322" s="1"/>
      <c r="S322" s="1"/>
    </row>
    <row r="323" spans="1:19" hidden="1" x14ac:dyDescent="0.4">
      <c r="A323" t="s">
        <v>1058</v>
      </c>
      <c r="B323" t="s">
        <v>1027</v>
      </c>
      <c r="C323" s="131">
        <v>38723</v>
      </c>
      <c r="D323" t="s">
        <v>1059</v>
      </c>
      <c r="F323" t="s">
        <v>645</v>
      </c>
      <c r="H323">
        <v>62.5</v>
      </c>
      <c r="J323" s="1">
        <v>44372.94</v>
      </c>
      <c r="K323" s="1"/>
      <c r="L323" s="1">
        <v>44372.94</v>
      </c>
      <c r="M323" s="1">
        <v>19413.13</v>
      </c>
      <c r="N323" s="1">
        <f t="shared" si="10"/>
        <v>709.96704</v>
      </c>
      <c r="O323" s="1"/>
      <c r="P323" s="1"/>
      <c r="Q323" s="1"/>
      <c r="R323" s="1"/>
      <c r="S323" s="1"/>
    </row>
    <row r="324" spans="1:19" hidden="1" x14ac:dyDescent="0.4">
      <c r="A324" t="s">
        <v>1060</v>
      </c>
      <c r="B324" t="s">
        <v>1027</v>
      </c>
      <c r="C324" s="131">
        <v>38968</v>
      </c>
      <c r="D324" t="s">
        <v>1061</v>
      </c>
      <c r="F324" t="s">
        <v>645</v>
      </c>
      <c r="H324">
        <v>62.5</v>
      </c>
      <c r="J324" s="1">
        <v>23409.98</v>
      </c>
      <c r="K324" s="1"/>
      <c r="L324" s="1">
        <v>23409.98</v>
      </c>
      <c r="M324" s="1">
        <v>10241.870000000001</v>
      </c>
      <c r="N324" s="1">
        <f t="shared" si="10"/>
        <v>374.55968000000001</v>
      </c>
      <c r="O324" s="1"/>
      <c r="P324" s="1"/>
      <c r="Q324" s="1"/>
      <c r="R324" s="1"/>
      <c r="S324" s="1"/>
    </row>
    <row r="325" spans="1:19" hidden="1" x14ac:dyDescent="0.4">
      <c r="A325" t="s">
        <v>1062</v>
      </c>
      <c r="B325" t="s">
        <v>1027</v>
      </c>
      <c r="C325" s="131">
        <v>38899</v>
      </c>
      <c r="D325" t="s">
        <v>1063</v>
      </c>
      <c r="F325" t="s">
        <v>645</v>
      </c>
      <c r="H325">
        <v>62.5</v>
      </c>
      <c r="J325" s="1">
        <v>10251.49</v>
      </c>
      <c r="K325" s="1"/>
      <c r="L325" s="1">
        <v>10251.49</v>
      </c>
      <c r="M325" s="1">
        <v>4485.07</v>
      </c>
      <c r="N325" s="1">
        <f t="shared" si="10"/>
        <v>164.02384000000001</v>
      </c>
      <c r="O325" s="1"/>
      <c r="P325" s="1"/>
      <c r="Q325" s="1"/>
      <c r="R325" s="1"/>
      <c r="S325" s="1"/>
    </row>
    <row r="326" spans="1:19" hidden="1" x14ac:dyDescent="0.4">
      <c r="A326" t="s">
        <v>1064</v>
      </c>
      <c r="B326" t="s">
        <v>1027</v>
      </c>
      <c r="C326" s="131">
        <v>39021</v>
      </c>
      <c r="D326" t="s">
        <v>1065</v>
      </c>
      <c r="F326" t="s">
        <v>645</v>
      </c>
      <c r="H326">
        <v>62.5</v>
      </c>
      <c r="J326" s="1">
        <v>169845.02</v>
      </c>
      <c r="K326" s="1"/>
      <c r="L326" s="1">
        <v>169845.02</v>
      </c>
      <c r="M326" s="1">
        <v>74307.210000000006</v>
      </c>
      <c r="N326" s="1">
        <f t="shared" si="10"/>
        <v>2717.5203199999996</v>
      </c>
      <c r="O326" s="1"/>
      <c r="P326" s="1"/>
      <c r="Q326" s="1"/>
      <c r="R326" s="1"/>
      <c r="S326" s="1"/>
    </row>
    <row r="327" spans="1:19" hidden="1" x14ac:dyDescent="0.4">
      <c r="A327" t="s">
        <v>1066</v>
      </c>
      <c r="B327" t="s">
        <v>1027</v>
      </c>
      <c r="C327" s="131">
        <v>38899</v>
      </c>
      <c r="D327" t="s">
        <v>1067</v>
      </c>
      <c r="F327" t="s">
        <v>645</v>
      </c>
      <c r="H327">
        <v>62.5</v>
      </c>
      <c r="J327" s="1">
        <v>13363.27</v>
      </c>
      <c r="K327" s="1"/>
      <c r="L327" s="1">
        <v>13363.27</v>
      </c>
      <c r="M327" s="1">
        <v>5846.4</v>
      </c>
      <c r="N327" s="1">
        <f t="shared" si="10"/>
        <v>213.81232</v>
      </c>
      <c r="O327" s="1"/>
      <c r="P327" s="1"/>
      <c r="Q327" s="1"/>
      <c r="R327" s="1"/>
      <c r="S327" s="1"/>
    </row>
    <row r="328" spans="1:19" hidden="1" x14ac:dyDescent="0.4">
      <c r="A328" t="s">
        <v>1068</v>
      </c>
      <c r="B328" t="s">
        <v>1027</v>
      </c>
      <c r="C328" s="131">
        <v>38935</v>
      </c>
      <c r="D328" t="s">
        <v>1069</v>
      </c>
      <c r="F328" t="s">
        <v>645</v>
      </c>
      <c r="H328">
        <v>62.5</v>
      </c>
      <c r="J328" s="1">
        <v>19960</v>
      </c>
      <c r="K328" s="1"/>
      <c r="L328" s="1">
        <v>19960</v>
      </c>
      <c r="M328" s="1">
        <v>8732.5</v>
      </c>
      <c r="N328" s="1">
        <f t="shared" si="10"/>
        <v>319.36</v>
      </c>
      <c r="O328" s="1"/>
      <c r="P328" s="1"/>
      <c r="Q328" s="1"/>
      <c r="R328" s="1"/>
      <c r="S328" s="1"/>
    </row>
    <row r="329" spans="1:19" hidden="1" x14ac:dyDescent="0.4">
      <c r="A329" t="s">
        <v>1070</v>
      </c>
      <c r="B329" t="s">
        <v>1027</v>
      </c>
      <c r="C329" s="131">
        <v>38996</v>
      </c>
      <c r="D329" t="s">
        <v>1071</v>
      </c>
      <c r="F329" t="s">
        <v>645</v>
      </c>
      <c r="H329">
        <v>62.5</v>
      </c>
      <c r="J329" s="1">
        <v>14811.15</v>
      </c>
      <c r="K329" s="1"/>
      <c r="L329" s="1">
        <v>14811.15</v>
      </c>
      <c r="M329" s="1">
        <v>6479.9</v>
      </c>
      <c r="N329" s="1">
        <f t="shared" si="10"/>
        <v>236.97839999999999</v>
      </c>
      <c r="O329" s="1"/>
      <c r="P329" s="1"/>
      <c r="Q329" s="1"/>
      <c r="R329" s="1"/>
      <c r="S329" s="1"/>
    </row>
    <row r="330" spans="1:19" hidden="1" x14ac:dyDescent="0.4">
      <c r="A330" t="s">
        <v>1072</v>
      </c>
      <c r="B330" t="s">
        <v>1027</v>
      </c>
      <c r="C330" s="131">
        <v>39027</v>
      </c>
      <c r="D330" t="s">
        <v>1073</v>
      </c>
      <c r="F330" t="s">
        <v>645</v>
      </c>
      <c r="H330">
        <v>62.5</v>
      </c>
      <c r="J330" s="1">
        <v>8681.0499999999993</v>
      </c>
      <c r="K330" s="1"/>
      <c r="L330" s="1">
        <v>8681.0499999999993</v>
      </c>
      <c r="M330" s="1">
        <v>3797.99</v>
      </c>
      <c r="N330" s="1">
        <f t="shared" si="10"/>
        <v>138.89679999999998</v>
      </c>
      <c r="O330" s="1"/>
      <c r="P330" s="1"/>
      <c r="Q330" s="1"/>
      <c r="R330" s="1"/>
      <c r="S330" s="1"/>
    </row>
    <row r="331" spans="1:19" hidden="1" x14ac:dyDescent="0.4">
      <c r="A331" t="s">
        <v>1074</v>
      </c>
      <c r="B331" t="s">
        <v>1027</v>
      </c>
      <c r="C331" s="131">
        <v>38776</v>
      </c>
      <c r="D331" t="s">
        <v>1075</v>
      </c>
      <c r="F331" t="s">
        <v>645</v>
      </c>
      <c r="H331">
        <v>62.5</v>
      </c>
      <c r="J331" s="1">
        <v>440000</v>
      </c>
      <c r="K331" s="1"/>
      <c r="L331" s="1">
        <v>440000</v>
      </c>
      <c r="M331" s="1">
        <v>192500</v>
      </c>
      <c r="N331" s="1">
        <f t="shared" si="10"/>
        <v>7040</v>
      </c>
      <c r="O331" s="1"/>
      <c r="P331" s="1"/>
      <c r="Q331" s="1"/>
      <c r="R331" s="1"/>
      <c r="S331" s="1"/>
    </row>
    <row r="332" spans="1:19" hidden="1" x14ac:dyDescent="0.4">
      <c r="A332" t="s">
        <v>1076</v>
      </c>
      <c r="B332" t="s">
        <v>1027</v>
      </c>
      <c r="C332" s="131">
        <v>38807</v>
      </c>
      <c r="D332" t="s">
        <v>1077</v>
      </c>
      <c r="F332" t="s">
        <v>645</v>
      </c>
      <c r="H332">
        <v>62.5</v>
      </c>
      <c r="J332" s="1">
        <v>380263.55</v>
      </c>
      <c r="K332" s="1"/>
      <c r="L332" s="1">
        <v>380263.55</v>
      </c>
      <c r="M332" s="1">
        <v>166365.32</v>
      </c>
      <c r="N332" s="1">
        <f t="shared" si="10"/>
        <v>6084.2168000000001</v>
      </c>
      <c r="O332" s="1"/>
      <c r="P332" s="1"/>
      <c r="Q332" s="1"/>
      <c r="R332" s="1"/>
      <c r="S332" s="1"/>
    </row>
    <row r="333" spans="1:19" hidden="1" x14ac:dyDescent="0.4">
      <c r="A333" t="s">
        <v>1078</v>
      </c>
      <c r="B333" t="s">
        <v>1027</v>
      </c>
      <c r="C333" s="131">
        <v>38990</v>
      </c>
      <c r="D333" t="s">
        <v>1079</v>
      </c>
      <c r="F333" t="s">
        <v>645</v>
      </c>
      <c r="H333">
        <v>62.5</v>
      </c>
      <c r="J333" s="1">
        <v>89141.27</v>
      </c>
      <c r="K333" s="1"/>
      <c r="L333" s="1">
        <v>89141.27</v>
      </c>
      <c r="M333" s="1">
        <v>38999.279999999999</v>
      </c>
      <c r="N333" s="1">
        <f t="shared" si="10"/>
        <v>1426.2603200000001</v>
      </c>
      <c r="O333" s="1"/>
      <c r="P333" s="1"/>
      <c r="Q333" s="1"/>
      <c r="R333" s="1"/>
      <c r="S333" s="1"/>
    </row>
    <row r="334" spans="1:19" hidden="1" x14ac:dyDescent="0.4">
      <c r="A334" t="s">
        <v>1080</v>
      </c>
      <c r="B334" t="s">
        <v>1027</v>
      </c>
      <c r="C334" s="131">
        <v>39052</v>
      </c>
      <c r="D334" t="s">
        <v>1081</v>
      </c>
      <c r="F334" t="s">
        <v>645</v>
      </c>
      <c r="H334">
        <v>62.5</v>
      </c>
      <c r="J334" s="1">
        <v>137646.79999999999</v>
      </c>
      <c r="K334" s="1"/>
      <c r="L334" s="1">
        <v>137646.79999999999</v>
      </c>
      <c r="M334" s="1">
        <v>60220.480000000003</v>
      </c>
      <c r="N334" s="1">
        <f t="shared" si="10"/>
        <v>2202.3487999999998</v>
      </c>
      <c r="O334" s="1"/>
      <c r="P334" s="1"/>
      <c r="Q334" s="1"/>
      <c r="R334" s="1"/>
      <c r="S334" s="1"/>
    </row>
    <row r="335" spans="1:19" hidden="1" x14ac:dyDescent="0.4">
      <c r="A335" t="s">
        <v>1082</v>
      </c>
      <c r="B335" t="s">
        <v>1027</v>
      </c>
      <c r="C335" s="131">
        <v>39021</v>
      </c>
      <c r="D335" t="s">
        <v>1083</v>
      </c>
      <c r="F335" t="s">
        <v>645</v>
      </c>
      <c r="H335">
        <v>62.5</v>
      </c>
      <c r="J335" s="1">
        <v>27300</v>
      </c>
      <c r="K335" s="1"/>
      <c r="L335" s="1">
        <v>27300</v>
      </c>
      <c r="M335" s="1">
        <v>11943.75</v>
      </c>
      <c r="N335" s="1">
        <f t="shared" si="10"/>
        <v>436.8</v>
      </c>
      <c r="O335" s="1"/>
      <c r="P335" s="1"/>
      <c r="Q335" s="1"/>
      <c r="R335" s="1"/>
      <c r="S335" s="1"/>
    </row>
    <row r="336" spans="1:19" hidden="1" x14ac:dyDescent="0.4">
      <c r="A336" t="s">
        <v>1084</v>
      </c>
      <c r="B336" t="s">
        <v>1027</v>
      </c>
      <c r="C336" s="131">
        <v>38807</v>
      </c>
      <c r="D336" t="s">
        <v>1085</v>
      </c>
      <c r="F336" t="s">
        <v>645</v>
      </c>
      <c r="H336">
        <v>62.5</v>
      </c>
      <c r="J336" s="1">
        <v>57040</v>
      </c>
      <c r="K336" s="1"/>
      <c r="L336" s="1">
        <v>57040</v>
      </c>
      <c r="M336" s="1">
        <v>24955</v>
      </c>
      <c r="N336" s="1">
        <f t="shared" si="10"/>
        <v>912.64</v>
      </c>
      <c r="O336" s="1"/>
      <c r="P336" s="1"/>
      <c r="Q336" s="1"/>
      <c r="R336" s="1"/>
      <c r="S336" s="1"/>
    </row>
    <row r="337" spans="1:19" hidden="1" x14ac:dyDescent="0.4">
      <c r="A337" t="s">
        <v>1086</v>
      </c>
      <c r="B337" t="s">
        <v>1027</v>
      </c>
      <c r="C337" s="131">
        <v>38807</v>
      </c>
      <c r="D337" t="s">
        <v>1087</v>
      </c>
      <c r="F337" t="s">
        <v>645</v>
      </c>
      <c r="H337">
        <v>62.5</v>
      </c>
      <c r="J337" s="1">
        <v>29049.32</v>
      </c>
      <c r="K337" s="1"/>
      <c r="L337" s="1">
        <v>29049.32</v>
      </c>
      <c r="M337" s="1">
        <v>12709.03</v>
      </c>
      <c r="N337" s="1">
        <f t="shared" si="10"/>
        <v>464.78911999999997</v>
      </c>
      <c r="O337" s="1"/>
      <c r="P337" s="1"/>
      <c r="Q337" s="1"/>
      <c r="R337" s="1"/>
      <c r="S337" s="1"/>
    </row>
    <row r="338" spans="1:19" hidden="1" x14ac:dyDescent="0.4">
      <c r="A338" t="s">
        <v>1088</v>
      </c>
      <c r="B338" t="s">
        <v>1027</v>
      </c>
      <c r="C338" s="131">
        <v>38837</v>
      </c>
      <c r="D338" t="s">
        <v>1089</v>
      </c>
      <c r="F338" t="s">
        <v>645</v>
      </c>
      <c r="H338">
        <v>62.5</v>
      </c>
      <c r="J338" s="1">
        <v>777356.44</v>
      </c>
      <c r="K338" s="1"/>
      <c r="L338" s="1">
        <v>777356.44</v>
      </c>
      <c r="M338" s="1">
        <v>340093.43</v>
      </c>
      <c r="N338" s="1">
        <f t="shared" si="10"/>
        <v>12437.703039999999</v>
      </c>
      <c r="O338" s="1"/>
      <c r="P338" s="1"/>
      <c r="Q338" s="1"/>
      <c r="R338" s="1"/>
      <c r="S338" s="1"/>
    </row>
    <row r="339" spans="1:19" hidden="1" x14ac:dyDescent="0.4">
      <c r="A339" t="s">
        <v>1090</v>
      </c>
      <c r="B339" t="s">
        <v>1027</v>
      </c>
      <c r="C339" s="131">
        <v>38899</v>
      </c>
      <c r="D339" t="s">
        <v>1091</v>
      </c>
      <c r="F339" t="s">
        <v>645</v>
      </c>
      <c r="H339">
        <v>62.5</v>
      </c>
      <c r="J339" s="1">
        <v>60006.27</v>
      </c>
      <c r="K339" s="1"/>
      <c r="L339" s="1">
        <v>60006.27</v>
      </c>
      <c r="M339" s="1">
        <v>26252.78</v>
      </c>
      <c r="N339" s="1">
        <f t="shared" si="10"/>
        <v>960.1003199999999</v>
      </c>
      <c r="O339" s="1"/>
      <c r="P339" s="1"/>
      <c r="Q339" s="1"/>
      <c r="R339" s="1"/>
      <c r="S339" s="1"/>
    </row>
    <row r="340" spans="1:19" hidden="1" x14ac:dyDescent="0.4">
      <c r="A340" t="s">
        <v>1092</v>
      </c>
      <c r="B340" t="s">
        <v>1027</v>
      </c>
      <c r="C340" s="131">
        <v>39421</v>
      </c>
      <c r="D340" t="s">
        <v>1093</v>
      </c>
      <c r="F340" t="s">
        <v>645</v>
      </c>
      <c r="H340">
        <v>62.5</v>
      </c>
      <c r="J340" s="1">
        <v>3751251.57</v>
      </c>
      <c r="K340" s="1"/>
      <c r="L340" s="1">
        <v>3751251.57</v>
      </c>
      <c r="M340" s="1">
        <v>1547391.35</v>
      </c>
      <c r="N340" s="1">
        <f t="shared" si="10"/>
        <v>60020.025119999998</v>
      </c>
      <c r="O340" s="1"/>
      <c r="P340" s="1"/>
      <c r="Q340" s="1"/>
      <c r="R340" s="1"/>
      <c r="S340" s="1"/>
    </row>
    <row r="341" spans="1:19" hidden="1" x14ac:dyDescent="0.4">
      <c r="A341" t="s">
        <v>1094</v>
      </c>
      <c r="B341" t="s">
        <v>1027</v>
      </c>
      <c r="C341" s="131">
        <v>39364</v>
      </c>
      <c r="D341" t="s">
        <v>1095</v>
      </c>
      <c r="F341" t="s">
        <v>645</v>
      </c>
      <c r="H341">
        <v>62.5</v>
      </c>
      <c r="J341" s="1">
        <v>140253.75</v>
      </c>
      <c r="K341" s="1"/>
      <c r="L341" s="1">
        <v>140253.75</v>
      </c>
      <c r="M341" s="1">
        <v>57854.65</v>
      </c>
      <c r="N341" s="1">
        <f t="shared" si="10"/>
        <v>2244.06</v>
      </c>
      <c r="O341" s="1"/>
      <c r="P341" s="1"/>
      <c r="Q341" s="1"/>
      <c r="R341" s="1"/>
      <c r="S341" s="1"/>
    </row>
    <row r="342" spans="1:19" hidden="1" x14ac:dyDescent="0.4">
      <c r="A342" t="s">
        <v>1096</v>
      </c>
      <c r="B342" t="s">
        <v>1027</v>
      </c>
      <c r="C342" s="131">
        <v>39432</v>
      </c>
      <c r="D342" t="s">
        <v>1097</v>
      </c>
      <c r="F342" t="s">
        <v>645</v>
      </c>
      <c r="H342">
        <v>62.5</v>
      </c>
      <c r="J342" s="1">
        <v>99180.07</v>
      </c>
      <c r="K342" s="1"/>
      <c r="L342" s="1">
        <v>99180.07</v>
      </c>
      <c r="M342" s="1">
        <v>40911.75</v>
      </c>
      <c r="N342" s="1">
        <f t="shared" si="10"/>
        <v>1586.88112</v>
      </c>
      <c r="O342" s="1"/>
      <c r="P342" s="1"/>
      <c r="Q342" s="1"/>
      <c r="R342" s="1"/>
      <c r="S342" s="1"/>
    </row>
    <row r="343" spans="1:19" hidden="1" x14ac:dyDescent="0.4">
      <c r="A343" t="s">
        <v>1098</v>
      </c>
      <c r="B343" t="s">
        <v>1027</v>
      </c>
      <c r="C343" s="131">
        <v>39260</v>
      </c>
      <c r="D343" t="s">
        <v>1099</v>
      </c>
      <c r="F343" t="s">
        <v>645</v>
      </c>
      <c r="H343">
        <v>62.5</v>
      </c>
      <c r="J343" s="1">
        <v>199858.07</v>
      </c>
      <c r="K343" s="1"/>
      <c r="L343" s="1">
        <v>199858.07</v>
      </c>
      <c r="M343" s="1">
        <v>82441.429999999993</v>
      </c>
      <c r="N343" s="1">
        <f t="shared" si="10"/>
        <v>3197.72912</v>
      </c>
      <c r="O343" s="1"/>
      <c r="P343" s="1"/>
      <c r="Q343" s="1"/>
      <c r="R343" s="1"/>
      <c r="S343" s="1"/>
    </row>
    <row r="344" spans="1:19" hidden="1" x14ac:dyDescent="0.4">
      <c r="A344" t="s">
        <v>1100</v>
      </c>
      <c r="B344" t="s">
        <v>1027</v>
      </c>
      <c r="C344" s="131">
        <v>39140</v>
      </c>
      <c r="D344" t="s">
        <v>1101</v>
      </c>
      <c r="F344" t="s">
        <v>645</v>
      </c>
      <c r="H344">
        <v>62.5</v>
      </c>
      <c r="J344" s="1">
        <v>418681.18</v>
      </c>
      <c r="K344" s="1"/>
      <c r="L344" s="1">
        <v>418681.18</v>
      </c>
      <c r="M344" s="1">
        <v>172705.99</v>
      </c>
      <c r="N344" s="1">
        <f t="shared" si="10"/>
        <v>6698.8988799999997</v>
      </c>
      <c r="O344" s="1"/>
      <c r="P344" s="1"/>
      <c r="Q344" s="1"/>
      <c r="R344" s="1"/>
      <c r="S344" s="1"/>
    </row>
    <row r="345" spans="1:19" hidden="1" x14ac:dyDescent="0.4">
      <c r="A345" t="s">
        <v>1102</v>
      </c>
      <c r="B345" t="s">
        <v>1027</v>
      </c>
      <c r="C345" s="131">
        <v>39264</v>
      </c>
      <c r="D345" t="s">
        <v>1103</v>
      </c>
      <c r="F345" t="s">
        <v>645</v>
      </c>
      <c r="H345">
        <v>62.5</v>
      </c>
      <c r="J345" s="1">
        <v>589938.93000000005</v>
      </c>
      <c r="K345" s="1"/>
      <c r="L345" s="1">
        <v>589938.93000000005</v>
      </c>
      <c r="M345" s="1">
        <v>243349.8</v>
      </c>
      <c r="N345" s="1">
        <f t="shared" si="10"/>
        <v>9439.0228800000004</v>
      </c>
      <c r="O345" s="1"/>
      <c r="P345" s="1"/>
      <c r="Q345" s="1"/>
      <c r="R345" s="1"/>
      <c r="S345" s="1"/>
    </row>
    <row r="346" spans="1:19" hidden="1" x14ac:dyDescent="0.4">
      <c r="A346" t="s">
        <v>1104</v>
      </c>
      <c r="B346" t="s">
        <v>1027</v>
      </c>
      <c r="C346" s="131">
        <v>39114</v>
      </c>
      <c r="D346" t="s">
        <v>1105</v>
      </c>
      <c r="F346" t="s">
        <v>645</v>
      </c>
      <c r="H346">
        <v>62.5</v>
      </c>
      <c r="J346" s="1">
        <v>676000</v>
      </c>
      <c r="K346" s="1"/>
      <c r="L346" s="1">
        <v>676000</v>
      </c>
      <c r="M346" s="1">
        <v>278850</v>
      </c>
      <c r="N346" s="1">
        <f t="shared" si="10"/>
        <v>10816</v>
      </c>
      <c r="O346" s="1"/>
      <c r="P346" s="1"/>
      <c r="Q346" s="1"/>
      <c r="R346" s="1"/>
      <c r="S346" s="1"/>
    </row>
    <row r="347" spans="1:19" hidden="1" x14ac:dyDescent="0.4">
      <c r="A347" t="s">
        <v>1106</v>
      </c>
      <c r="B347" t="s">
        <v>1027</v>
      </c>
      <c r="C347" s="131">
        <v>39294</v>
      </c>
      <c r="D347" t="s">
        <v>1107</v>
      </c>
      <c r="F347" t="s">
        <v>645</v>
      </c>
      <c r="H347">
        <v>62.5</v>
      </c>
      <c r="J347" s="1">
        <v>188165.25</v>
      </c>
      <c r="K347" s="1"/>
      <c r="L347" s="1">
        <v>188165.25</v>
      </c>
      <c r="M347" s="1">
        <v>77618.149999999994</v>
      </c>
      <c r="N347" s="1">
        <f t="shared" si="10"/>
        <v>3010.6439999999998</v>
      </c>
      <c r="O347" s="1"/>
      <c r="P347" s="1"/>
      <c r="Q347" s="1"/>
      <c r="R347" s="1"/>
      <c r="S347" s="1"/>
    </row>
    <row r="348" spans="1:19" hidden="1" x14ac:dyDescent="0.4">
      <c r="A348" t="s">
        <v>1108</v>
      </c>
      <c r="B348" t="s">
        <v>1027</v>
      </c>
      <c r="C348" s="131">
        <v>39295</v>
      </c>
      <c r="D348" t="s">
        <v>1109</v>
      </c>
      <c r="F348" t="s">
        <v>645</v>
      </c>
      <c r="H348">
        <v>62.5</v>
      </c>
      <c r="J348" s="1">
        <v>117977.32</v>
      </c>
      <c r="K348" s="1"/>
      <c r="L348" s="1">
        <v>117977.32</v>
      </c>
      <c r="M348" s="1">
        <v>48665.599999999999</v>
      </c>
      <c r="N348" s="1">
        <f t="shared" si="10"/>
        <v>1887.6371200000001</v>
      </c>
      <c r="O348" s="1"/>
      <c r="P348" s="1"/>
      <c r="Q348" s="1"/>
      <c r="R348" s="1"/>
      <c r="S348" s="1"/>
    </row>
    <row r="349" spans="1:19" hidden="1" x14ac:dyDescent="0.4">
      <c r="A349" t="s">
        <v>1110</v>
      </c>
      <c r="B349" t="s">
        <v>1027</v>
      </c>
      <c r="C349" s="131">
        <v>39295</v>
      </c>
      <c r="D349" t="s">
        <v>1111</v>
      </c>
      <c r="F349" t="s">
        <v>645</v>
      </c>
      <c r="H349">
        <v>62.5</v>
      </c>
      <c r="J349" s="1">
        <v>128835.1</v>
      </c>
      <c r="K349" s="1"/>
      <c r="L349" s="1">
        <v>128835.1</v>
      </c>
      <c r="M349" s="1">
        <v>53144.52</v>
      </c>
      <c r="N349" s="1">
        <f t="shared" si="10"/>
        <v>2061.3616000000002</v>
      </c>
      <c r="O349" s="1"/>
      <c r="P349" s="1"/>
      <c r="Q349" s="1"/>
      <c r="R349" s="1"/>
      <c r="S349" s="1"/>
    </row>
    <row r="350" spans="1:19" hidden="1" x14ac:dyDescent="0.4">
      <c r="A350" t="s">
        <v>1112</v>
      </c>
      <c r="B350" t="s">
        <v>1027</v>
      </c>
      <c r="C350" s="131">
        <v>39356</v>
      </c>
      <c r="D350" t="s">
        <v>1113</v>
      </c>
      <c r="F350" t="s">
        <v>645</v>
      </c>
      <c r="H350">
        <v>62.5</v>
      </c>
      <c r="J350" s="1">
        <v>36816</v>
      </c>
      <c r="K350" s="1"/>
      <c r="L350" s="1">
        <v>36816</v>
      </c>
      <c r="M350" s="1">
        <v>15186.6</v>
      </c>
      <c r="N350" s="1">
        <f t="shared" si="10"/>
        <v>589.05600000000004</v>
      </c>
      <c r="O350" s="1"/>
      <c r="P350" s="1"/>
      <c r="Q350" s="1"/>
      <c r="R350" s="1"/>
      <c r="S350" s="1"/>
    </row>
    <row r="351" spans="1:19" hidden="1" x14ac:dyDescent="0.4">
      <c r="A351" t="s">
        <v>1114</v>
      </c>
      <c r="B351" t="s">
        <v>1027</v>
      </c>
      <c r="C351" s="131">
        <v>39295</v>
      </c>
      <c r="D351" t="s">
        <v>1115</v>
      </c>
      <c r="F351" t="s">
        <v>645</v>
      </c>
      <c r="H351">
        <v>62.5</v>
      </c>
      <c r="J351" s="1">
        <v>157000</v>
      </c>
      <c r="K351" s="1"/>
      <c r="L351" s="1">
        <v>157000</v>
      </c>
      <c r="M351" s="1">
        <v>64762.5</v>
      </c>
      <c r="N351" s="1">
        <f t="shared" si="10"/>
        <v>2512</v>
      </c>
      <c r="O351" s="1"/>
      <c r="P351" s="1"/>
      <c r="Q351" s="1"/>
      <c r="R351" s="1"/>
      <c r="S351" s="1"/>
    </row>
    <row r="352" spans="1:19" hidden="1" x14ac:dyDescent="0.4">
      <c r="A352" t="s">
        <v>1116</v>
      </c>
      <c r="B352" t="s">
        <v>1027</v>
      </c>
      <c r="C352" s="131">
        <v>39539</v>
      </c>
      <c r="D352" t="s">
        <v>1117</v>
      </c>
      <c r="F352" t="s">
        <v>645</v>
      </c>
      <c r="H352">
        <v>62.5</v>
      </c>
      <c r="J352" s="1">
        <v>1435411.48</v>
      </c>
      <c r="K352" s="1"/>
      <c r="L352" s="1">
        <v>1435411.48</v>
      </c>
      <c r="M352" s="1">
        <v>556221.97</v>
      </c>
      <c r="N352" s="1">
        <f t="shared" si="10"/>
        <v>22966.58368</v>
      </c>
      <c r="O352" s="1"/>
      <c r="P352" s="1"/>
      <c r="Q352" s="1"/>
      <c r="R352" s="1"/>
      <c r="S352" s="1"/>
    </row>
    <row r="353" spans="1:19" hidden="1" x14ac:dyDescent="0.4">
      <c r="A353" t="s">
        <v>1118</v>
      </c>
      <c r="B353" t="s">
        <v>1027</v>
      </c>
      <c r="C353" s="131">
        <v>39630</v>
      </c>
      <c r="D353" t="s">
        <v>1119</v>
      </c>
      <c r="F353" t="s">
        <v>645</v>
      </c>
      <c r="H353">
        <v>62.5</v>
      </c>
      <c r="J353" s="1">
        <v>327667.48</v>
      </c>
      <c r="K353" s="1"/>
      <c r="L353" s="1">
        <v>327667.48</v>
      </c>
      <c r="M353" s="1">
        <v>126971.19</v>
      </c>
      <c r="N353" s="1">
        <f t="shared" si="10"/>
        <v>5242.6796799999993</v>
      </c>
      <c r="O353" s="1"/>
      <c r="P353" s="1"/>
      <c r="Q353" s="1"/>
      <c r="R353" s="1"/>
      <c r="S353" s="1"/>
    </row>
    <row r="354" spans="1:19" hidden="1" x14ac:dyDescent="0.4">
      <c r="A354" t="s">
        <v>1120</v>
      </c>
      <c r="B354" t="s">
        <v>1027</v>
      </c>
      <c r="C354" s="131">
        <v>39448</v>
      </c>
      <c r="D354" t="s">
        <v>1121</v>
      </c>
      <c r="F354" t="s">
        <v>645</v>
      </c>
      <c r="H354">
        <v>62.5</v>
      </c>
      <c r="J354" s="1">
        <v>546982.48</v>
      </c>
      <c r="K354" s="1"/>
      <c r="L354" s="1">
        <v>546982.48</v>
      </c>
      <c r="M354" s="1">
        <v>211955.68</v>
      </c>
      <c r="N354" s="1">
        <f t="shared" si="10"/>
        <v>8751.7196800000002</v>
      </c>
      <c r="O354" s="1"/>
      <c r="P354" s="1"/>
      <c r="Q354" s="1"/>
      <c r="R354" s="1"/>
      <c r="S354" s="1"/>
    </row>
    <row r="355" spans="1:19" hidden="1" x14ac:dyDescent="0.4">
      <c r="A355" t="s">
        <v>1122</v>
      </c>
      <c r="B355" t="s">
        <v>1027</v>
      </c>
      <c r="C355" s="131">
        <v>39471</v>
      </c>
      <c r="D355" t="s">
        <v>1123</v>
      </c>
      <c r="F355" t="s">
        <v>645</v>
      </c>
      <c r="H355">
        <v>62.5</v>
      </c>
      <c r="J355" s="1">
        <v>48500</v>
      </c>
      <c r="K355" s="1"/>
      <c r="L355" s="1">
        <v>48500</v>
      </c>
      <c r="M355" s="1">
        <v>18793.75</v>
      </c>
      <c r="N355" s="1">
        <f t="shared" si="10"/>
        <v>776</v>
      </c>
      <c r="O355" s="1"/>
      <c r="P355" s="1"/>
      <c r="Q355" s="1"/>
      <c r="R355" s="1"/>
      <c r="S355" s="1"/>
    </row>
    <row r="356" spans="1:19" hidden="1" x14ac:dyDescent="0.4">
      <c r="A356" t="s">
        <v>1124</v>
      </c>
      <c r="B356" t="s">
        <v>1027</v>
      </c>
      <c r="C356" s="131">
        <v>39650</v>
      </c>
      <c r="D356" t="s">
        <v>1125</v>
      </c>
      <c r="F356" t="s">
        <v>645</v>
      </c>
      <c r="H356">
        <v>62.5</v>
      </c>
      <c r="J356" s="1">
        <v>329000</v>
      </c>
      <c r="K356" s="1"/>
      <c r="L356" s="1">
        <v>329000</v>
      </c>
      <c r="M356" s="1">
        <v>127487.5</v>
      </c>
      <c r="N356" s="1">
        <f t="shared" si="10"/>
        <v>5264</v>
      </c>
      <c r="O356" s="1"/>
      <c r="P356" s="1"/>
      <c r="Q356" s="1"/>
      <c r="R356" s="1"/>
      <c r="S356" s="1"/>
    </row>
    <row r="357" spans="1:19" hidden="1" x14ac:dyDescent="0.4">
      <c r="A357" t="s">
        <v>1126</v>
      </c>
      <c r="B357" t="s">
        <v>1027</v>
      </c>
      <c r="C357" s="131">
        <v>39448</v>
      </c>
      <c r="D357" t="s">
        <v>1127</v>
      </c>
      <c r="F357" t="s">
        <v>645</v>
      </c>
      <c r="H357">
        <v>62.5</v>
      </c>
      <c r="J357" s="1">
        <v>589411.30000000005</v>
      </c>
      <c r="K357" s="1"/>
      <c r="L357" s="1">
        <v>589411.30000000005</v>
      </c>
      <c r="M357" s="1">
        <v>228396.86</v>
      </c>
      <c r="N357" s="1">
        <f t="shared" si="10"/>
        <v>9430.5808000000015</v>
      </c>
      <c r="O357" s="1"/>
      <c r="P357" s="1"/>
      <c r="Q357" s="1"/>
      <c r="R357" s="1"/>
      <c r="S357" s="1"/>
    </row>
    <row r="358" spans="1:19" hidden="1" x14ac:dyDescent="0.4">
      <c r="A358" t="s">
        <v>1128</v>
      </c>
      <c r="B358" t="s">
        <v>1027</v>
      </c>
      <c r="C358" s="131">
        <v>39479</v>
      </c>
      <c r="D358" t="s">
        <v>1129</v>
      </c>
      <c r="F358" t="s">
        <v>645</v>
      </c>
      <c r="H358">
        <v>62.5</v>
      </c>
      <c r="J358" s="1">
        <v>83626</v>
      </c>
      <c r="K358" s="1"/>
      <c r="L358" s="1">
        <v>83626</v>
      </c>
      <c r="M358" s="1">
        <v>32405.08</v>
      </c>
      <c r="N358" s="1">
        <f t="shared" si="10"/>
        <v>1338.0160000000001</v>
      </c>
      <c r="O358" s="1"/>
      <c r="P358" s="1"/>
      <c r="Q358" s="1"/>
      <c r="R358" s="1"/>
      <c r="S358" s="1"/>
    </row>
    <row r="359" spans="1:19" hidden="1" x14ac:dyDescent="0.4">
      <c r="A359" t="s">
        <v>1130</v>
      </c>
      <c r="B359" t="s">
        <v>1027</v>
      </c>
      <c r="C359" s="131">
        <v>39448</v>
      </c>
      <c r="D359" t="s">
        <v>1131</v>
      </c>
      <c r="F359" t="s">
        <v>645</v>
      </c>
      <c r="H359">
        <v>62.5</v>
      </c>
      <c r="J359" s="1">
        <v>93569</v>
      </c>
      <c r="K359" s="1"/>
      <c r="L359" s="1">
        <v>93569</v>
      </c>
      <c r="M359" s="1">
        <v>36257.99</v>
      </c>
      <c r="N359" s="1">
        <f t="shared" si="10"/>
        <v>1497.104</v>
      </c>
      <c r="O359" s="1"/>
      <c r="P359" s="1"/>
      <c r="Q359" s="1"/>
      <c r="R359" s="1"/>
      <c r="S359" s="1"/>
    </row>
    <row r="360" spans="1:19" hidden="1" x14ac:dyDescent="0.4">
      <c r="A360" t="s">
        <v>1132</v>
      </c>
      <c r="B360" t="s">
        <v>1027</v>
      </c>
      <c r="C360" s="131">
        <v>39448</v>
      </c>
      <c r="D360" t="s">
        <v>1133</v>
      </c>
      <c r="F360" t="s">
        <v>645</v>
      </c>
      <c r="H360">
        <v>62.5</v>
      </c>
      <c r="J360" s="1">
        <v>200957.2</v>
      </c>
      <c r="K360" s="1"/>
      <c r="L360" s="1">
        <v>200957.2</v>
      </c>
      <c r="M360" s="1">
        <v>77870.92</v>
      </c>
      <c r="N360" s="1">
        <f t="shared" si="10"/>
        <v>3215.3152</v>
      </c>
      <c r="O360" s="1"/>
      <c r="P360" s="1"/>
      <c r="Q360" s="1"/>
      <c r="R360" s="1"/>
      <c r="S360" s="1"/>
    </row>
    <row r="361" spans="1:19" hidden="1" x14ac:dyDescent="0.4">
      <c r="A361" t="s">
        <v>1134</v>
      </c>
      <c r="B361" t="s">
        <v>1027</v>
      </c>
      <c r="C361" s="131">
        <v>39623</v>
      </c>
      <c r="D361" t="s">
        <v>1135</v>
      </c>
      <c r="F361" t="s">
        <v>645</v>
      </c>
      <c r="H361">
        <v>62.5</v>
      </c>
      <c r="J361" s="1">
        <v>83000</v>
      </c>
      <c r="K361" s="1"/>
      <c r="L361" s="1">
        <v>83000</v>
      </c>
      <c r="M361" s="1">
        <v>32162.5</v>
      </c>
      <c r="N361" s="1">
        <f t="shared" si="10"/>
        <v>1328</v>
      </c>
      <c r="O361" s="1"/>
      <c r="P361" s="1"/>
      <c r="Q361" s="1"/>
      <c r="R361" s="1"/>
      <c r="S361" s="1"/>
    </row>
    <row r="362" spans="1:19" hidden="1" x14ac:dyDescent="0.4">
      <c r="A362" t="s">
        <v>1136</v>
      </c>
      <c r="B362" t="s">
        <v>1027</v>
      </c>
      <c r="C362" s="131">
        <v>39627</v>
      </c>
      <c r="D362" t="s">
        <v>1137</v>
      </c>
      <c r="F362" t="s">
        <v>645</v>
      </c>
      <c r="H362">
        <v>62.5</v>
      </c>
      <c r="J362" s="1">
        <v>150989</v>
      </c>
      <c r="K362" s="1"/>
      <c r="L362" s="1">
        <v>150989</v>
      </c>
      <c r="M362" s="1">
        <v>58508.25</v>
      </c>
      <c r="N362" s="1">
        <f t="shared" si="10"/>
        <v>2415.8240000000001</v>
      </c>
      <c r="O362" s="1"/>
      <c r="P362" s="1"/>
      <c r="Q362" s="1"/>
      <c r="R362" s="1"/>
      <c r="S362" s="1"/>
    </row>
    <row r="363" spans="1:19" hidden="1" x14ac:dyDescent="0.4">
      <c r="A363" t="s">
        <v>1138</v>
      </c>
      <c r="B363" t="s">
        <v>1027</v>
      </c>
      <c r="C363" s="131">
        <v>39714</v>
      </c>
      <c r="D363" t="s">
        <v>1139</v>
      </c>
      <c r="F363" t="s">
        <v>645</v>
      </c>
      <c r="H363">
        <v>62.5</v>
      </c>
      <c r="J363" s="1">
        <v>117000</v>
      </c>
      <c r="K363" s="1"/>
      <c r="L363" s="1">
        <v>117000</v>
      </c>
      <c r="M363" s="1">
        <v>45337.5</v>
      </c>
      <c r="N363" s="1">
        <f t="shared" si="10"/>
        <v>1872</v>
      </c>
      <c r="O363" s="1"/>
      <c r="P363" s="1"/>
      <c r="Q363" s="1"/>
      <c r="R363" s="1"/>
      <c r="S363" s="1"/>
    </row>
    <row r="364" spans="1:19" hidden="1" x14ac:dyDescent="0.4">
      <c r="A364" t="s">
        <v>1140</v>
      </c>
      <c r="B364" t="s">
        <v>1027</v>
      </c>
      <c r="C364" s="131">
        <v>39609</v>
      </c>
      <c r="D364" t="s">
        <v>1141</v>
      </c>
      <c r="F364" t="s">
        <v>645</v>
      </c>
      <c r="H364">
        <v>62.5</v>
      </c>
      <c r="J364" s="1">
        <v>119000</v>
      </c>
      <c r="K364" s="1"/>
      <c r="L364" s="1">
        <v>119000</v>
      </c>
      <c r="M364" s="1">
        <v>46112.5</v>
      </c>
      <c r="N364" s="1">
        <f t="shared" si="10"/>
        <v>1904</v>
      </c>
      <c r="O364" s="1"/>
      <c r="P364" s="1"/>
      <c r="Q364" s="1"/>
      <c r="R364" s="1"/>
      <c r="S364" s="1"/>
    </row>
    <row r="365" spans="1:19" hidden="1" x14ac:dyDescent="0.4">
      <c r="A365" t="s">
        <v>1142</v>
      </c>
      <c r="B365" t="s">
        <v>1027</v>
      </c>
      <c r="C365" s="131">
        <v>39475</v>
      </c>
      <c r="D365" t="s">
        <v>1143</v>
      </c>
      <c r="F365" t="s">
        <v>645</v>
      </c>
      <c r="H365">
        <v>62.5</v>
      </c>
      <c r="J365" s="1">
        <v>305540</v>
      </c>
      <c r="K365" s="1"/>
      <c r="L365" s="1">
        <v>305540</v>
      </c>
      <c r="M365" s="1">
        <v>118396.75</v>
      </c>
      <c r="N365" s="1">
        <f t="shared" si="10"/>
        <v>4888.6400000000003</v>
      </c>
      <c r="O365" s="1"/>
      <c r="P365" s="1"/>
      <c r="Q365" s="1"/>
      <c r="R365" s="1"/>
      <c r="S365" s="1"/>
    </row>
    <row r="366" spans="1:19" hidden="1" x14ac:dyDescent="0.4">
      <c r="A366" t="s">
        <v>1144</v>
      </c>
      <c r="B366" t="s">
        <v>1027</v>
      </c>
      <c r="C366" s="131">
        <v>39678</v>
      </c>
      <c r="D366" t="s">
        <v>1145</v>
      </c>
      <c r="F366" t="s">
        <v>645</v>
      </c>
      <c r="H366">
        <v>62.5</v>
      </c>
      <c r="J366" s="1">
        <v>136000</v>
      </c>
      <c r="K366" s="1"/>
      <c r="L366" s="1">
        <v>136000</v>
      </c>
      <c r="M366" s="1">
        <v>52700</v>
      </c>
      <c r="N366" s="1">
        <f t="shared" si="10"/>
        <v>2176</v>
      </c>
      <c r="O366" s="1"/>
      <c r="P366" s="1"/>
      <c r="Q366" s="1"/>
      <c r="R366" s="1"/>
      <c r="S366" s="1"/>
    </row>
    <row r="367" spans="1:19" hidden="1" x14ac:dyDescent="0.4">
      <c r="A367" t="s">
        <v>1146</v>
      </c>
      <c r="B367" t="s">
        <v>1027</v>
      </c>
      <c r="C367" s="131">
        <v>39622</v>
      </c>
      <c r="D367" t="s">
        <v>1147</v>
      </c>
      <c r="F367" t="s">
        <v>645</v>
      </c>
      <c r="H367">
        <v>62.5</v>
      </c>
      <c r="J367" s="1">
        <v>90500</v>
      </c>
      <c r="K367" s="1"/>
      <c r="L367" s="1">
        <v>90500</v>
      </c>
      <c r="M367" s="1">
        <v>35068.75</v>
      </c>
      <c r="N367" s="1">
        <f t="shared" si="10"/>
        <v>1448</v>
      </c>
      <c r="O367" s="1"/>
      <c r="P367" s="1"/>
      <c r="Q367" s="1"/>
      <c r="R367" s="1"/>
      <c r="S367" s="1"/>
    </row>
    <row r="368" spans="1:19" hidden="1" x14ac:dyDescent="0.4">
      <c r="A368" t="s">
        <v>1148</v>
      </c>
      <c r="B368" t="s">
        <v>1027</v>
      </c>
      <c r="C368" s="131">
        <v>39472</v>
      </c>
      <c r="D368" t="s">
        <v>1149</v>
      </c>
      <c r="F368" t="s">
        <v>645</v>
      </c>
      <c r="H368">
        <v>62.5</v>
      </c>
      <c r="J368" s="1">
        <v>14611.32</v>
      </c>
      <c r="K368" s="1"/>
      <c r="L368" s="1">
        <v>14611.32</v>
      </c>
      <c r="M368" s="1">
        <v>5661.84</v>
      </c>
      <c r="N368" s="1">
        <f t="shared" si="10"/>
        <v>233.78111999999999</v>
      </c>
      <c r="O368" s="1"/>
      <c r="P368" s="1"/>
      <c r="Q368" s="1"/>
      <c r="R368" s="1"/>
      <c r="S368" s="1"/>
    </row>
    <row r="369" spans="1:19" hidden="1" x14ac:dyDescent="0.4">
      <c r="A369" t="s">
        <v>1150</v>
      </c>
      <c r="B369" t="s">
        <v>1027</v>
      </c>
      <c r="C369" s="131">
        <v>39499</v>
      </c>
      <c r="D369" t="s">
        <v>1151</v>
      </c>
      <c r="F369" t="s">
        <v>645</v>
      </c>
      <c r="H369">
        <v>62.5</v>
      </c>
      <c r="J369" s="1">
        <v>354000</v>
      </c>
      <c r="K369" s="1"/>
      <c r="L369" s="1">
        <v>354000</v>
      </c>
      <c r="M369" s="1">
        <v>137175</v>
      </c>
      <c r="N369" s="1">
        <f t="shared" si="10"/>
        <v>5664</v>
      </c>
      <c r="O369" s="1"/>
      <c r="P369" s="1"/>
      <c r="Q369" s="1"/>
      <c r="R369" s="1"/>
      <c r="S369" s="1"/>
    </row>
    <row r="370" spans="1:19" hidden="1" x14ac:dyDescent="0.4">
      <c r="A370" t="s">
        <v>1152</v>
      </c>
      <c r="B370" t="s">
        <v>1027</v>
      </c>
      <c r="C370" s="131">
        <v>39630</v>
      </c>
      <c r="D370" t="s">
        <v>1153</v>
      </c>
      <c r="F370" t="s">
        <v>645</v>
      </c>
      <c r="H370">
        <v>62.5</v>
      </c>
      <c r="J370" s="1">
        <v>5749.74</v>
      </c>
      <c r="K370" s="1"/>
      <c r="L370" s="1">
        <v>5749.74</v>
      </c>
      <c r="M370" s="1">
        <v>2227.9899999999998</v>
      </c>
      <c r="N370" s="1">
        <f t="shared" si="10"/>
        <v>91.995840000000001</v>
      </c>
      <c r="O370" s="1"/>
      <c r="P370" s="1"/>
      <c r="Q370" s="1"/>
      <c r="R370" s="1"/>
      <c r="S370" s="1"/>
    </row>
    <row r="371" spans="1:19" hidden="1" x14ac:dyDescent="0.4">
      <c r="A371" t="s">
        <v>1154</v>
      </c>
      <c r="B371" t="s">
        <v>1027</v>
      </c>
      <c r="C371" s="131">
        <v>39630</v>
      </c>
      <c r="D371" t="s">
        <v>1155</v>
      </c>
      <c r="F371" t="s">
        <v>645</v>
      </c>
      <c r="H371">
        <v>62.5</v>
      </c>
      <c r="J371" s="1">
        <v>60137.63</v>
      </c>
      <c r="K371" s="1"/>
      <c r="L371" s="1">
        <v>60137.63</v>
      </c>
      <c r="M371" s="1">
        <v>23303.32</v>
      </c>
      <c r="N371" s="1">
        <f t="shared" ref="N371:N434" si="11">L371/H371</f>
        <v>962.20207999999991</v>
      </c>
      <c r="O371" s="1"/>
      <c r="P371" s="1"/>
      <c r="Q371" s="1"/>
      <c r="R371" s="1"/>
      <c r="S371" s="1"/>
    </row>
    <row r="372" spans="1:19" hidden="1" x14ac:dyDescent="0.4">
      <c r="A372" t="s">
        <v>1156</v>
      </c>
      <c r="B372" t="s">
        <v>1027</v>
      </c>
      <c r="C372" s="131">
        <v>39903</v>
      </c>
      <c r="D372" t="s">
        <v>1157</v>
      </c>
      <c r="F372" t="s">
        <v>645</v>
      </c>
      <c r="H372">
        <v>62.5</v>
      </c>
      <c r="J372" s="1">
        <v>81247.28</v>
      </c>
      <c r="K372" s="1"/>
      <c r="L372" s="1">
        <v>81247.28</v>
      </c>
      <c r="M372" s="1">
        <v>29452.11</v>
      </c>
      <c r="N372" s="1">
        <f t="shared" si="11"/>
        <v>1299.9564800000001</v>
      </c>
    </row>
    <row r="373" spans="1:19" hidden="1" x14ac:dyDescent="0.4">
      <c r="A373" t="s">
        <v>1158</v>
      </c>
      <c r="B373" t="s">
        <v>1027</v>
      </c>
      <c r="C373" s="131">
        <v>39840</v>
      </c>
      <c r="D373" t="s">
        <v>1159</v>
      </c>
      <c r="F373" t="s">
        <v>645</v>
      </c>
      <c r="H373">
        <v>62.5</v>
      </c>
      <c r="J373" s="1">
        <v>2865</v>
      </c>
      <c r="K373" s="1"/>
      <c r="L373" s="1">
        <v>2865</v>
      </c>
      <c r="M373" s="1">
        <v>1038.56</v>
      </c>
      <c r="N373" s="1">
        <f t="shared" si="11"/>
        <v>45.84</v>
      </c>
      <c r="O373" s="1"/>
      <c r="P373" s="1"/>
      <c r="Q373" s="1"/>
      <c r="R373" s="1"/>
      <c r="S373" s="1"/>
    </row>
    <row r="374" spans="1:19" hidden="1" x14ac:dyDescent="0.4">
      <c r="A374" t="s">
        <v>1160</v>
      </c>
      <c r="B374" t="s">
        <v>1027</v>
      </c>
      <c r="C374" s="131">
        <v>39830</v>
      </c>
      <c r="D374" t="s">
        <v>1161</v>
      </c>
      <c r="F374" t="s">
        <v>645</v>
      </c>
      <c r="H374">
        <v>62.5</v>
      </c>
      <c r="J374" s="1">
        <v>4500</v>
      </c>
      <c r="K374" s="1"/>
      <c r="L374" s="1">
        <v>4500</v>
      </c>
      <c r="M374" s="1">
        <v>1631.25</v>
      </c>
      <c r="N374" s="1">
        <f t="shared" si="11"/>
        <v>72</v>
      </c>
      <c r="O374" s="1"/>
      <c r="P374" s="1"/>
      <c r="Q374" s="1"/>
      <c r="R374" s="1"/>
      <c r="S374" s="1"/>
    </row>
    <row r="375" spans="1:19" hidden="1" x14ac:dyDescent="0.4">
      <c r="A375" t="s">
        <v>1162</v>
      </c>
      <c r="B375" t="s">
        <v>1027</v>
      </c>
      <c r="C375" s="131">
        <v>39830</v>
      </c>
      <c r="D375" t="s">
        <v>1163</v>
      </c>
      <c r="F375" t="s">
        <v>645</v>
      </c>
      <c r="H375">
        <v>62.5</v>
      </c>
      <c r="J375" s="1">
        <v>147019.18</v>
      </c>
      <c r="K375" s="1"/>
      <c r="L375" s="1">
        <v>147019.18</v>
      </c>
      <c r="M375" s="1">
        <v>53294.46</v>
      </c>
      <c r="N375" s="1">
        <f t="shared" si="11"/>
        <v>2352.3068800000001</v>
      </c>
      <c r="O375" s="1"/>
      <c r="P375" s="1"/>
      <c r="Q375" s="1"/>
      <c r="R375" s="1"/>
      <c r="S375" s="1"/>
    </row>
    <row r="376" spans="1:19" hidden="1" x14ac:dyDescent="0.4">
      <c r="A376" t="s">
        <v>1164</v>
      </c>
      <c r="B376" t="s">
        <v>1027</v>
      </c>
      <c r="C376" s="131">
        <v>39995</v>
      </c>
      <c r="D376" t="s">
        <v>1165</v>
      </c>
      <c r="F376" t="s">
        <v>645</v>
      </c>
      <c r="H376">
        <v>62.5</v>
      </c>
      <c r="J376" s="1">
        <v>10849.28</v>
      </c>
      <c r="K376" s="1"/>
      <c r="L376" s="1">
        <v>10849.28</v>
      </c>
      <c r="M376" s="1">
        <v>3932.84</v>
      </c>
      <c r="N376" s="1">
        <f t="shared" si="11"/>
        <v>173.58848</v>
      </c>
      <c r="O376" s="1"/>
      <c r="P376" s="1"/>
      <c r="Q376" s="1"/>
      <c r="R376" s="1"/>
      <c r="S376" s="1"/>
    </row>
    <row r="377" spans="1:19" hidden="1" x14ac:dyDescent="0.4">
      <c r="A377" t="s">
        <v>1166</v>
      </c>
      <c r="B377" t="s">
        <v>1027</v>
      </c>
      <c r="C377" s="131">
        <v>40451</v>
      </c>
      <c r="D377" t="s">
        <v>1167</v>
      </c>
      <c r="F377" t="s">
        <v>645</v>
      </c>
      <c r="H377">
        <v>62.5</v>
      </c>
      <c r="J377" s="1">
        <v>250000</v>
      </c>
      <c r="K377" s="1"/>
      <c r="L377" s="1">
        <v>250000</v>
      </c>
      <c r="M377" s="1">
        <v>84375</v>
      </c>
      <c r="N377" s="1">
        <f t="shared" si="11"/>
        <v>4000</v>
      </c>
      <c r="O377" s="1"/>
      <c r="P377" s="1"/>
      <c r="Q377" s="1"/>
      <c r="R377" s="1"/>
      <c r="S377" s="1"/>
    </row>
    <row r="378" spans="1:19" hidden="1" x14ac:dyDescent="0.4">
      <c r="A378" t="s">
        <v>1168</v>
      </c>
      <c r="B378" t="s">
        <v>1027</v>
      </c>
      <c r="C378" s="131">
        <v>40359</v>
      </c>
      <c r="D378" t="s">
        <v>1169</v>
      </c>
      <c r="F378" t="s">
        <v>645</v>
      </c>
      <c r="H378">
        <v>62.5</v>
      </c>
      <c r="J378" s="1">
        <v>56695.91</v>
      </c>
      <c r="K378" s="1"/>
      <c r="L378" s="1">
        <v>56695.91</v>
      </c>
      <c r="M378" s="1">
        <v>19134.900000000001</v>
      </c>
      <c r="N378" s="1">
        <f t="shared" si="11"/>
        <v>907.13456000000008</v>
      </c>
      <c r="O378" s="1"/>
      <c r="P378" s="1"/>
      <c r="Q378" s="1"/>
      <c r="R378" s="1"/>
      <c r="S378" s="1"/>
    </row>
    <row r="379" spans="1:19" hidden="1" x14ac:dyDescent="0.4">
      <c r="A379" t="s">
        <v>1170</v>
      </c>
      <c r="B379" t="s">
        <v>1027</v>
      </c>
      <c r="C379" s="131">
        <v>40359</v>
      </c>
      <c r="D379" t="s">
        <v>1171</v>
      </c>
      <c r="F379" t="s">
        <v>645</v>
      </c>
      <c r="H379">
        <v>62.5</v>
      </c>
      <c r="J379" s="1">
        <v>29926.22</v>
      </c>
      <c r="K379" s="1"/>
      <c r="L379" s="1">
        <v>29926.22</v>
      </c>
      <c r="M379" s="1">
        <v>10100.11</v>
      </c>
      <c r="N379" s="1">
        <f t="shared" si="11"/>
        <v>478.81952000000001</v>
      </c>
      <c r="O379" s="1"/>
      <c r="P379" s="1"/>
      <c r="Q379" s="1"/>
      <c r="R379" s="1"/>
      <c r="S379" s="1"/>
    </row>
    <row r="380" spans="1:19" hidden="1" x14ac:dyDescent="0.4">
      <c r="A380" t="s">
        <v>1172</v>
      </c>
      <c r="B380" t="s">
        <v>1027</v>
      </c>
      <c r="C380" s="131">
        <v>40544</v>
      </c>
      <c r="D380" t="s">
        <v>1173</v>
      </c>
      <c r="F380" t="s">
        <v>645</v>
      </c>
      <c r="H380">
        <v>62.5</v>
      </c>
      <c r="J380" s="1">
        <v>733062.5</v>
      </c>
      <c r="K380" s="1"/>
      <c r="L380" s="1">
        <v>733062.5</v>
      </c>
      <c r="M380" s="1">
        <v>229082.04</v>
      </c>
      <c r="N380" s="1">
        <f t="shared" si="11"/>
        <v>11729</v>
      </c>
      <c r="O380" s="1"/>
      <c r="P380" s="1"/>
      <c r="Q380" s="1"/>
      <c r="R380" s="1"/>
      <c r="S380" s="1"/>
    </row>
    <row r="381" spans="1:19" hidden="1" x14ac:dyDescent="0.4">
      <c r="A381" t="s">
        <v>1174</v>
      </c>
      <c r="B381" t="s">
        <v>1027</v>
      </c>
      <c r="C381" s="131">
        <v>40544</v>
      </c>
      <c r="D381" t="s">
        <v>1175</v>
      </c>
      <c r="F381" t="s">
        <v>645</v>
      </c>
      <c r="H381">
        <v>62.5</v>
      </c>
      <c r="J381" s="1">
        <v>413487.66</v>
      </c>
      <c r="K381" s="1"/>
      <c r="L381" s="1">
        <v>413487.66</v>
      </c>
      <c r="M381" s="1">
        <v>129214.88</v>
      </c>
      <c r="N381" s="1">
        <f t="shared" si="11"/>
        <v>6615.8025599999992</v>
      </c>
      <c r="O381" s="1"/>
      <c r="P381" s="1"/>
      <c r="Q381" s="1"/>
      <c r="R381" s="1"/>
      <c r="S381" s="1"/>
    </row>
    <row r="382" spans="1:19" hidden="1" x14ac:dyDescent="0.4">
      <c r="A382" t="s">
        <v>1176</v>
      </c>
      <c r="B382" t="s">
        <v>1027</v>
      </c>
      <c r="C382" s="131">
        <v>40563</v>
      </c>
      <c r="D382" t="s">
        <v>1177</v>
      </c>
      <c r="F382" t="s">
        <v>645</v>
      </c>
      <c r="H382">
        <v>62.5</v>
      </c>
      <c r="J382" s="1">
        <v>12469.26</v>
      </c>
      <c r="K382" s="1"/>
      <c r="L382" s="1">
        <v>12469.26</v>
      </c>
      <c r="M382" s="1">
        <v>3896.63</v>
      </c>
      <c r="N382" s="1">
        <f t="shared" si="11"/>
        <v>199.50816</v>
      </c>
      <c r="O382" s="1"/>
      <c r="P382" s="1"/>
      <c r="Q382" s="1"/>
      <c r="R382" s="1"/>
      <c r="S382" s="1"/>
    </row>
    <row r="383" spans="1:19" hidden="1" x14ac:dyDescent="0.4">
      <c r="A383" t="s">
        <v>1178</v>
      </c>
      <c r="B383" t="s">
        <v>1027</v>
      </c>
      <c r="C383" s="131">
        <v>40544</v>
      </c>
      <c r="D383" t="s">
        <v>1179</v>
      </c>
      <c r="F383" t="s">
        <v>645</v>
      </c>
      <c r="H383">
        <v>62.5</v>
      </c>
      <c r="J383" s="1">
        <v>21390.55</v>
      </c>
      <c r="K383" s="1"/>
      <c r="L383" s="1">
        <v>21390.55</v>
      </c>
      <c r="M383" s="1">
        <v>6684.51</v>
      </c>
      <c r="N383" s="1">
        <f t="shared" si="11"/>
        <v>342.24879999999996</v>
      </c>
      <c r="O383" s="1"/>
      <c r="P383" s="1"/>
      <c r="Q383" s="1"/>
      <c r="R383" s="1"/>
      <c r="S383" s="1"/>
    </row>
    <row r="384" spans="1:19" hidden="1" x14ac:dyDescent="0.4">
      <c r="A384" t="s">
        <v>1180</v>
      </c>
      <c r="B384" t="s">
        <v>1027</v>
      </c>
      <c r="C384" s="131">
        <v>40544</v>
      </c>
      <c r="D384" t="s">
        <v>1181</v>
      </c>
      <c r="F384" t="s">
        <v>645</v>
      </c>
      <c r="H384">
        <v>62.5</v>
      </c>
      <c r="J384" s="1">
        <v>59297.56</v>
      </c>
      <c r="K384" s="1"/>
      <c r="L384" s="1">
        <v>59297.56</v>
      </c>
      <c r="M384" s="1">
        <v>18530.5</v>
      </c>
      <c r="N384" s="1">
        <f t="shared" si="11"/>
        <v>948.76095999999995</v>
      </c>
      <c r="O384" s="1"/>
      <c r="P384" s="1"/>
      <c r="Q384" s="1"/>
      <c r="R384" s="1"/>
      <c r="S384" s="1"/>
    </row>
    <row r="385" spans="1:19" hidden="1" x14ac:dyDescent="0.4">
      <c r="A385" t="s">
        <v>1182</v>
      </c>
      <c r="B385" t="s">
        <v>1027</v>
      </c>
      <c r="C385" s="131">
        <v>40544</v>
      </c>
      <c r="D385" t="s">
        <v>1183</v>
      </c>
      <c r="F385" t="s">
        <v>645</v>
      </c>
      <c r="H385">
        <v>62.5</v>
      </c>
      <c r="J385" s="1">
        <v>99885.06</v>
      </c>
      <c r="K385" s="1"/>
      <c r="L385" s="1">
        <v>99885.06</v>
      </c>
      <c r="M385" s="1">
        <v>31214.12</v>
      </c>
      <c r="N385" s="1">
        <f t="shared" si="11"/>
        <v>1598.1609599999999</v>
      </c>
      <c r="O385" s="1"/>
      <c r="P385" s="1"/>
      <c r="Q385" s="1"/>
      <c r="R385" s="1"/>
      <c r="S385" s="1"/>
    </row>
    <row r="386" spans="1:19" hidden="1" x14ac:dyDescent="0.4">
      <c r="A386" t="s">
        <v>1184</v>
      </c>
      <c r="B386" t="s">
        <v>1027</v>
      </c>
      <c r="C386" s="131">
        <v>40756</v>
      </c>
      <c r="D386" t="s">
        <v>1185</v>
      </c>
      <c r="F386" t="s">
        <v>645</v>
      </c>
      <c r="H386">
        <v>62.5</v>
      </c>
      <c r="J386" s="1">
        <v>31159.439999999999</v>
      </c>
      <c r="K386" s="1"/>
      <c r="L386" s="1">
        <v>31159.439999999999</v>
      </c>
      <c r="M386" s="1">
        <v>9737.35</v>
      </c>
      <c r="N386" s="1">
        <f t="shared" si="11"/>
        <v>498.55104</v>
      </c>
      <c r="O386" s="1"/>
      <c r="P386" s="1"/>
      <c r="Q386" s="1"/>
      <c r="R386" s="1"/>
      <c r="S386" s="1"/>
    </row>
    <row r="387" spans="1:19" hidden="1" x14ac:dyDescent="0.4">
      <c r="A387" t="s">
        <v>1186</v>
      </c>
      <c r="B387" t="s">
        <v>1027</v>
      </c>
      <c r="C387" s="131">
        <v>40679</v>
      </c>
      <c r="D387" t="s">
        <v>1187</v>
      </c>
      <c r="F387" t="s">
        <v>645</v>
      </c>
      <c r="H387">
        <v>62.5</v>
      </c>
      <c r="J387" s="1">
        <v>182538.73</v>
      </c>
      <c r="K387" s="1"/>
      <c r="L387" s="1">
        <v>182538.73</v>
      </c>
      <c r="M387" s="1">
        <v>57043.37</v>
      </c>
      <c r="N387" s="1">
        <f t="shared" si="11"/>
        <v>2920.6196800000002</v>
      </c>
      <c r="O387" s="1"/>
      <c r="P387" s="1"/>
      <c r="Q387" s="1"/>
      <c r="R387" s="1"/>
      <c r="S387" s="1"/>
    </row>
    <row r="388" spans="1:19" hidden="1" x14ac:dyDescent="0.4">
      <c r="A388" t="s">
        <v>1188</v>
      </c>
      <c r="B388" t="s">
        <v>1027</v>
      </c>
      <c r="C388" s="131">
        <v>40725</v>
      </c>
      <c r="D388" t="s">
        <v>1189</v>
      </c>
      <c r="F388" t="s">
        <v>645</v>
      </c>
      <c r="H388">
        <v>62.5</v>
      </c>
      <c r="J388" s="1">
        <v>19142.11</v>
      </c>
      <c r="K388" s="1"/>
      <c r="L388" s="1">
        <v>19142.11</v>
      </c>
      <c r="M388" s="1">
        <v>5981.88</v>
      </c>
      <c r="N388" s="1">
        <f t="shared" si="11"/>
        <v>306.27375999999998</v>
      </c>
      <c r="O388" s="1"/>
      <c r="P388" s="1"/>
      <c r="Q388" s="1"/>
      <c r="R388" s="1"/>
      <c r="S388" s="1"/>
    </row>
    <row r="389" spans="1:19" hidden="1" x14ac:dyDescent="0.4">
      <c r="A389" t="s">
        <v>1190</v>
      </c>
      <c r="B389" t="s">
        <v>1027</v>
      </c>
      <c r="C389" s="131">
        <v>40544</v>
      </c>
      <c r="D389" t="s">
        <v>1191</v>
      </c>
      <c r="F389" t="s">
        <v>645</v>
      </c>
      <c r="H389">
        <v>62.5</v>
      </c>
      <c r="J389" s="1">
        <v>399999.99</v>
      </c>
      <c r="K389" s="1"/>
      <c r="L389" s="1">
        <v>399999.99</v>
      </c>
      <c r="M389" s="1">
        <v>125000</v>
      </c>
      <c r="N389" s="1">
        <f t="shared" si="11"/>
        <v>6399.9998399999995</v>
      </c>
      <c r="O389" s="1"/>
      <c r="P389" s="1"/>
      <c r="Q389" s="1"/>
      <c r="R389" s="1"/>
      <c r="S389" s="1"/>
    </row>
    <row r="390" spans="1:19" hidden="1" x14ac:dyDescent="0.4">
      <c r="A390" t="s">
        <v>1192</v>
      </c>
      <c r="B390" t="s">
        <v>1027</v>
      </c>
      <c r="C390" s="131">
        <v>40704</v>
      </c>
      <c r="D390" t="s">
        <v>1193</v>
      </c>
      <c r="F390" t="s">
        <v>645</v>
      </c>
      <c r="H390">
        <v>62.5</v>
      </c>
      <c r="J390" s="1">
        <v>141642.38</v>
      </c>
      <c r="K390" s="1"/>
      <c r="L390" s="1">
        <v>141642.38</v>
      </c>
      <c r="M390" s="1">
        <v>44263.25</v>
      </c>
      <c r="N390" s="1">
        <f t="shared" si="11"/>
        <v>2266.27808</v>
      </c>
      <c r="O390" s="1"/>
      <c r="P390" s="1"/>
      <c r="Q390" s="1"/>
      <c r="R390" s="1"/>
      <c r="S390" s="1"/>
    </row>
    <row r="391" spans="1:19" hidden="1" x14ac:dyDescent="0.4">
      <c r="A391" t="s">
        <v>1194</v>
      </c>
      <c r="B391" t="s">
        <v>1027</v>
      </c>
      <c r="C391" s="131">
        <v>41122</v>
      </c>
      <c r="D391" t="s">
        <v>1195</v>
      </c>
      <c r="F391" t="s">
        <v>645</v>
      </c>
      <c r="H391">
        <v>62.5</v>
      </c>
      <c r="J391" s="1">
        <v>137537.89000000001</v>
      </c>
      <c r="K391" s="1"/>
      <c r="L391" s="1">
        <v>137537.89000000001</v>
      </c>
      <c r="M391" s="1">
        <v>39542.17</v>
      </c>
      <c r="N391" s="1">
        <f t="shared" si="11"/>
        <v>2200.6062400000001</v>
      </c>
      <c r="O391" s="1"/>
      <c r="P391" s="1"/>
      <c r="Q391" s="1"/>
      <c r="R391" s="1"/>
      <c r="S391" s="1"/>
    </row>
    <row r="392" spans="1:19" hidden="1" x14ac:dyDescent="0.4">
      <c r="A392" t="s">
        <v>1196</v>
      </c>
      <c r="B392" t="s">
        <v>1027</v>
      </c>
      <c r="C392" s="131">
        <v>41122</v>
      </c>
      <c r="D392" t="s">
        <v>1195</v>
      </c>
      <c r="F392" t="s">
        <v>645</v>
      </c>
      <c r="H392">
        <v>62.5</v>
      </c>
      <c r="J392" s="1">
        <v>5095.51</v>
      </c>
      <c r="K392" s="1"/>
      <c r="L392" s="1">
        <v>5095.51</v>
      </c>
      <c r="M392" s="1">
        <v>1464.98</v>
      </c>
      <c r="N392" s="1">
        <f t="shared" si="11"/>
        <v>81.52816</v>
      </c>
      <c r="O392" s="1"/>
      <c r="P392" s="1"/>
      <c r="Q392" s="1"/>
      <c r="R392" s="1"/>
      <c r="S392" s="1"/>
    </row>
    <row r="393" spans="1:19" hidden="1" x14ac:dyDescent="0.4">
      <c r="A393" t="s">
        <v>1197</v>
      </c>
      <c r="B393" t="s">
        <v>1027</v>
      </c>
      <c r="C393" s="131">
        <v>41045</v>
      </c>
      <c r="D393" t="s">
        <v>1198</v>
      </c>
      <c r="F393" t="s">
        <v>645</v>
      </c>
      <c r="H393">
        <v>62.5</v>
      </c>
      <c r="J393" s="1">
        <v>101628.4</v>
      </c>
      <c r="K393" s="1"/>
      <c r="L393" s="1">
        <v>101628.4</v>
      </c>
      <c r="M393" s="1">
        <v>29218.17</v>
      </c>
      <c r="N393" s="1">
        <f t="shared" si="11"/>
        <v>1626.0544</v>
      </c>
      <c r="O393" s="1"/>
      <c r="P393" s="1"/>
      <c r="Q393" s="1"/>
      <c r="R393" s="1"/>
      <c r="S393" s="1"/>
    </row>
    <row r="394" spans="1:19" hidden="1" x14ac:dyDescent="0.4">
      <c r="A394" t="s">
        <v>1199</v>
      </c>
      <c r="B394" t="s">
        <v>1027</v>
      </c>
      <c r="C394" s="131">
        <v>41045</v>
      </c>
      <c r="D394" t="s">
        <v>1200</v>
      </c>
      <c r="F394" t="s">
        <v>645</v>
      </c>
      <c r="H394">
        <v>62.5</v>
      </c>
      <c r="J394" s="1">
        <v>13332.32</v>
      </c>
      <c r="K394" s="1"/>
      <c r="L394" s="1">
        <v>13332.32</v>
      </c>
      <c r="M394" s="1">
        <v>3833.06</v>
      </c>
      <c r="N394" s="1">
        <f t="shared" si="11"/>
        <v>213.31711999999999</v>
      </c>
      <c r="O394" s="1"/>
      <c r="P394" s="1"/>
      <c r="Q394" s="1"/>
      <c r="R394" s="1"/>
      <c r="S394" s="1"/>
    </row>
    <row r="395" spans="1:19" hidden="1" x14ac:dyDescent="0.4">
      <c r="A395" t="s">
        <v>1201</v>
      </c>
      <c r="B395" t="s">
        <v>1027</v>
      </c>
      <c r="C395" s="131">
        <v>41045</v>
      </c>
      <c r="D395" t="s">
        <v>1202</v>
      </c>
      <c r="F395" t="s">
        <v>645</v>
      </c>
      <c r="H395">
        <v>62.5</v>
      </c>
      <c r="J395" s="1">
        <v>13885</v>
      </c>
      <c r="K395" s="1"/>
      <c r="L395" s="1">
        <v>13885</v>
      </c>
      <c r="M395" s="1">
        <v>3991.94</v>
      </c>
      <c r="N395" s="1">
        <f t="shared" si="11"/>
        <v>222.16</v>
      </c>
      <c r="O395" s="1"/>
      <c r="P395" s="1"/>
      <c r="Q395" s="1"/>
      <c r="R395" s="1"/>
      <c r="S395" s="1"/>
    </row>
    <row r="396" spans="1:19" hidden="1" x14ac:dyDescent="0.4">
      <c r="A396" t="s">
        <v>1203</v>
      </c>
      <c r="B396" t="s">
        <v>1027</v>
      </c>
      <c r="C396" s="131">
        <v>41045</v>
      </c>
      <c r="D396" t="s">
        <v>1204</v>
      </c>
      <c r="F396" t="s">
        <v>645</v>
      </c>
      <c r="H396">
        <v>62.5</v>
      </c>
      <c r="J396" s="1">
        <v>31492</v>
      </c>
      <c r="K396" s="1"/>
      <c r="L396" s="1">
        <v>31492</v>
      </c>
      <c r="M396" s="1">
        <v>9053.9500000000007</v>
      </c>
      <c r="N396" s="1">
        <f t="shared" si="11"/>
        <v>503.87200000000001</v>
      </c>
      <c r="O396" s="1"/>
      <c r="P396" s="1"/>
      <c r="Q396" s="1"/>
      <c r="R396" s="1"/>
      <c r="S396" s="1"/>
    </row>
    <row r="397" spans="1:19" hidden="1" x14ac:dyDescent="0.4">
      <c r="A397" t="s">
        <v>1205</v>
      </c>
      <c r="B397" t="s">
        <v>1027</v>
      </c>
      <c r="C397" s="131">
        <v>41045</v>
      </c>
      <c r="D397" t="s">
        <v>1206</v>
      </c>
      <c r="F397" t="s">
        <v>645</v>
      </c>
      <c r="H397">
        <v>62.5</v>
      </c>
      <c r="J397" s="1">
        <v>564326.64</v>
      </c>
      <c r="K397" s="1"/>
      <c r="L397" s="1">
        <v>564326.64</v>
      </c>
      <c r="M397" s="1">
        <v>162243.93</v>
      </c>
      <c r="N397" s="1">
        <f t="shared" si="11"/>
        <v>9029.22624</v>
      </c>
      <c r="O397" s="1"/>
      <c r="P397" s="1"/>
      <c r="Q397" s="1"/>
      <c r="R397" s="1"/>
      <c r="S397" s="1"/>
    </row>
    <row r="398" spans="1:19" hidden="1" x14ac:dyDescent="0.4">
      <c r="A398" t="s">
        <v>1207</v>
      </c>
      <c r="B398" t="s">
        <v>1027</v>
      </c>
      <c r="C398" s="131">
        <v>40909</v>
      </c>
      <c r="D398" t="s">
        <v>1208</v>
      </c>
      <c r="F398" t="s">
        <v>645</v>
      </c>
      <c r="H398">
        <v>62.5</v>
      </c>
      <c r="J398" s="1">
        <v>1128542</v>
      </c>
      <c r="K398" s="1"/>
      <c r="L398" s="1">
        <v>1128542</v>
      </c>
      <c r="M398" s="1">
        <v>324455.83</v>
      </c>
      <c r="N398" s="1">
        <f t="shared" si="11"/>
        <v>18056.671999999999</v>
      </c>
      <c r="O398" s="1"/>
      <c r="P398" s="1"/>
      <c r="Q398" s="1"/>
      <c r="R398" s="1"/>
      <c r="S398" s="1"/>
    </row>
    <row r="399" spans="1:19" hidden="1" x14ac:dyDescent="0.4">
      <c r="A399" t="s">
        <v>1209</v>
      </c>
      <c r="B399" t="s">
        <v>1027</v>
      </c>
      <c r="C399" s="131">
        <v>41640</v>
      </c>
      <c r="D399" t="s">
        <v>1210</v>
      </c>
      <c r="F399" t="s">
        <v>645</v>
      </c>
      <c r="H399">
        <v>62.5</v>
      </c>
      <c r="J399" s="1">
        <v>11832.23</v>
      </c>
      <c r="K399" s="1"/>
      <c r="L399" s="1">
        <v>11832.23</v>
      </c>
      <c r="M399" s="1">
        <v>2810.18</v>
      </c>
      <c r="N399" s="1">
        <f t="shared" si="11"/>
        <v>189.31567999999999</v>
      </c>
      <c r="O399" s="1"/>
      <c r="P399" s="1"/>
      <c r="Q399" s="1"/>
      <c r="R399" s="1"/>
      <c r="S399" s="1"/>
    </row>
    <row r="400" spans="1:19" hidden="1" x14ac:dyDescent="0.4">
      <c r="A400" t="s">
        <v>1211</v>
      </c>
      <c r="B400" t="s">
        <v>1027</v>
      </c>
      <c r="C400" s="131">
        <v>42019</v>
      </c>
      <c r="D400" t="s">
        <v>1212</v>
      </c>
      <c r="F400" t="s">
        <v>645</v>
      </c>
      <c r="H400">
        <v>62.5</v>
      </c>
      <c r="J400" s="1">
        <v>413908.69</v>
      </c>
      <c r="K400" s="1"/>
      <c r="L400" s="1">
        <v>413908.69</v>
      </c>
      <c r="M400" s="1">
        <v>59602.86</v>
      </c>
      <c r="N400" s="1">
        <f t="shared" si="11"/>
        <v>6622.5390399999997</v>
      </c>
      <c r="O400" s="1"/>
      <c r="P400" s="1"/>
      <c r="Q400" s="1"/>
      <c r="R400" s="1"/>
      <c r="S400" s="1"/>
    </row>
    <row r="401" spans="1:19" hidden="1" x14ac:dyDescent="0.4">
      <c r="A401" t="s">
        <v>1213</v>
      </c>
      <c r="B401" t="s">
        <v>1027</v>
      </c>
      <c r="C401" s="131">
        <v>42019</v>
      </c>
      <c r="D401" t="s">
        <v>1214</v>
      </c>
      <c r="F401" t="s">
        <v>645</v>
      </c>
      <c r="H401">
        <v>62.5</v>
      </c>
      <c r="J401" s="1">
        <v>100000</v>
      </c>
      <c r="K401" s="1"/>
      <c r="L401" s="1">
        <v>100000</v>
      </c>
      <c r="M401" s="1">
        <v>14400</v>
      </c>
      <c r="N401" s="1">
        <f t="shared" si="11"/>
        <v>1600</v>
      </c>
      <c r="O401" s="1"/>
      <c r="P401" s="1"/>
      <c r="Q401" s="1"/>
      <c r="R401" s="1"/>
      <c r="S401" s="1"/>
    </row>
    <row r="402" spans="1:19" hidden="1" x14ac:dyDescent="0.4">
      <c r="A402" t="s">
        <v>1215</v>
      </c>
      <c r="B402" t="s">
        <v>1027</v>
      </c>
      <c r="C402" s="131">
        <v>42567</v>
      </c>
      <c r="F402" t="s">
        <v>645</v>
      </c>
      <c r="H402">
        <v>62.5</v>
      </c>
      <c r="J402" s="1">
        <v>445751.46</v>
      </c>
      <c r="K402" s="1"/>
      <c r="L402" s="1">
        <v>445751.46</v>
      </c>
      <c r="M402" s="1">
        <v>52895.82</v>
      </c>
      <c r="N402" s="1">
        <f t="shared" si="11"/>
        <v>7132.0233600000001</v>
      </c>
      <c r="O402" s="1"/>
      <c r="P402" s="1"/>
      <c r="Q402" s="1"/>
      <c r="R402" s="1"/>
      <c r="S402" s="1"/>
    </row>
    <row r="403" spans="1:19" hidden="1" x14ac:dyDescent="0.4">
      <c r="A403" t="s">
        <v>1216</v>
      </c>
      <c r="B403" t="s">
        <v>1027</v>
      </c>
      <c r="C403" s="131">
        <v>42370</v>
      </c>
      <c r="D403" t="s">
        <v>1217</v>
      </c>
      <c r="F403" t="s">
        <v>645</v>
      </c>
      <c r="H403">
        <v>62.5</v>
      </c>
      <c r="J403" s="1">
        <v>52000</v>
      </c>
      <c r="K403" s="1"/>
      <c r="L403" s="1">
        <v>52000</v>
      </c>
      <c r="M403" s="1">
        <v>6656</v>
      </c>
      <c r="N403" s="1">
        <f t="shared" si="11"/>
        <v>832</v>
      </c>
      <c r="O403" s="1"/>
      <c r="P403" s="1"/>
      <c r="Q403" s="1"/>
      <c r="R403" s="1"/>
      <c r="S403" s="1"/>
    </row>
    <row r="404" spans="1:19" hidden="1" x14ac:dyDescent="0.4">
      <c r="A404" t="s">
        <v>1218</v>
      </c>
      <c r="B404" t="s">
        <v>1027</v>
      </c>
      <c r="C404" s="131">
        <v>42370</v>
      </c>
      <c r="D404" t="s">
        <v>1219</v>
      </c>
      <c r="F404" t="s">
        <v>645</v>
      </c>
      <c r="H404">
        <v>62.5</v>
      </c>
      <c r="J404" s="1">
        <v>52495.82</v>
      </c>
      <c r="K404" s="1"/>
      <c r="L404" s="1">
        <v>52495.82</v>
      </c>
      <c r="M404" s="1">
        <v>6719.44</v>
      </c>
      <c r="N404" s="1">
        <f t="shared" si="11"/>
        <v>839.93312000000003</v>
      </c>
      <c r="O404" s="1"/>
      <c r="P404" s="1"/>
      <c r="Q404" s="1"/>
      <c r="R404" s="1"/>
      <c r="S404" s="1"/>
    </row>
    <row r="405" spans="1:19" hidden="1" x14ac:dyDescent="0.4">
      <c r="A405" t="s">
        <v>1220</v>
      </c>
      <c r="B405" t="s">
        <v>1027</v>
      </c>
      <c r="C405" s="131">
        <v>42370</v>
      </c>
      <c r="D405" t="s">
        <v>1221</v>
      </c>
      <c r="F405" t="s">
        <v>645</v>
      </c>
      <c r="H405">
        <v>62.5</v>
      </c>
      <c r="J405" s="1">
        <v>261434.21</v>
      </c>
      <c r="K405" s="1"/>
      <c r="L405" s="1">
        <v>261434.21</v>
      </c>
      <c r="M405" s="1">
        <v>33463.599999999999</v>
      </c>
      <c r="N405" s="1">
        <f t="shared" si="11"/>
        <v>4182.9473600000001</v>
      </c>
      <c r="O405" s="1"/>
      <c r="P405" s="1"/>
      <c r="Q405" s="1"/>
      <c r="R405" s="1"/>
      <c r="S405" s="1"/>
    </row>
    <row r="406" spans="1:19" hidden="1" x14ac:dyDescent="0.4">
      <c r="A406" t="s">
        <v>1222</v>
      </c>
      <c r="B406" t="s">
        <v>1027</v>
      </c>
      <c r="C406" s="131">
        <v>42993</v>
      </c>
      <c r="D406" t="s">
        <v>1223</v>
      </c>
      <c r="F406" t="s">
        <v>645</v>
      </c>
      <c r="H406">
        <v>62.5</v>
      </c>
      <c r="J406" s="1">
        <v>72001.36</v>
      </c>
      <c r="K406" s="1"/>
      <c r="L406" s="1">
        <v>72001.36</v>
      </c>
      <c r="M406" s="1">
        <v>7296.13</v>
      </c>
      <c r="N406" s="1">
        <f t="shared" si="11"/>
        <v>1152.0217600000001</v>
      </c>
      <c r="O406" s="1"/>
      <c r="P406" s="1"/>
      <c r="Q406" s="1"/>
      <c r="R406" s="1"/>
      <c r="S406" s="1"/>
    </row>
    <row r="407" spans="1:19" hidden="1" x14ac:dyDescent="0.4">
      <c r="A407" t="s">
        <v>1224</v>
      </c>
      <c r="B407" t="s">
        <v>1027</v>
      </c>
      <c r="C407" s="131">
        <v>42736</v>
      </c>
      <c r="D407" t="s">
        <v>1225</v>
      </c>
      <c r="F407" t="s">
        <v>645</v>
      </c>
      <c r="H407">
        <v>62.5</v>
      </c>
      <c r="J407" s="1">
        <v>26814.3</v>
      </c>
      <c r="K407" s="1"/>
      <c r="L407" s="1">
        <v>26814.3</v>
      </c>
      <c r="M407" s="1">
        <v>3003.21</v>
      </c>
      <c r="N407" s="1">
        <f t="shared" si="11"/>
        <v>429.02879999999999</v>
      </c>
      <c r="O407" s="1"/>
      <c r="P407" s="1"/>
      <c r="Q407" s="1"/>
      <c r="R407" s="1"/>
      <c r="S407" s="1"/>
    </row>
    <row r="408" spans="1:19" hidden="1" x14ac:dyDescent="0.4">
      <c r="A408" t="s">
        <v>1226</v>
      </c>
      <c r="B408" t="s">
        <v>1027</v>
      </c>
      <c r="C408" s="131">
        <v>42917</v>
      </c>
      <c r="D408" t="s">
        <v>1227</v>
      </c>
      <c r="F408" t="s">
        <v>645</v>
      </c>
      <c r="H408">
        <v>62.5</v>
      </c>
      <c r="J408" s="1">
        <v>1186783.26</v>
      </c>
      <c r="K408" s="1"/>
      <c r="L408" s="1">
        <v>1186783.26</v>
      </c>
      <c r="M408" s="1">
        <v>123425.45</v>
      </c>
      <c r="N408" s="1">
        <f t="shared" si="11"/>
        <v>18988.532159999999</v>
      </c>
      <c r="O408" s="1"/>
      <c r="P408" s="1"/>
      <c r="Q408" s="1"/>
      <c r="R408" s="1"/>
      <c r="S408" s="1"/>
    </row>
    <row r="409" spans="1:19" hidden="1" x14ac:dyDescent="0.4">
      <c r="A409" t="s">
        <v>1228</v>
      </c>
      <c r="B409" t="s">
        <v>1027</v>
      </c>
      <c r="C409" s="131">
        <v>42736</v>
      </c>
      <c r="D409" t="s">
        <v>1229</v>
      </c>
      <c r="F409" t="s">
        <v>645</v>
      </c>
      <c r="H409">
        <v>62.5</v>
      </c>
      <c r="J409" s="1">
        <v>32108</v>
      </c>
      <c r="K409" s="1"/>
      <c r="L409" s="1">
        <v>32108</v>
      </c>
      <c r="M409" s="1">
        <v>3596.11</v>
      </c>
      <c r="N409" s="1">
        <f t="shared" si="11"/>
        <v>513.72799999999995</v>
      </c>
      <c r="O409" s="1"/>
      <c r="P409" s="1"/>
      <c r="Q409" s="1"/>
      <c r="R409" s="1"/>
      <c r="S409" s="1"/>
    </row>
    <row r="410" spans="1:19" hidden="1" x14ac:dyDescent="0.4">
      <c r="A410" t="s">
        <v>1230</v>
      </c>
      <c r="B410" t="s">
        <v>1027</v>
      </c>
      <c r="C410" s="131">
        <v>42767</v>
      </c>
      <c r="D410" t="s">
        <v>1231</v>
      </c>
      <c r="F410" t="s">
        <v>645</v>
      </c>
      <c r="H410">
        <v>62.5</v>
      </c>
      <c r="J410" s="1">
        <v>68605.399999999994</v>
      </c>
      <c r="K410" s="1"/>
      <c r="L410" s="1">
        <v>68605.399999999994</v>
      </c>
      <c r="M410" s="1">
        <v>7592.35</v>
      </c>
      <c r="N410" s="1">
        <f t="shared" si="11"/>
        <v>1097.6863999999998</v>
      </c>
      <c r="O410" s="1"/>
      <c r="P410" s="1"/>
      <c r="Q410" s="1"/>
      <c r="R410" s="1"/>
      <c r="S410" s="1"/>
    </row>
    <row r="411" spans="1:19" hidden="1" x14ac:dyDescent="0.4">
      <c r="A411" t="s">
        <v>1232</v>
      </c>
      <c r="B411" t="s">
        <v>1027</v>
      </c>
      <c r="C411" s="131">
        <v>42780</v>
      </c>
      <c r="D411" t="s">
        <v>1233</v>
      </c>
      <c r="F411" t="s">
        <v>645</v>
      </c>
      <c r="H411">
        <v>62.5</v>
      </c>
      <c r="J411" s="1">
        <v>192644.3</v>
      </c>
      <c r="K411" s="1"/>
      <c r="L411" s="1">
        <v>192644.3</v>
      </c>
      <c r="M411" s="1">
        <v>21319.31</v>
      </c>
      <c r="N411" s="1">
        <f t="shared" si="11"/>
        <v>3082.3087999999998</v>
      </c>
      <c r="O411" s="1"/>
      <c r="P411" s="1"/>
      <c r="Q411" s="1"/>
      <c r="R411" s="1"/>
      <c r="S411" s="1"/>
    </row>
    <row r="412" spans="1:19" hidden="1" x14ac:dyDescent="0.4">
      <c r="A412" t="s">
        <v>1234</v>
      </c>
      <c r="B412" t="s">
        <v>1027</v>
      </c>
      <c r="C412" s="131">
        <v>42887</v>
      </c>
      <c r="D412" t="s">
        <v>1235</v>
      </c>
      <c r="F412" t="s">
        <v>645</v>
      </c>
      <c r="H412">
        <v>62.5</v>
      </c>
      <c r="J412" s="1">
        <v>27303</v>
      </c>
      <c r="K412" s="1"/>
      <c r="L412" s="1">
        <v>27303</v>
      </c>
      <c r="M412" s="1">
        <v>2875.93</v>
      </c>
      <c r="N412" s="1">
        <f t="shared" si="11"/>
        <v>436.84800000000001</v>
      </c>
      <c r="O412" s="1"/>
      <c r="P412" s="1"/>
      <c r="Q412" s="1"/>
      <c r="R412" s="1"/>
      <c r="S412" s="1"/>
    </row>
    <row r="413" spans="1:19" hidden="1" x14ac:dyDescent="0.4">
      <c r="A413" t="s">
        <v>1236</v>
      </c>
      <c r="B413" t="s">
        <v>1027</v>
      </c>
      <c r="C413" s="131">
        <v>42736</v>
      </c>
      <c r="D413" t="s">
        <v>1237</v>
      </c>
      <c r="F413" t="s">
        <v>645</v>
      </c>
      <c r="H413">
        <v>62.5</v>
      </c>
      <c r="J413" s="1">
        <v>92827.839999999997</v>
      </c>
      <c r="K413" s="1"/>
      <c r="L413" s="1">
        <v>92827.839999999997</v>
      </c>
      <c r="M413" s="1">
        <v>10396.75</v>
      </c>
      <c r="N413" s="1">
        <f t="shared" si="11"/>
        <v>1485.2454399999999</v>
      </c>
      <c r="O413" s="1"/>
      <c r="P413" s="1"/>
      <c r="Q413" s="1"/>
      <c r="R413" s="1"/>
      <c r="S413" s="1"/>
    </row>
    <row r="414" spans="1:19" hidden="1" x14ac:dyDescent="0.4">
      <c r="A414" t="s">
        <v>1238</v>
      </c>
      <c r="B414" t="s">
        <v>1027</v>
      </c>
      <c r="C414" s="131">
        <v>42942</v>
      </c>
      <c r="D414" t="s">
        <v>1239</v>
      </c>
      <c r="F414" t="s">
        <v>645</v>
      </c>
      <c r="H414">
        <v>62.5</v>
      </c>
      <c r="J414" s="1">
        <v>50452.800000000003</v>
      </c>
      <c r="K414" s="1"/>
      <c r="L414" s="1">
        <v>50452.800000000003</v>
      </c>
      <c r="M414" s="1">
        <v>5179.79</v>
      </c>
      <c r="N414" s="1">
        <f t="shared" si="11"/>
        <v>807.24480000000005</v>
      </c>
      <c r="O414" s="1"/>
      <c r="P414" s="1"/>
      <c r="Q414" s="1"/>
      <c r="R414" s="1"/>
      <c r="S414" s="1"/>
    </row>
    <row r="415" spans="1:19" hidden="1" x14ac:dyDescent="0.4">
      <c r="A415" t="s">
        <v>1240</v>
      </c>
      <c r="B415" t="s">
        <v>1027</v>
      </c>
      <c r="C415" s="131">
        <v>43335</v>
      </c>
      <c r="D415" t="s">
        <v>1241</v>
      </c>
      <c r="F415" t="s">
        <v>645</v>
      </c>
      <c r="H415">
        <v>62.5</v>
      </c>
      <c r="J415" s="1">
        <v>49098</v>
      </c>
      <c r="K415" s="1"/>
      <c r="L415" s="1">
        <v>49098</v>
      </c>
      <c r="M415" s="1">
        <v>4189.71</v>
      </c>
      <c r="N415" s="1">
        <f t="shared" si="11"/>
        <v>785.56799999999998</v>
      </c>
      <c r="O415" s="1"/>
      <c r="P415" s="1"/>
      <c r="Q415" s="1"/>
      <c r="R415" s="1"/>
      <c r="S415" s="1"/>
    </row>
    <row r="416" spans="1:19" hidden="1" x14ac:dyDescent="0.4">
      <c r="A416" t="s">
        <v>1242</v>
      </c>
      <c r="B416" t="s">
        <v>1027</v>
      </c>
      <c r="C416" s="131">
        <v>43341</v>
      </c>
      <c r="D416" t="s">
        <v>1243</v>
      </c>
      <c r="F416" t="s">
        <v>645</v>
      </c>
      <c r="H416">
        <v>62.5</v>
      </c>
      <c r="J416" s="1">
        <v>12225</v>
      </c>
      <c r="K416" s="1"/>
      <c r="L416" s="1">
        <v>12225</v>
      </c>
      <c r="M416" s="1">
        <v>1043.2</v>
      </c>
      <c r="N416" s="1">
        <f t="shared" si="11"/>
        <v>195.6</v>
      </c>
      <c r="O416" s="1"/>
      <c r="P416" s="1"/>
      <c r="Q416" s="1"/>
      <c r="R416" s="1"/>
      <c r="S416" s="1"/>
    </row>
    <row r="417" spans="1:19" hidden="1" x14ac:dyDescent="0.4">
      <c r="A417" t="s">
        <v>1244</v>
      </c>
      <c r="B417" t="s">
        <v>1027</v>
      </c>
      <c r="C417" s="131">
        <v>43445</v>
      </c>
      <c r="D417" t="s">
        <v>796</v>
      </c>
      <c r="F417" t="s">
        <v>645</v>
      </c>
      <c r="H417">
        <v>62.5</v>
      </c>
      <c r="J417" s="1">
        <v>12150</v>
      </c>
      <c r="K417" s="1"/>
      <c r="L417" s="1">
        <v>12150</v>
      </c>
      <c r="M417" s="1">
        <v>988.2</v>
      </c>
      <c r="N417" s="1">
        <f t="shared" si="11"/>
        <v>194.4</v>
      </c>
      <c r="O417" s="1"/>
      <c r="P417" s="1"/>
      <c r="Q417" s="1"/>
      <c r="R417" s="1"/>
      <c r="S417" s="1"/>
    </row>
    <row r="418" spans="1:19" hidden="1" x14ac:dyDescent="0.4">
      <c r="A418" t="s">
        <v>1245</v>
      </c>
      <c r="B418" t="s">
        <v>1027</v>
      </c>
      <c r="C418" s="131">
        <v>43406</v>
      </c>
      <c r="D418" t="s">
        <v>1246</v>
      </c>
      <c r="F418" t="s">
        <v>645</v>
      </c>
      <c r="H418">
        <v>62.5</v>
      </c>
      <c r="J418" s="1">
        <v>15600</v>
      </c>
      <c r="K418" s="1"/>
      <c r="L418" s="1">
        <v>15600</v>
      </c>
      <c r="M418" s="1">
        <v>1289.5999999999999</v>
      </c>
      <c r="N418" s="1">
        <f t="shared" si="11"/>
        <v>249.6</v>
      </c>
      <c r="O418" s="1"/>
      <c r="P418" s="1"/>
      <c r="Q418" s="1"/>
      <c r="R418" s="1"/>
      <c r="S418" s="1"/>
    </row>
    <row r="419" spans="1:19" hidden="1" x14ac:dyDescent="0.4">
      <c r="A419" t="s">
        <v>1247</v>
      </c>
      <c r="B419" t="s">
        <v>1027</v>
      </c>
      <c r="C419" s="131">
        <v>43249</v>
      </c>
      <c r="D419" t="s">
        <v>1248</v>
      </c>
      <c r="F419" t="s">
        <v>645</v>
      </c>
      <c r="H419">
        <v>62.5</v>
      </c>
      <c r="J419" s="1">
        <v>508299.22</v>
      </c>
      <c r="K419" s="1"/>
      <c r="L419" s="1">
        <v>508299.22</v>
      </c>
      <c r="M419" s="1">
        <v>45408.07</v>
      </c>
      <c r="N419" s="1">
        <f t="shared" si="11"/>
        <v>8132.7875199999999</v>
      </c>
      <c r="O419" s="1"/>
      <c r="P419" s="1"/>
      <c r="Q419" s="1"/>
      <c r="R419" s="1"/>
      <c r="S419" s="1"/>
    </row>
    <row r="420" spans="1:19" hidden="1" x14ac:dyDescent="0.4">
      <c r="A420" t="s">
        <v>1249</v>
      </c>
      <c r="B420" t="s">
        <v>1027</v>
      </c>
      <c r="C420" s="131">
        <v>43119</v>
      </c>
      <c r="D420" t="s">
        <v>1250</v>
      </c>
      <c r="F420" t="s">
        <v>645</v>
      </c>
      <c r="H420">
        <v>62.5</v>
      </c>
      <c r="J420" s="1">
        <v>908104.6</v>
      </c>
      <c r="K420" s="1"/>
      <c r="L420" s="1">
        <v>908104.6</v>
      </c>
      <c r="M420" s="1">
        <v>85967.22</v>
      </c>
      <c r="N420" s="1">
        <f t="shared" si="11"/>
        <v>14529.6736</v>
      </c>
      <c r="O420" s="1"/>
      <c r="P420" s="1"/>
      <c r="Q420" s="1"/>
      <c r="R420" s="1"/>
      <c r="S420" s="1"/>
    </row>
    <row r="421" spans="1:19" hidden="1" x14ac:dyDescent="0.4">
      <c r="A421" t="s">
        <v>1251</v>
      </c>
      <c r="B421" t="s">
        <v>1027</v>
      </c>
      <c r="C421" s="131">
        <v>43119</v>
      </c>
      <c r="D421" t="s">
        <v>1252</v>
      </c>
      <c r="F421" t="s">
        <v>645</v>
      </c>
      <c r="H421">
        <v>62.5</v>
      </c>
      <c r="J421" s="1">
        <v>1147927.8</v>
      </c>
      <c r="K421" s="1"/>
      <c r="L421" s="1">
        <v>1147927.8</v>
      </c>
      <c r="M421" s="1">
        <v>108670.48</v>
      </c>
      <c r="N421" s="1">
        <f t="shared" si="11"/>
        <v>18366.844799999999</v>
      </c>
      <c r="O421" s="1"/>
      <c r="P421" s="1"/>
      <c r="Q421" s="1"/>
      <c r="R421" s="1"/>
      <c r="S421" s="1"/>
    </row>
    <row r="422" spans="1:19" hidden="1" x14ac:dyDescent="0.4">
      <c r="A422" t="s">
        <v>1253</v>
      </c>
      <c r="B422" t="s">
        <v>1027</v>
      </c>
      <c r="C422" s="131">
        <v>43767</v>
      </c>
      <c r="D422" t="s">
        <v>1254</v>
      </c>
      <c r="F422" t="s">
        <v>645</v>
      </c>
      <c r="H422">
        <v>62.5</v>
      </c>
      <c r="J422" s="1">
        <v>9374.81</v>
      </c>
      <c r="K422" s="1"/>
      <c r="L422" s="1">
        <v>9374.81</v>
      </c>
      <c r="M422" s="1">
        <v>625</v>
      </c>
      <c r="N422" s="1">
        <f t="shared" si="11"/>
        <v>149.99696</v>
      </c>
      <c r="O422" s="1"/>
      <c r="P422" s="1"/>
      <c r="Q422" s="1"/>
      <c r="R422" s="1"/>
      <c r="S422" s="1"/>
    </row>
    <row r="423" spans="1:19" hidden="1" x14ac:dyDescent="0.4">
      <c r="A423" t="s">
        <v>1255</v>
      </c>
      <c r="B423" t="s">
        <v>1027</v>
      </c>
      <c r="C423" s="131">
        <v>43466</v>
      </c>
      <c r="D423" t="s">
        <v>1256</v>
      </c>
      <c r="F423" t="s">
        <v>645</v>
      </c>
      <c r="H423">
        <v>62.5</v>
      </c>
      <c r="J423" s="1">
        <v>93111</v>
      </c>
      <c r="K423" s="1"/>
      <c r="L423" s="1">
        <v>93111</v>
      </c>
      <c r="M423" s="1">
        <v>7448.9</v>
      </c>
      <c r="N423" s="1">
        <f t="shared" si="11"/>
        <v>1489.7760000000001</v>
      </c>
      <c r="O423" s="1"/>
      <c r="P423" s="1"/>
      <c r="Q423" s="1"/>
      <c r="R423" s="1"/>
      <c r="S423" s="1"/>
    </row>
    <row r="424" spans="1:19" hidden="1" x14ac:dyDescent="0.4">
      <c r="A424" t="s">
        <v>1257</v>
      </c>
      <c r="B424" t="s">
        <v>1027</v>
      </c>
      <c r="C424" s="131">
        <v>43732</v>
      </c>
      <c r="D424" t="s">
        <v>1258</v>
      </c>
      <c r="F424" t="s">
        <v>645</v>
      </c>
      <c r="H424">
        <v>62.5</v>
      </c>
      <c r="J424" s="1">
        <v>108958</v>
      </c>
      <c r="K424" s="1"/>
      <c r="L424" s="1">
        <v>108958</v>
      </c>
      <c r="M424" s="1">
        <v>7409.15</v>
      </c>
      <c r="N424" s="1">
        <f t="shared" si="11"/>
        <v>1743.328</v>
      </c>
      <c r="O424" s="1"/>
      <c r="P424" s="1"/>
      <c r="Q424" s="1"/>
      <c r="R424" s="1"/>
      <c r="S424" s="1"/>
    </row>
    <row r="425" spans="1:19" hidden="1" x14ac:dyDescent="0.4">
      <c r="A425" t="s">
        <v>1259</v>
      </c>
      <c r="B425" t="s">
        <v>1027</v>
      </c>
      <c r="C425" s="131">
        <v>43466</v>
      </c>
      <c r="D425" t="s">
        <v>1260</v>
      </c>
      <c r="F425" t="s">
        <v>645</v>
      </c>
      <c r="H425">
        <v>62.5</v>
      </c>
      <c r="J425" s="1">
        <v>35617.42</v>
      </c>
      <c r="K425" s="1"/>
      <c r="L425" s="1">
        <v>35617.42</v>
      </c>
      <c r="M425" s="1">
        <v>2849.4</v>
      </c>
      <c r="N425" s="1">
        <f t="shared" si="11"/>
        <v>569.87871999999993</v>
      </c>
      <c r="O425" s="1"/>
      <c r="P425" s="1"/>
      <c r="Q425" s="1"/>
      <c r="R425" s="1"/>
      <c r="S425" s="1"/>
    </row>
    <row r="426" spans="1:19" hidden="1" x14ac:dyDescent="0.4">
      <c r="A426" t="s">
        <v>1261</v>
      </c>
      <c r="B426" t="s">
        <v>1027</v>
      </c>
      <c r="C426" s="131">
        <v>43617</v>
      </c>
      <c r="D426" t="s">
        <v>1262</v>
      </c>
      <c r="F426" t="s">
        <v>645</v>
      </c>
      <c r="H426">
        <v>62.5</v>
      </c>
      <c r="J426" s="1">
        <v>51021.05</v>
      </c>
      <c r="K426" s="1"/>
      <c r="L426" s="1">
        <v>51021.05</v>
      </c>
      <c r="M426" s="1">
        <v>3741.56</v>
      </c>
      <c r="N426" s="1">
        <f t="shared" si="11"/>
        <v>816.33680000000004</v>
      </c>
      <c r="O426" s="1"/>
      <c r="P426" s="1"/>
      <c r="Q426" s="1"/>
      <c r="R426" s="1"/>
      <c r="S426" s="1"/>
    </row>
    <row r="427" spans="1:19" hidden="1" x14ac:dyDescent="0.4">
      <c r="A427" t="s">
        <v>1263</v>
      </c>
      <c r="B427" t="s">
        <v>1027</v>
      </c>
      <c r="C427" s="131">
        <v>43529</v>
      </c>
      <c r="D427" t="s">
        <v>1264</v>
      </c>
      <c r="F427" t="s">
        <v>645</v>
      </c>
      <c r="H427">
        <v>62.5</v>
      </c>
      <c r="J427" s="1">
        <v>54242.99</v>
      </c>
      <c r="K427" s="1"/>
      <c r="L427" s="1">
        <v>54242.99</v>
      </c>
      <c r="M427" s="1">
        <v>4194.8</v>
      </c>
      <c r="N427" s="1">
        <f t="shared" si="11"/>
        <v>867.88783999999998</v>
      </c>
      <c r="O427" s="1"/>
      <c r="P427" s="1"/>
      <c r="Q427" s="1"/>
      <c r="R427" s="1"/>
      <c r="S427" s="1"/>
    </row>
    <row r="428" spans="1:19" hidden="1" x14ac:dyDescent="0.4">
      <c r="A428" t="s">
        <v>1265</v>
      </c>
      <c r="B428" t="s">
        <v>1027</v>
      </c>
      <c r="C428" s="131">
        <v>43542</v>
      </c>
      <c r="D428" t="s">
        <v>1266</v>
      </c>
      <c r="F428" t="s">
        <v>645</v>
      </c>
      <c r="H428">
        <v>62.5</v>
      </c>
      <c r="J428" s="1">
        <v>34925.86</v>
      </c>
      <c r="K428" s="1"/>
      <c r="L428" s="1">
        <v>34925.86</v>
      </c>
      <c r="M428" s="1">
        <v>2654.35</v>
      </c>
      <c r="N428" s="1">
        <f t="shared" si="11"/>
        <v>558.81376</v>
      </c>
      <c r="O428" s="1"/>
      <c r="P428" s="1"/>
      <c r="Q428" s="1"/>
      <c r="R428" s="1"/>
      <c r="S428" s="1"/>
    </row>
    <row r="429" spans="1:19" hidden="1" x14ac:dyDescent="0.4">
      <c r="A429" t="s">
        <v>1267</v>
      </c>
      <c r="B429" t="s">
        <v>1027</v>
      </c>
      <c r="C429" s="131">
        <v>44172</v>
      </c>
      <c r="D429" t="s">
        <v>1119</v>
      </c>
      <c r="F429" t="s">
        <v>645</v>
      </c>
      <c r="H429">
        <v>62.5</v>
      </c>
      <c r="J429" s="1">
        <v>31886.57</v>
      </c>
      <c r="K429" s="1"/>
      <c r="L429" s="1">
        <v>31886.57</v>
      </c>
      <c r="M429" s="1">
        <v>1573.09</v>
      </c>
      <c r="N429" s="1">
        <f t="shared" si="11"/>
        <v>510.18511999999998</v>
      </c>
      <c r="O429" s="1"/>
      <c r="P429" s="1"/>
      <c r="Q429" s="1"/>
      <c r="R429" s="1"/>
      <c r="S429" s="1"/>
    </row>
    <row r="430" spans="1:19" hidden="1" x14ac:dyDescent="0.4">
      <c r="A430" t="s">
        <v>1268</v>
      </c>
      <c r="B430" t="s">
        <v>1027</v>
      </c>
      <c r="C430" s="131">
        <v>44039</v>
      </c>
      <c r="D430" t="s">
        <v>1269</v>
      </c>
      <c r="F430" t="s">
        <v>645</v>
      </c>
      <c r="H430">
        <v>62.5</v>
      </c>
      <c r="J430" s="1">
        <v>80361</v>
      </c>
      <c r="K430" s="1"/>
      <c r="L430" s="1">
        <v>80361</v>
      </c>
      <c r="M430" s="1">
        <v>4393.08</v>
      </c>
      <c r="N430" s="1">
        <f t="shared" si="11"/>
        <v>1285.7760000000001</v>
      </c>
      <c r="O430" s="1"/>
      <c r="P430" s="1"/>
      <c r="Q430" s="1"/>
      <c r="R430" s="1"/>
      <c r="S430" s="1"/>
    </row>
    <row r="431" spans="1:19" hidden="1" x14ac:dyDescent="0.4">
      <c r="A431" t="s">
        <v>1270</v>
      </c>
      <c r="B431" t="s">
        <v>1027</v>
      </c>
      <c r="C431" s="131">
        <v>44706</v>
      </c>
      <c r="D431" t="s">
        <v>796</v>
      </c>
      <c r="F431" t="s">
        <v>645</v>
      </c>
      <c r="H431">
        <v>62.5</v>
      </c>
      <c r="J431" s="1">
        <v>27963.200000000001</v>
      </c>
      <c r="K431" s="1"/>
      <c r="L431" s="1">
        <v>27963.200000000001</v>
      </c>
      <c r="M431" s="1">
        <v>796.95</v>
      </c>
      <c r="N431" s="1">
        <f t="shared" si="11"/>
        <v>447.41120000000001</v>
      </c>
      <c r="O431" s="1"/>
      <c r="P431" s="1"/>
      <c r="Q431" s="1"/>
      <c r="R431" s="1"/>
      <c r="S431" s="1"/>
    </row>
    <row r="432" spans="1:19" hidden="1" x14ac:dyDescent="0.4">
      <c r="A432" t="s">
        <v>1271</v>
      </c>
      <c r="B432" t="s">
        <v>1027</v>
      </c>
      <c r="C432" s="131">
        <v>44728</v>
      </c>
      <c r="D432" t="s">
        <v>1272</v>
      </c>
      <c r="F432" t="s">
        <v>645</v>
      </c>
      <c r="H432">
        <v>62.5</v>
      </c>
      <c r="J432" s="1">
        <v>57828</v>
      </c>
      <c r="K432" s="1"/>
      <c r="L432" s="1">
        <v>57828</v>
      </c>
      <c r="M432" s="1">
        <v>1648.1</v>
      </c>
      <c r="N432" s="1">
        <f t="shared" si="11"/>
        <v>925.24800000000005</v>
      </c>
      <c r="O432" s="1"/>
      <c r="P432" s="1"/>
      <c r="Q432" s="1"/>
      <c r="R432" s="1"/>
      <c r="S432" s="1"/>
    </row>
    <row r="433" spans="1:19" hidden="1" x14ac:dyDescent="0.4">
      <c r="A433" t="s">
        <v>1273</v>
      </c>
      <c r="B433" t="s">
        <v>1027</v>
      </c>
      <c r="C433" s="131">
        <v>44927</v>
      </c>
      <c r="D433" t="s">
        <v>1274</v>
      </c>
      <c r="F433" t="s">
        <v>645</v>
      </c>
      <c r="H433">
        <v>62.5</v>
      </c>
      <c r="J433" s="1">
        <v>16431.16</v>
      </c>
      <c r="K433" s="1"/>
      <c r="L433" s="1">
        <v>16431.16</v>
      </c>
      <c r="M433" s="1">
        <v>262.89999999999998</v>
      </c>
      <c r="N433" s="1">
        <f t="shared" si="11"/>
        <v>262.89855999999997</v>
      </c>
      <c r="O433" s="1"/>
      <c r="P433" s="1"/>
      <c r="Q433" s="1"/>
      <c r="R433" s="1"/>
      <c r="S433" s="1"/>
    </row>
    <row r="434" spans="1:19" hidden="1" x14ac:dyDescent="0.4">
      <c r="A434" t="s">
        <v>1275</v>
      </c>
      <c r="B434" t="s">
        <v>1027</v>
      </c>
      <c r="C434" s="131">
        <v>45211</v>
      </c>
      <c r="D434" t="s">
        <v>1276</v>
      </c>
      <c r="F434" t="s">
        <v>645</v>
      </c>
      <c r="H434">
        <v>62.5</v>
      </c>
      <c r="J434" s="1">
        <v>7250</v>
      </c>
      <c r="K434" s="1"/>
      <c r="L434" s="1">
        <v>7250</v>
      </c>
      <c r="M434" s="1">
        <v>29</v>
      </c>
      <c r="N434" s="1">
        <f t="shared" si="11"/>
        <v>116</v>
      </c>
      <c r="O434" s="1"/>
      <c r="P434" s="1"/>
      <c r="Q434" s="1"/>
      <c r="R434" s="1"/>
      <c r="S434" s="1"/>
    </row>
    <row r="435" spans="1:19" hidden="1" x14ac:dyDescent="0.4">
      <c r="A435" t="s">
        <v>1277</v>
      </c>
      <c r="B435" t="s">
        <v>1027</v>
      </c>
      <c r="C435" s="131">
        <v>45292</v>
      </c>
      <c r="D435" t="s">
        <v>1278</v>
      </c>
      <c r="F435" t="s">
        <v>645</v>
      </c>
      <c r="H435">
        <v>62.5</v>
      </c>
      <c r="J435" s="1">
        <v>33016.160000000003</v>
      </c>
      <c r="K435" s="1"/>
      <c r="L435" s="1">
        <v>33016.160000000003</v>
      </c>
      <c r="M435" s="1">
        <v>0</v>
      </c>
      <c r="N435" s="1">
        <f t="shared" ref="N435:N437" si="12">L435/H435</f>
        <v>528.2585600000001</v>
      </c>
      <c r="O435" s="1"/>
      <c r="P435" s="1"/>
      <c r="Q435" s="1"/>
      <c r="R435" s="1"/>
      <c r="S435" s="1"/>
    </row>
    <row r="436" spans="1:19" hidden="1" x14ac:dyDescent="0.4">
      <c r="A436" t="s">
        <v>1279</v>
      </c>
      <c r="B436" t="s">
        <v>1027</v>
      </c>
      <c r="C436" s="131">
        <v>45292</v>
      </c>
      <c r="D436" t="s">
        <v>1278</v>
      </c>
      <c r="F436" t="s">
        <v>645</v>
      </c>
      <c r="H436">
        <v>62.5</v>
      </c>
      <c r="J436" s="1">
        <v>61896</v>
      </c>
      <c r="K436" s="1"/>
      <c r="L436" s="1">
        <v>61896</v>
      </c>
      <c r="M436" s="1">
        <v>0</v>
      </c>
      <c r="N436" s="1">
        <f t="shared" si="12"/>
        <v>990.33600000000001</v>
      </c>
      <c r="O436" s="1"/>
      <c r="P436" s="1"/>
      <c r="Q436" s="1"/>
      <c r="R436" s="1"/>
      <c r="S436" s="1"/>
    </row>
    <row r="437" spans="1:19" hidden="1" x14ac:dyDescent="0.4">
      <c r="A437" t="s">
        <v>1280</v>
      </c>
      <c r="B437" t="s">
        <v>1027</v>
      </c>
      <c r="C437" s="131">
        <v>45292</v>
      </c>
      <c r="D437" t="s">
        <v>1281</v>
      </c>
      <c r="F437" t="s">
        <v>645</v>
      </c>
      <c r="H437">
        <v>62.5</v>
      </c>
      <c r="J437" s="1">
        <v>40172</v>
      </c>
      <c r="K437" s="1"/>
      <c r="L437" s="1">
        <v>40172</v>
      </c>
      <c r="M437" s="1">
        <v>0</v>
      </c>
      <c r="N437" s="1">
        <f t="shared" si="12"/>
        <v>642.75199999999995</v>
      </c>
      <c r="O437" s="1"/>
      <c r="P437" s="1"/>
      <c r="Q437" s="1"/>
      <c r="R437" s="1"/>
      <c r="S437" s="1"/>
    </row>
    <row r="438" spans="1:19" x14ac:dyDescent="0.4">
      <c r="C438" s="131"/>
      <c r="J438" s="1"/>
      <c r="K438" s="1"/>
      <c r="L438" s="1"/>
      <c r="M438" s="1"/>
      <c r="N438" s="1"/>
      <c r="O438" s="1"/>
      <c r="P438" s="1"/>
      <c r="Q438" s="1"/>
      <c r="R438" s="1"/>
      <c r="S438" s="1"/>
    </row>
    <row r="439" spans="1:19" x14ac:dyDescent="0.4">
      <c r="A439" s="237" t="str">
        <f>A177</f>
        <v>Transmission and Distribution Mains</v>
      </c>
      <c r="C439" s="131"/>
      <c r="J439" s="1">
        <f>SUM(J178:J438)</f>
        <v>71084203.279999942</v>
      </c>
      <c r="K439" s="1"/>
      <c r="L439" s="1"/>
      <c r="M439" s="1"/>
      <c r="N439" s="1">
        <f>SUM(N178:N438)</f>
        <v>1137347.25248</v>
      </c>
      <c r="O439" s="1"/>
      <c r="P439" s="1"/>
      <c r="Q439" s="1"/>
      <c r="R439" s="1"/>
      <c r="S439" s="1"/>
    </row>
    <row r="440" spans="1:19" x14ac:dyDescent="0.4">
      <c r="C440" s="131"/>
      <c r="J440" s="1"/>
      <c r="K440" s="1"/>
      <c r="L440" s="1"/>
      <c r="M440" s="1"/>
      <c r="N440" s="1"/>
      <c r="O440" s="1"/>
      <c r="P440" s="1"/>
      <c r="Q440" s="1"/>
      <c r="R440" s="1"/>
      <c r="S440" s="1"/>
    </row>
    <row r="441" spans="1:19" x14ac:dyDescent="0.4">
      <c r="C441" s="131"/>
      <c r="J441" s="1"/>
      <c r="K441" s="1"/>
      <c r="L441" s="1"/>
      <c r="M441" s="1"/>
      <c r="N441" s="1"/>
      <c r="O441" s="1"/>
      <c r="P441" s="1"/>
      <c r="Q441" s="1"/>
      <c r="R441" s="1"/>
      <c r="S441" s="1"/>
    </row>
    <row r="442" spans="1:19" x14ac:dyDescent="0.4">
      <c r="C442" s="131"/>
      <c r="J442" s="1"/>
      <c r="K442" s="1"/>
      <c r="L442" s="1"/>
      <c r="M442" s="1"/>
      <c r="N442" s="1"/>
      <c r="O442" s="1"/>
      <c r="P442" s="1"/>
      <c r="Q442" s="1"/>
      <c r="R442" s="1"/>
      <c r="S442" s="1"/>
    </row>
    <row r="443" spans="1:19" x14ac:dyDescent="0.4">
      <c r="C443" s="131"/>
      <c r="J443" s="1"/>
      <c r="K443" s="1"/>
      <c r="L443" s="1"/>
      <c r="M443" s="1"/>
      <c r="N443" s="1"/>
      <c r="O443" s="1"/>
      <c r="P443" s="1"/>
      <c r="Q443" s="1"/>
      <c r="R443" s="1"/>
      <c r="S443" s="1"/>
    </row>
    <row r="444" spans="1:19" x14ac:dyDescent="0.4">
      <c r="C444" s="131"/>
      <c r="J444" s="1"/>
      <c r="K444" s="1"/>
      <c r="L444" s="1"/>
      <c r="M444" s="1"/>
      <c r="N444" s="1"/>
      <c r="O444" s="1"/>
      <c r="P444" s="1"/>
      <c r="Q444" s="1"/>
      <c r="R444" s="1"/>
      <c r="S444" s="1"/>
    </row>
    <row r="445" spans="1:19" x14ac:dyDescent="0.4">
      <c r="C445" s="131"/>
      <c r="J445" s="1"/>
      <c r="K445" s="1"/>
      <c r="L445" s="1"/>
      <c r="M445" s="1"/>
      <c r="N445" s="1"/>
      <c r="O445" s="1"/>
      <c r="P445" s="1"/>
      <c r="Q445" s="1"/>
      <c r="R445" s="1"/>
      <c r="S445" s="1"/>
    </row>
    <row r="446" spans="1:19" x14ac:dyDescent="0.4">
      <c r="C446" s="131"/>
      <c r="J446" s="1"/>
      <c r="K446" s="1"/>
      <c r="L446" s="1"/>
      <c r="M446" s="1"/>
      <c r="N446" s="1"/>
      <c r="O446" s="1"/>
      <c r="P446" s="1"/>
      <c r="Q446" s="1"/>
      <c r="R446" s="1"/>
      <c r="S446" s="1"/>
    </row>
    <row r="447" spans="1:19" x14ac:dyDescent="0.4">
      <c r="C447" s="131"/>
      <c r="J447" s="1"/>
      <c r="K447" s="1"/>
      <c r="L447" s="1"/>
      <c r="M447" s="1"/>
      <c r="N447" s="1"/>
      <c r="O447" s="1"/>
      <c r="P447" s="1"/>
      <c r="Q447" s="1"/>
      <c r="R447" s="1"/>
      <c r="S447" s="1"/>
    </row>
    <row r="448" spans="1:19" x14ac:dyDescent="0.4">
      <c r="C448" s="131"/>
      <c r="J448" s="1"/>
      <c r="K448" s="1"/>
      <c r="L448" s="1"/>
      <c r="M448" s="1"/>
      <c r="N448" s="1"/>
      <c r="O448" s="1"/>
      <c r="P448" s="1"/>
      <c r="Q448" s="1"/>
      <c r="R448" s="1"/>
      <c r="S448" s="1"/>
    </row>
    <row r="449" spans="1:19" x14ac:dyDescent="0.4">
      <c r="C449" s="131"/>
      <c r="J449" s="1"/>
      <c r="K449" s="1"/>
      <c r="L449" s="1"/>
      <c r="M449" s="1"/>
      <c r="N449" s="1"/>
      <c r="O449" s="1"/>
      <c r="P449" s="1"/>
      <c r="Q449" s="1"/>
      <c r="R449" s="1"/>
      <c r="S449" s="1"/>
    </row>
    <row r="450" spans="1:19" ht="21" x14ac:dyDescent="0.5">
      <c r="A450" s="242" t="s">
        <v>1426</v>
      </c>
      <c r="C450" s="131"/>
      <c r="J450" s="1"/>
      <c r="K450" s="1"/>
      <c r="L450" s="1"/>
      <c r="M450" s="1"/>
      <c r="N450" s="1"/>
      <c r="O450" s="1"/>
      <c r="P450" s="1"/>
      <c r="Q450" s="1"/>
      <c r="R450" s="1"/>
      <c r="S450" s="1"/>
    </row>
    <row r="451" spans="1:19" hidden="1" x14ac:dyDescent="0.4">
      <c r="A451" t="s">
        <v>1427</v>
      </c>
      <c r="B451" t="s">
        <v>1428</v>
      </c>
      <c r="C451" s="131">
        <v>39113</v>
      </c>
      <c r="D451" t="s">
        <v>1429</v>
      </c>
      <c r="F451" t="s">
        <v>645</v>
      </c>
      <c r="H451">
        <v>45</v>
      </c>
      <c r="J451" s="1">
        <v>3337.8</v>
      </c>
      <c r="K451" s="1"/>
      <c r="L451" s="1">
        <v>3337.8</v>
      </c>
      <c r="M451" s="1">
        <v>1376.84</v>
      </c>
      <c r="N451" s="1">
        <f>L451/H451</f>
        <v>74.173333333333332</v>
      </c>
      <c r="O451" s="1"/>
      <c r="P451" s="1"/>
      <c r="Q451" s="1"/>
      <c r="R451" s="1"/>
      <c r="S451" s="1"/>
    </row>
    <row r="452" spans="1:19" hidden="1" x14ac:dyDescent="0.4">
      <c r="A452" t="s">
        <v>1430</v>
      </c>
      <c r="B452" t="s">
        <v>1431</v>
      </c>
      <c r="C452" s="131">
        <v>37741</v>
      </c>
      <c r="D452" t="s">
        <v>1432</v>
      </c>
      <c r="F452" t="s">
        <v>645</v>
      </c>
      <c r="H452">
        <v>45</v>
      </c>
      <c r="J452" s="1">
        <v>16188.02</v>
      </c>
      <c r="K452" s="1"/>
      <c r="L452" s="1">
        <v>16188.02</v>
      </c>
      <c r="M452" s="1">
        <v>8366.76</v>
      </c>
      <c r="N452" s="1">
        <f>L452/H452</f>
        <v>359.73377777777779</v>
      </c>
      <c r="O452" s="1"/>
      <c r="P452" s="1"/>
      <c r="Q452" s="1"/>
      <c r="R452" s="1"/>
      <c r="S452" s="1"/>
    </row>
    <row r="453" spans="1:19" hidden="1" x14ac:dyDescent="0.4">
      <c r="A453" t="s">
        <v>1433</v>
      </c>
      <c r="B453" t="s">
        <v>1428</v>
      </c>
      <c r="C453" s="131">
        <v>39141</v>
      </c>
      <c r="D453" t="s">
        <v>1434</v>
      </c>
      <c r="F453" t="s">
        <v>645</v>
      </c>
      <c r="H453">
        <v>45</v>
      </c>
      <c r="J453" s="1">
        <v>2184.33</v>
      </c>
      <c r="K453" s="1"/>
      <c r="L453" s="1">
        <v>2184.33</v>
      </c>
      <c r="M453" s="1">
        <v>901.06</v>
      </c>
      <c r="N453" s="1">
        <f t="shared" ref="N453:N516" si="13">L453/H453</f>
        <v>48.540666666666667</v>
      </c>
      <c r="O453" s="1"/>
      <c r="P453" s="1"/>
      <c r="Q453" s="1"/>
      <c r="R453" s="1"/>
      <c r="S453" s="1"/>
    </row>
    <row r="454" spans="1:19" hidden="1" x14ac:dyDescent="0.4">
      <c r="A454" t="s">
        <v>1435</v>
      </c>
      <c r="B454" t="s">
        <v>1428</v>
      </c>
      <c r="C454" s="131">
        <v>39202</v>
      </c>
      <c r="D454" t="s">
        <v>1436</v>
      </c>
      <c r="F454" t="s">
        <v>645</v>
      </c>
      <c r="H454">
        <v>45</v>
      </c>
      <c r="J454" s="1">
        <v>2945.49</v>
      </c>
      <c r="K454" s="1"/>
      <c r="L454" s="1">
        <v>2945.49</v>
      </c>
      <c r="M454" s="1">
        <v>1215.06</v>
      </c>
      <c r="N454" s="1">
        <f t="shared" si="13"/>
        <v>65.455333333333328</v>
      </c>
      <c r="O454" s="1"/>
      <c r="P454" s="1"/>
      <c r="Q454" s="1"/>
      <c r="R454" s="1"/>
      <c r="S454" s="1"/>
    </row>
    <row r="455" spans="1:19" hidden="1" x14ac:dyDescent="0.4">
      <c r="A455" t="s">
        <v>1437</v>
      </c>
      <c r="B455" t="s">
        <v>1428</v>
      </c>
      <c r="C455" s="131">
        <v>39233</v>
      </c>
      <c r="D455" t="s">
        <v>1438</v>
      </c>
      <c r="F455" t="s">
        <v>645</v>
      </c>
      <c r="H455">
        <v>45</v>
      </c>
      <c r="J455" s="1">
        <v>13427.84</v>
      </c>
      <c r="K455" s="1"/>
      <c r="L455" s="1">
        <v>13427.84</v>
      </c>
      <c r="M455" s="1">
        <v>5539.01</v>
      </c>
      <c r="N455" s="1">
        <f t="shared" si="13"/>
        <v>298.39644444444446</v>
      </c>
      <c r="O455" s="1"/>
      <c r="P455" s="1"/>
      <c r="Q455" s="1"/>
      <c r="R455" s="1"/>
      <c r="S455" s="1"/>
    </row>
    <row r="456" spans="1:19" hidden="1" x14ac:dyDescent="0.4">
      <c r="A456" t="s">
        <v>1439</v>
      </c>
      <c r="B456" t="s">
        <v>1428</v>
      </c>
      <c r="C456" s="131">
        <v>39263</v>
      </c>
      <c r="D456" t="s">
        <v>1440</v>
      </c>
      <c r="F456" t="s">
        <v>645</v>
      </c>
      <c r="H456">
        <v>45</v>
      </c>
      <c r="J456" s="1">
        <v>11388.65</v>
      </c>
      <c r="K456" s="1"/>
      <c r="L456" s="1">
        <v>11388.65</v>
      </c>
      <c r="M456" s="1">
        <v>4697.8500000000004</v>
      </c>
      <c r="N456" s="1">
        <f t="shared" si="13"/>
        <v>253.08111111111111</v>
      </c>
      <c r="O456" s="1"/>
      <c r="P456" s="1"/>
      <c r="Q456" s="1"/>
      <c r="R456" s="1"/>
      <c r="S456" s="1"/>
    </row>
    <row r="457" spans="1:19" hidden="1" x14ac:dyDescent="0.4">
      <c r="A457" t="s">
        <v>1441</v>
      </c>
      <c r="B457" t="s">
        <v>1428</v>
      </c>
      <c r="C457" s="131">
        <v>39294</v>
      </c>
      <c r="D457" t="s">
        <v>1442</v>
      </c>
      <c r="F457" t="s">
        <v>645</v>
      </c>
      <c r="H457">
        <v>45</v>
      </c>
      <c r="J457" s="1">
        <v>11601.05</v>
      </c>
      <c r="K457" s="1"/>
      <c r="L457" s="1">
        <v>11601.05</v>
      </c>
      <c r="M457" s="1">
        <v>4785.46</v>
      </c>
      <c r="N457" s="1">
        <f t="shared" si="13"/>
        <v>257.80111111111108</v>
      </c>
      <c r="O457" s="1"/>
      <c r="P457" s="1"/>
      <c r="Q457" s="1"/>
      <c r="R457" s="1"/>
      <c r="S457" s="1"/>
    </row>
    <row r="458" spans="1:19" hidden="1" x14ac:dyDescent="0.4">
      <c r="A458" t="s">
        <v>1443</v>
      </c>
      <c r="B458" t="s">
        <v>1428</v>
      </c>
      <c r="C458" s="131">
        <v>39325</v>
      </c>
      <c r="D458" t="s">
        <v>1444</v>
      </c>
      <c r="F458" t="s">
        <v>645</v>
      </c>
      <c r="H458">
        <v>45</v>
      </c>
      <c r="J458" s="1">
        <v>32720.13</v>
      </c>
      <c r="K458" s="1"/>
      <c r="L458" s="1">
        <v>32720.13</v>
      </c>
      <c r="M458" s="1">
        <v>13497.01</v>
      </c>
      <c r="N458" s="1">
        <f t="shared" si="13"/>
        <v>727.11400000000003</v>
      </c>
      <c r="O458" s="1"/>
      <c r="P458" s="1"/>
      <c r="Q458" s="1"/>
      <c r="R458" s="1"/>
      <c r="S458" s="1"/>
    </row>
    <row r="459" spans="1:19" hidden="1" x14ac:dyDescent="0.4">
      <c r="A459" t="s">
        <v>1445</v>
      </c>
      <c r="B459" t="s">
        <v>1428</v>
      </c>
      <c r="C459" s="131">
        <v>39355</v>
      </c>
      <c r="D459" t="s">
        <v>1446</v>
      </c>
      <c r="F459" t="s">
        <v>645</v>
      </c>
      <c r="H459">
        <v>45</v>
      </c>
      <c r="J459" s="1">
        <v>22280.51</v>
      </c>
      <c r="K459" s="1"/>
      <c r="L459" s="1">
        <v>22280.51</v>
      </c>
      <c r="M459" s="1">
        <v>9190.67</v>
      </c>
      <c r="N459" s="1">
        <f t="shared" si="13"/>
        <v>495.1224444444444</v>
      </c>
      <c r="O459" s="1"/>
      <c r="P459" s="1"/>
      <c r="Q459" s="1"/>
      <c r="R459" s="1"/>
      <c r="S459" s="1"/>
    </row>
    <row r="460" spans="1:19" hidden="1" x14ac:dyDescent="0.4">
      <c r="A460" t="s">
        <v>1447</v>
      </c>
      <c r="B460" t="s">
        <v>1428</v>
      </c>
      <c r="C460" s="131">
        <v>39386</v>
      </c>
      <c r="D460" t="s">
        <v>1448</v>
      </c>
      <c r="F460" t="s">
        <v>645</v>
      </c>
      <c r="H460">
        <v>45</v>
      </c>
      <c r="J460" s="1">
        <v>22108.79</v>
      </c>
      <c r="K460" s="1"/>
      <c r="L460" s="1">
        <v>22108.79</v>
      </c>
      <c r="M460" s="1">
        <v>9119.8799999999992</v>
      </c>
      <c r="N460" s="1">
        <f t="shared" si="13"/>
        <v>491.30644444444448</v>
      </c>
      <c r="O460" s="1"/>
      <c r="P460" s="1"/>
      <c r="Q460" s="1"/>
      <c r="R460" s="1"/>
      <c r="S460" s="1"/>
    </row>
    <row r="461" spans="1:19" hidden="1" x14ac:dyDescent="0.4">
      <c r="A461" t="s">
        <v>1449</v>
      </c>
      <c r="B461" t="s">
        <v>1428</v>
      </c>
      <c r="C461" s="131">
        <v>39416</v>
      </c>
      <c r="D461" t="s">
        <v>1450</v>
      </c>
      <c r="F461" t="s">
        <v>645</v>
      </c>
      <c r="H461">
        <v>45</v>
      </c>
      <c r="J461" s="1">
        <v>13961.07</v>
      </c>
      <c r="K461" s="1"/>
      <c r="L461" s="1">
        <v>13961.07</v>
      </c>
      <c r="M461" s="1">
        <v>5758.98</v>
      </c>
      <c r="N461" s="1">
        <f t="shared" si="13"/>
        <v>310.24599999999998</v>
      </c>
      <c r="O461" s="1"/>
      <c r="P461" s="1"/>
      <c r="Q461" s="1"/>
      <c r="R461" s="1"/>
      <c r="S461" s="1"/>
    </row>
    <row r="462" spans="1:19" hidden="1" x14ac:dyDescent="0.4">
      <c r="A462" t="s">
        <v>1451</v>
      </c>
      <c r="B462" t="s">
        <v>1428</v>
      </c>
      <c r="C462" s="131">
        <v>39447</v>
      </c>
      <c r="D462" t="s">
        <v>1452</v>
      </c>
      <c r="F462" t="s">
        <v>645</v>
      </c>
      <c r="H462">
        <v>45</v>
      </c>
      <c r="J462" s="1">
        <v>11013.75</v>
      </c>
      <c r="K462" s="1"/>
      <c r="L462" s="1">
        <v>11013.75</v>
      </c>
      <c r="M462" s="1">
        <v>4543.1400000000003</v>
      </c>
      <c r="N462" s="1">
        <f t="shared" si="13"/>
        <v>244.75</v>
      </c>
      <c r="O462" s="1"/>
      <c r="P462" s="1"/>
      <c r="Q462" s="1"/>
      <c r="R462" s="1"/>
      <c r="S462" s="1"/>
    </row>
    <row r="463" spans="1:19" hidden="1" x14ac:dyDescent="0.4">
      <c r="A463" t="s">
        <v>1453</v>
      </c>
      <c r="B463" t="s">
        <v>1428</v>
      </c>
      <c r="C463" s="131">
        <v>40543</v>
      </c>
      <c r="D463" t="s">
        <v>1454</v>
      </c>
      <c r="F463" t="s">
        <v>645</v>
      </c>
      <c r="H463">
        <v>45</v>
      </c>
      <c r="J463" s="1">
        <v>4200</v>
      </c>
      <c r="K463" s="1"/>
      <c r="L463" s="1">
        <v>4200</v>
      </c>
      <c r="M463" s="1">
        <v>1417.5</v>
      </c>
      <c r="N463" s="1">
        <f t="shared" si="13"/>
        <v>93.333333333333329</v>
      </c>
      <c r="O463" s="1"/>
      <c r="P463" s="1"/>
      <c r="Q463" s="1"/>
      <c r="R463" s="1"/>
      <c r="S463" s="1"/>
    </row>
    <row r="464" spans="1:19" hidden="1" x14ac:dyDescent="0.4">
      <c r="A464">
        <v>3344277</v>
      </c>
      <c r="B464" t="s">
        <v>729</v>
      </c>
      <c r="C464" s="131">
        <v>39355</v>
      </c>
      <c r="D464" t="s">
        <v>1455</v>
      </c>
      <c r="F464" t="s">
        <v>645</v>
      </c>
      <c r="H464">
        <v>45</v>
      </c>
      <c r="J464" s="1">
        <v>11140.26</v>
      </c>
      <c r="K464" s="1"/>
      <c r="L464" s="1">
        <v>11140.26</v>
      </c>
      <c r="M464" s="1">
        <v>4595.3900000000003</v>
      </c>
      <c r="N464" s="1">
        <f t="shared" si="13"/>
        <v>247.56133333333335</v>
      </c>
      <c r="O464" s="1"/>
      <c r="P464" s="1"/>
      <c r="Q464" s="1"/>
      <c r="R464" s="1"/>
      <c r="S464" s="1"/>
    </row>
    <row r="465" spans="1:19" hidden="1" x14ac:dyDescent="0.4">
      <c r="A465" t="s">
        <v>1456</v>
      </c>
      <c r="B465" t="s">
        <v>729</v>
      </c>
      <c r="C465" s="131">
        <v>39539</v>
      </c>
      <c r="D465" t="s">
        <v>1457</v>
      </c>
      <c r="F465" t="s">
        <v>645</v>
      </c>
      <c r="H465">
        <v>45</v>
      </c>
      <c r="J465" s="1">
        <v>81300</v>
      </c>
      <c r="K465" s="1"/>
      <c r="L465" s="1">
        <v>81300</v>
      </c>
      <c r="M465" s="1">
        <v>31503.75</v>
      </c>
      <c r="N465" s="1">
        <f t="shared" si="13"/>
        <v>1806.6666666666667</v>
      </c>
      <c r="O465" s="1"/>
      <c r="P465" s="1"/>
      <c r="Q465" s="1"/>
      <c r="R465" s="1"/>
      <c r="S465" s="1"/>
    </row>
    <row r="466" spans="1:19" hidden="1" x14ac:dyDescent="0.4">
      <c r="A466" t="s">
        <v>1458</v>
      </c>
      <c r="B466" t="s">
        <v>729</v>
      </c>
      <c r="C466" s="131">
        <v>37408</v>
      </c>
      <c r="D466" t="s">
        <v>1432</v>
      </c>
      <c r="F466" t="s">
        <v>645</v>
      </c>
      <c r="H466">
        <v>45</v>
      </c>
      <c r="J466" s="1">
        <v>16870.75</v>
      </c>
      <c r="K466" s="1"/>
      <c r="L466" s="1">
        <v>16870.75</v>
      </c>
      <c r="M466" s="1">
        <v>9104.4500000000007</v>
      </c>
      <c r="N466" s="1">
        <f t="shared" si="13"/>
        <v>374.90555555555557</v>
      </c>
      <c r="O466" s="1"/>
      <c r="P466" s="1"/>
      <c r="Q466" s="1"/>
      <c r="R466" s="1"/>
      <c r="S466" s="1"/>
    </row>
    <row r="467" spans="1:19" hidden="1" x14ac:dyDescent="0.4">
      <c r="A467" t="s">
        <v>1459</v>
      </c>
      <c r="B467" t="s">
        <v>729</v>
      </c>
      <c r="C467" s="131">
        <v>38748</v>
      </c>
      <c r="D467" t="s">
        <v>1460</v>
      </c>
      <c r="F467" t="s">
        <v>645</v>
      </c>
      <c r="H467">
        <v>45</v>
      </c>
      <c r="J467" s="1">
        <v>3858.43</v>
      </c>
      <c r="K467" s="1"/>
      <c r="L467" s="1">
        <v>3858.43</v>
      </c>
      <c r="M467" s="1">
        <v>1880.34</v>
      </c>
      <c r="N467" s="1">
        <f t="shared" si="13"/>
        <v>85.742888888888885</v>
      </c>
      <c r="O467" s="1"/>
      <c r="P467" s="1"/>
      <c r="Q467" s="1"/>
      <c r="R467" s="1"/>
      <c r="S467" s="1"/>
    </row>
    <row r="468" spans="1:19" hidden="1" x14ac:dyDescent="0.4">
      <c r="A468" t="s">
        <v>1461</v>
      </c>
      <c r="B468" t="s">
        <v>729</v>
      </c>
      <c r="C468" s="131">
        <v>38776</v>
      </c>
      <c r="D468" t="s">
        <v>1462</v>
      </c>
      <c r="F468" t="s">
        <v>645</v>
      </c>
      <c r="H468">
        <v>45</v>
      </c>
      <c r="J468" s="1">
        <v>5564.27</v>
      </c>
      <c r="K468" s="1"/>
      <c r="L468" s="1">
        <v>5564.27</v>
      </c>
      <c r="M468" s="1">
        <v>2434.41</v>
      </c>
      <c r="N468" s="1">
        <f t="shared" si="13"/>
        <v>123.65044444444446</v>
      </c>
      <c r="O468" s="1"/>
      <c r="P468" s="1"/>
      <c r="Q468" s="1"/>
      <c r="R468" s="1"/>
      <c r="S468" s="1"/>
    </row>
    <row r="469" spans="1:19" hidden="1" x14ac:dyDescent="0.4">
      <c r="A469" t="s">
        <v>1463</v>
      </c>
      <c r="B469" t="s">
        <v>729</v>
      </c>
      <c r="C469" s="131">
        <v>38807</v>
      </c>
      <c r="D469" t="s">
        <v>1464</v>
      </c>
      <c r="F469" t="s">
        <v>645</v>
      </c>
      <c r="H469">
        <v>45</v>
      </c>
      <c r="J469" s="1">
        <v>2236.0500000000002</v>
      </c>
      <c r="K469" s="1"/>
      <c r="L469" s="1">
        <v>2236.0500000000002</v>
      </c>
      <c r="M469" s="1">
        <v>978.25</v>
      </c>
      <c r="N469" s="1">
        <f t="shared" si="13"/>
        <v>49.690000000000005</v>
      </c>
      <c r="O469" s="1"/>
      <c r="P469" s="1"/>
      <c r="Q469" s="1"/>
      <c r="R469" s="1"/>
      <c r="S469" s="1"/>
    </row>
    <row r="470" spans="1:19" hidden="1" x14ac:dyDescent="0.4">
      <c r="A470" t="s">
        <v>1465</v>
      </c>
      <c r="B470" t="s">
        <v>729</v>
      </c>
      <c r="C470" s="131">
        <v>38837</v>
      </c>
      <c r="D470" t="s">
        <v>1466</v>
      </c>
      <c r="F470" t="s">
        <v>645</v>
      </c>
      <c r="H470">
        <v>45</v>
      </c>
      <c r="J470" s="1">
        <v>2223.16</v>
      </c>
      <c r="K470" s="1"/>
      <c r="L470" s="1">
        <v>2223.16</v>
      </c>
      <c r="M470" s="1">
        <v>972.65</v>
      </c>
      <c r="N470" s="1">
        <f t="shared" si="13"/>
        <v>49.403555555555549</v>
      </c>
      <c r="O470" s="1"/>
      <c r="P470" s="1"/>
      <c r="Q470" s="1"/>
      <c r="R470" s="1"/>
      <c r="S470" s="1"/>
    </row>
    <row r="471" spans="1:19" hidden="1" x14ac:dyDescent="0.4">
      <c r="A471" t="s">
        <v>1467</v>
      </c>
      <c r="B471" t="s">
        <v>729</v>
      </c>
      <c r="C471" s="131">
        <v>38868</v>
      </c>
      <c r="D471" t="s">
        <v>1468</v>
      </c>
      <c r="F471" t="s">
        <v>645</v>
      </c>
      <c r="H471">
        <v>45</v>
      </c>
      <c r="J471" s="1">
        <v>2917.81</v>
      </c>
      <c r="K471" s="1"/>
      <c r="L471" s="1">
        <v>2917.81</v>
      </c>
      <c r="M471" s="1">
        <v>1276.55</v>
      </c>
      <c r="N471" s="1">
        <f t="shared" si="13"/>
        <v>64.840222222222224</v>
      </c>
      <c r="O471" s="1"/>
      <c r="P471" s="1"/>
      <c r="Q471" s="1"/>
      <c r="R471" s="1"/>
      <c r="S471" s="1"/>
    </row>
    <row r="472" spans="1:19" hidden="1" x14ac:dyDescent="0.4">
      <c r="A472" t="s">
        <v>1469</v>
      </c>
      <c r="B472" t="s">
        <v>729</v>
      </c>
      <c r="C472" s="131">
        <v>38898</v>
      </c>
      <c r="D472" t="s">
        <v>1470</v>
      </c>
      <c r="F472" t="s">
        <v>645</v>
      </c>
      <c r="H472">
        <v>45</v>
      </c>
      <c r="J472" s="1">
        <v>2767.93</v>
      </c>
      <c r="K472" s="1"/>
      <c r="L472" s="1">
        <v>2767.93</v>
      </c>
      <c r="M472" s="1">
        <v>1211</v>
      </c>
      <c r="N472" s="1">
        <f t="shared" si="13"/>
        <v>61.509555555555551</v>
      </c>
      <c r="O472" s="1"/>
      <c r="P472" s="1"/>
      <c r="Q472" s="1"/>
      <c r="R472" s="1"/>
      <c r="S472" s="1"/>
    </row>
    <row r="473" spans="1:19" hidden="1" x14ac:dyDescent="0.4">
      <c r="A473" t="s">
        <v>1471</v>
      </c>
      <c r="B473" t="s">
        <v>729</v>
      </c>
      <c r="C473" s="131">
        <v>38929</v>
      </c>
      <c r="D473" t="s">
        <v>1472</v>
      </c>
      <c r="F473" t="s">
        <v>645</v>
      </c>
      <c r="H473">
        <v>45</v>
      </c>
      <c r="J473" s="1">
        <v>6361.86</v>
      </c>
      <c r="K473" s="1"/>
      <c r="L473" s="1">
        <v>6361.86</v>
      </c>
      <c r="M473" s="1">
        <v>2783.35</v>
      </c>
      <c r="N473" s="1">
        <f t="shared" si="13"/>
        <v>141.37466666666666</v>
      </c>
      <c r="O473" s="1"/>
      <c r="P473" s="1"/>
      <c r="Q473" s="1"/>
      <c r="R473" s="1"/>
      <c r="S473" s="1"/>
    </row>
    <row r="474" spans="1:19" hidden="1" x14ac:dyDescent="0.4">
      <c r="A474" t="s">
        <v>1473</v>
      </c>
      <c r="B474" t="s">
        <v>729</v>
      </c>
      <c r="C474" s="131">
        <v>38961</v>
      </c>
      <c r="D474" t="s">
        <v>1474</v>
      </c>
      <c r="F474" t="s">
        <v>645</v>
      </c>
      <c r="H474">
        <v>45</v>
      </c>
      <c r="J474" s="1">
        <v>945.35</v>
      </c>
      <c r="K474" s="1"/>
      <c r="L474" s="1">
        <v>945.35</v>
      </c>
      <c r="M474" s="1">
        <v>460.72</v>
      </c>
      <c r="N474" s="1">
        <f t="shared" si="13"/>
        <v>21.007777777777779</v>
      </c>
      <c r="O474" s="1"/>
      <c r="P474" s="1"/>
      <c r="Q474" s="1"/>
      <c r="R474" s="1"/>
      <c r="S474" s="1"/>
    </row>
    <row r="475" spans="1:19" hidden="1" x14ac:dyDescent="0.4">
      <c r="A475" t="s">
        <v>1475</v>
      </c>
      <c r="B475" t="s">
        <v>729</v>
      </c>
      <c r="C475" s="131">
        <v>39020</v>
      </c>
      <c r="D475" t="s">
        <v>1476</v>
      </c>
      <c r="F475" t="s">
        <v>645</v>
      </c>
      <c r="H475">
        <v>45</v>
      </c>
      <c r="J475" s="1">
        <v>2553.56</v>
      </c>
      <c r="K475" s="1"/>
      <c r="L475" s="1">
        <v>2553.56</v>
      </c>
      <c r="M475" s="1">
        <v>1117.2</v>
      </c>
      <c r="N475" s="1">
        <f t="shared" si="13"/>
        <v>56.745777777777775</v>
      </c>
      <c r="O475" s="1"/>
      <c r="P475" s="1"/>
      <c r="Q475" s="1"/>
      <c r="R475" s="1"/>
      <c r="S475" s="1"/>
    </row>
    <row r="476" spans="1:19" hidden="1" x14ac:dyDescent="0.4">
      <c r="A476" t="s">
        <v>1477</v>
      </c>
      <c r="B476" t="s">
        <v>729</v>
      </c>
      <c r="C476" s="131">
        <v>39051</v>
      </c>
      <c r="D476" t="s">
        <v>1478</v>
      </c>
      <c r="F476" t="s">
        <v>645</v>
      </c>
      <c r="H476">
        <v>45</v>
      </c>
      <c r="J476" s="1">
        <v>3869.95</v>
      </c>
      <c r="K476" s="1"/>
      <c r="L476" s="1">
        <v>3869.95</v>
      </c>
      <c r="M476" s="1">
        <v>1693.12</v>
      </c>
      <c r="N476" s="1">
        <f t="shared" si="13"/>
        <v>85.998888888888885</v>
      </c>
      <c r="O476" s="1"/>
      <c r="P476" s="1"/>
      <c r="Q476" s="1"/>
      <c r="R476" s="1"/>
      <c r="S476" s="1"/>
    </row>
    <row r="477" spans="1:19" hidden="1" x14ac:dyDescent="0.4">
      <c r="A477" t="s">
        <v>1479</v>
      </c>
      <c r="B477" t="s">
        <v>729</v>
      </c>
      <c r="C477" s="131">
        <v>39082</v>
      </c>
      <c r="D477" t="s">
        <v>1480</v>
      </c>
      <c r="F477" t="s">
        <v>645</v>
      </c>
      <c r="H477">
        <v>45</v>
      </c>
      <c r="J477" s="1">
        <v>4022</v>
      </c>
      <c r="K477" s="1"/>
      <c r="L477" s="1">
        <v>4022</v>
      </c>
      <c r="M477" s="1">
        <v>1759.63</v>
      </c>
      <c r="N477" s="1">
        <f t="shared" si="13"/>
        <v>89.37777777777778</v>
      </c>
      <c r="O477" s="1"/>
      <c r="P477" s="1"/>
      <c r="Q477" s="1"/>
      <c r="R477" s="1"/>
      <c r="S477" s="1"/>
    </row>
    <row r="478" spans="1:19" hidden="1" x14ac:dyDescent="0.4">
      <c r="A478" t="s">
        <v>1481</v>
      </c>
      <c r="B478" t="s">
        <v>729</v>
      </c>
      <c r="C478" s="131">
        <v>39113</v>
      </c>
      <c r="D478" t="s">
        <v>1482</v>
      </c>
      <c r="F478" t="s">
        <v>645</v>
      </c>
      <c r="H478">
        <v>45</v>
      </c>
      <c r="J478" s="1">
        <v>1668.9</v>
      </c>
      <c r="K478" s="1"/>
      <c r="L478" s="1">
        <v>1668.9</v>
      </c>
      <c r="M478" s="1">
        <v>688.38</v>
      </c>
      <c r="N478" s="1">
        <f t="shared" si="13"/>
        <v>37.086666666666666</v>
      </c>
      <c r="O478" s="1"/>
      <c r="P478" s="1"/>
      <c r="Q478" s="1"/>
      <c r="R478" s="1"/>
      <c r="S478" s="1"/>
    </row>
    <row r="479" spans="1:19" hidden="1" x14ac:dyDescent="0.4">
      <c r="A479" t="s">
        <v>1483</v>
      </c>
      <c r="B479" t="s">
        <v>729</v>
      </c>
      <c r="C479" s="131">
        <v>39141</v>
      </c>
      <c r="D479" t="s">
        <v>1484</v>
      </c>
      <c r="F479" t="s">
        <v>645</v>
      </c>
      <c r="H479">
        <v>45</v>
      </c>
      <c r="J479" s="1">
        <v>1092.1600000000001</v>
      </c>
      <c r="K479" s="1"/>
      <c r="L479" s="1">
        <v>1092.1600000000001</v>
      </c>
      <c r="M479" s="1">
        <v>450.49</v>
      </c>
      <c r="N479" s="1">
        <f t="shared" si="13"/>
        <v>24.270222222222223</v>
      </c>
      <c r="O479" s="1"/>
      <c r="P479" s="1"/>
      <c r="Q479" s="1"/>
      <c r="R479" s="1"/>
      <c r="S479" s="1"/>
    </row>
    <row r="480" spans="1:19" hidden="1" x14ac:dyDescent="0.4">
      <c r="A480" t="s">
        <v>1485</v>
      </c>
      <c r="B480" t="s">
        <v>729</v>
      </c>
      <c r="C480" s="131">
        <v>39202</v>
      </c>
      <c r="D480" t="s">
        <v>1486</v>
      </c>
      <c r="F480" t="s">
        <v>645</v>
      </c>
      <c r="H480">
        <v>45</v>
      </c>
      <c r="J480" s="1">
        <v>1472.74</v>
      </c>
      <c r="K480" s="1"/>
      <c r="L480" s="1">
        <v>1472.74</v>
      </c>
      <c r="M480" s="1">
        <v>607.53</v>
      </c>
      <c r="N480" s="1">
        <f t="shared" si="13"/>
        <v>32.727555555555554</v>
      </c>
      <c r="O480" s="1"/>
      <c r="P480" s="1"/>
      <c r="Q480" s="1"/>
      <c r="R480" s="1"/>
      <c r="S480" s="1"/>
    </row>
    <row r="481" spans="1:19" hidden="1" x14ac:dyDescent="0.4">
      <c r="A481" t="s">
        <v>1487</v>
      </c>
      <c r="B481" t="s">
        <v>729</v>
      </c>
      <c r="C481" s="131">
        <v>39233</v>
      </c>
      <c r="D481" t="s">
        <v>1488</v>
      </c>
      <c r="F481" t="s">
        <v>645</v>
      </c>
      <c r="H481">
        <v>45</v>
      </c>
      <c r="J481" s="1">
        <v>6713.92</v>
      </c>
      <c r="K481" s="1"/>
      <c r="L481" s="1">
        <v>6713.92</v>
      </c>
      <c r="M481" s="1">
        <v>2769.52</v>
      </c>
      <c r="N481" s="1">
        <f t="shared" si="13"/>
        <v>149.19822222222223</v>
      </c>
      <c r="O481" s="1"/>
      <c r="P481" s="1"/>
      <c r="Q481" s="1"/>
      <c r="R481" s="1"/>
      <c r="S481" s="1"/>
    </row>
    <row r="482" spans="1:19" hidden="1" x14ac:dyDescent="0.4">
      <c r="A482" t="s">
        <v>1489</v>
      </c>
      <c r="B482" t="s">
        <v>729</v>
      </c>
      <c r="C482" s="131">
        <v>39263</v>
      </c>
      <c r="D482" t="s">
        <v>1490</v>
      </c>
      <c r="F482" t="s">
        <v>645</v>
      </c>
      <c r="H482">
        <v>45</v>
      </c>
      <c r="J482" s="1">
        <v>5694.33</v>
      </c>
      <c r="K482" s="1"/>
      <c r="L482" s="1">
        <v>5694.33</v>
      </c>
      <c r="M482" s="1">
        <v>2348.94</v>
      </c>
      <c r="N482" s="1">
        <f t="shared" si="13"/>
        <v>126.54066666666667</v>
      </c>
      <c r="O482" s="1"/>
      <c r="P482" s="1"/>
      <c r="Q482" s="1"/>
      <c r="R482" s="1"/>
      <c r="S482" s="1"/>
    </row>
    <row r="483" spans="1:19" hidden="1" x14ac:dyDescent="0.4">
      <c r="A483" t="s">
        <v>1491</v>
      </c>
      <c r="B483" t="s">
        <v>729</v>
      </c>
      <c r="C483" s="131">
        <v>39294</v>
      </c>
      <c r="D483" t="s">
        <v>1492</v>
      </c>
      <c r="F483" t="s">
        <v>645</v>
      </c>
      <c r="H483">
        <v>45</v>
      </c>
      <c r="J483" s="1">
        <v>5800.53</v>
      </c>
      <c r="K483" s="1"/>
      <c r="L483" s="1">
        <v>5800.53</v>
      </c>
      <c r="M483" s="1">
        <v>2392.6799999999998</v>
      </c>
      <c r="N483" s="1">
        <f t="shared" si="13"/>
        <v>128.90066666666667</v>
      </c>
      <c r="O483" s="1"/>
      <c r="P483" s="1"/>
      <c r="Q483" s="1"/>
      <c r="R483" s="1"/>
      <c r="S483" s="1"/>
    </row>
    <row r="484" spans="1:19" hidden="1" x14ac:dyDescent="0.4">
      <c r="A484" t="s">
        <v>1493</v>
      </c>
      <c r="B484" t="s">
        <v>729</v>
      </c>
      <c r="C484" s="131">
        <v>39325</v>
      </c>
      <c r="D484" t="s">
        <v>1494</v>
      </c>
      <c r="F484" t="s">
        <v>645</v>
      </c>
      <c r="H484">
        <v>45</v>
      </c>
      <c r="J484" s="1">
        <v>16360.07</v>
      </c>
      <c r="K484" s="1"/>
      <c r="L484" s="1">
        <v>16360.07</v>
      </c>
      <c r="M484" s="1">
        <v>6748.5</v>
      </c>
      <c r="N484" s="1">
        <f t="shared" si="13"/>
        <v>363.55711111111111</v>
      </c>
      <c r="O484" s="1"/>
      <c r="P484" s="1"/>
      <c r="Q484" s="1"/>
      <c r="R484" s="1"/>
      <c r="S484" s="1"/>
    </row>
    <row r="485" spans="1:19" hidden="1" x14ac:dyDescent="0.4">
      <c r="A485" t="s">
        <v>1495</v>
      </c>
      <c r="B485" t="s">
        <v>729</v>
      </c>
      <c r="C485" s="131">
        <v>39386</v>
      </c>
      <c r="D485" t="s">
        <v>1496</v>
      </c>
      <c r="F485" t="s">
        <v>645</v>
      </c>
      <c r="H485">
        <v>45</v>
      </c>
      <c r="J485" s="1">
        <v>11054.39</v>
      </c>
      <c r="K485" s="1"/>
      <c r="L485" s="1">
        <v>11054.39</v>
      </c>
      <c r="M485" s="1">
        <v>4559.9399999999996</v>
      </c>
      <c r="N485" s="1">
        <f t="shared" si="13"/>
        <v>245.65311111111109</v>
      </c>
      <c r="O485" s="1"/>
      <c r="P485" s="1"/>
      <c r="Q485" s="1"/>
      <c r="R485" s="1"/>
      <c r="S485" s="1"/>
    </row>
    <row r="486" spans="1:19" hidden="1" x14ac:dyDescent="0.4">
      <c r="A486" t="s">
        <v>1497</v>
      </c>
      <c r="B486" t="s">
        <v>729</v>
      </c>
      <c r="C486" s="131">
        <v>39416</v>
      </c>
      <c r="D486" t="s">
        <v>1498</v>
      </c>
      <c r="F486" t="s">
        <v>645</v>
      </c>
      <c r="H486">
        <v>45</v>
      </c>
      <c r="J486" s="1">
        <v>6980.54</v>
      </c>
      <c r="K486" s="1"/>
      <c r="L486" s="1">
        <v>6980.54</v>
      </c>
      <c r="M486" s="1">
        <v>2879.44</v>
      </c>
      <c r="N486" s="1">
        <f t="shared" si="13"/>
        <v>155.12311111111111</v>
      </c>
      <c r="O486" s="1"/>
      <c r="P486" s="1"/>
      <c r="Q486" s="1"/>
      <c r="R486" s="1"/>
      <c r="S486" s="1"/>
    </row>
    <row r="487" spans="1:19" hidden="1" x14ac:dyDescent="0.4">
      <c r="A487" t="s">
        <v>1499</v>
      </c>
      <c r="B487" t="s">
        <v>729</v>
      </c>
      <c r="C487" s="131">
        <v>39447</v>
      </c>
      <c r="D487" t="s">
        <v>1500</v>
      </c>
      <c r="F487" t="s">
        <v>645</v>
      </c>
      <c r="H487">
        <v>45</v>
      </c>
      <c r="J487" s="1">
        <v>5506.88</v>
      </c>
      <c r="K487" s="1"/>
      <c r="L487" s="1">
        <v>5506.88</v>
      </c>
      <c r="M487" s="1">
        <v>2271.56</v>
      </c>
      <c r="N487" s="1">
        <f t="shared" si="13"/>
        <v>122.37511111111111</v>
      </c>
      <c r="O487" s="1"/>
      <c r="P487" s="1"/>
      <c r="Q487" s="1"/>
      <c r="R487" s="1"/>
      <c r="S487" s="1"/>
    </row>
    <row r="488" spans="1:19" hidden="1" x14ac:dyDescent="0.4">
      <c r="A488" t="s">
        <v>1501</v>
      </c>
      <c r="B488" t="s">
        <v>729</v>
      </c>
      <c r="C488" s="131">
        <v>39478</v>
      </c>
      <c r="D488" t="s">
        <v>1502</v>
      </c>
      <c r="F488" t="s">
        <v>645</v>
      </c>
      <c r="H488">
        <v>45</v>
      </c>
      <c r="J488" s="1">
        <v>2599.85</v>
      </c>
      <c r="K488" s="1"/>
      <c r="L488" s="1">
        <v>2599.85</v>
      </c>
      <c r="M488" s="1">
        <v>1007.47</v>
      </c>
      <c r="N488" s="1">
        <f t="shared" si="13"/>
        <v>57.774444444444441</v>
      </c>
      <c r="O488" s="1"/>
      <c r="P488" s="1"/>
      <c r="Q488" s="1"/>
      <c r="R488" s="1"/>
      <c r="S488" s="1"/>
    </row>
    <row r="489" spans="1:19" hidden="1" x14ac:dyDescent="0.4">
      <c r="A489" t="s">
        <v>1503</v>
      </c>
      <c r="B489" t="s">
        <v>729</v>
      </c>
      <c r="C489" s="131">
        <v>39506</v>
      </c>
      <c r="D489" t="s">
        <v>1504</v>
      </c>
      <c r="F489" t="s">
        <v>645</v>
      </c>
      <c r="H489">
        <v>45</v>
      </c>
      <c r="J489" s="1">
        <v>3607.77</v>
      </c>
      <c r="K489" s="1"/>
      <c r="L489" s="1">
        <v>3607.77</v>
      </c>
      <c r="M489" s="1">
        <v>1397.99</v>
      </c>
      <c r="N489" s="1">
        <f t="shared" si="13"/>
        <v>80.172666666666672</v>
      </c>
      <c r="O489" s="1"/>
      <c r="P489" s="1"/>
      <c r="Q489" s="1"/>
      <c r="R489" s="1"/>
      <c r="S489" s="1"/>
    </row>
    <row r="490" spans="1:19" hidden="1" x14ac:dyDescent="0.4">
      <c r="A490" t="s">
        <v>1505</v>
      </c>
      <c r="B490" t="s">
        <v>729</v>
      </c>
      <c r="C490" s="131">
        <v>39538</v>
      </c>
      <c r="D490" t="s">
        <v>1506</v>
      </c>
      <c r="F490" t="s">
        <v>645</v>
      </c>
      <c r="H490">
        <v>45</v>
      </c>
      <c r="J490" s="1">
        <v>8516.5499999999993</v>
      </c>
      <c r="K490" s="1"/>
      <c r="L490" s="1">
        <v>8516.5499999999993</v>
      </c>
      <c r="M490" s="1">
        <v>3300.13</v>
      </c>
      <c r="N490" s="1">
        <f t="shared" si="13"/>
        <v>189.25666666666666</v>
      </c>
      <c r="O490" s="1"/>
      <c r="P490" s="1"/>
      <c r="Q490" s="1"/>
      <c r="R490" s="1"/>
      <c r="S490" s="1"/>
    </row>
    <row r="491" spans="1:19" hidden="1" x14ac:dyDescent="0.4">
      <c r="A491" t="s">
        <v>1507</v>
      </c>
      <c r="B491" t="s">
        <v>729</v>
      </c>
      <c r="C491" s="131">
        <v>39568</v>
      </c>
      <c r="D491" t="s">
        <v>1508</v>
      </c>
      <c r="F491" t="s">
        <v>645</v>
      </c>
      <c r="H491">
        <v>45</v>
      </c>
      <c r="J491" s="1">
        <v>4795.45</v>
      </c>
      <c r="K491" s="1"/>
      <c r="L491" s="1">
        <v>4795.45</v>
      </c>
      <c r="M491" s="1">
        <v>1858.27</v>
      </c>
      <c r="N491" s="1">
        <f t="shared" si="13"/>
        <v>106.56555555555555</v>
      </c>
      <c r="O491" s="1"/>
      <c r="P491" s="1"/>
      <c r="Q491" s="1"/>
      <c r="R491" s="1"/>
      <c r="S491" s="1"/>
    </row>
    <row r="492" spans="1:19" hidden="1" x14ac:dyDescent="0.4">
      <c r="A492" t="s">
        <v>1509</v>
      </c>
      <c r="B492" t="s">
        <v>729</v>
      </c>
      <c r="C492" s="131">
        <v>39599</v>
      </c>
      <c r="D492" t="s">
        <v>1510</v>
      </c>
      <c r="F492" t="s">
        <v>645</v>
      </c>
      <c r="H492">
        <v>45</v>
      </c>
      <c r="J492" s="1">
        <v>6668.28</v>
      </c>
      <c r="K492" s="1"/>
      <c r="L492" s="1">
        <v>6668.28</v>
      </c>
      <c r="M492" s="1">
        <v>2584</v>
      </c>
      <c r="N492" s="1">
        <f t="shared" si="13"/>
        <v>148.184</v>
      </c>
      <c r="O492" s="1"/>
      <c r="P492" s="1"/>
      <c r="Q492" s="1"/>
      <c r="R492" s="1"/>
      <c r="S492" s="1"/>
    </row>
    <row r="493" spans="1:19" hidden="1" x14ac:dyDescent="0.4">
      <c r="A493" t="s">
        <v>1511</v>
      </c>
      <c r="B493" t="s">
        <v>729</v>
      </c>
      <c r="C493" s="131">
        <v>39629</v>
      </c>
      <c r="D493" t="s">
        <v>1512</v>
      </c>
      <c r="F493" t="s">
        <v>645</v>
      </c>
      <c r="H493">
        <v>45</v>
      </c>
      <c r="J493" s="1">
        <v>4253.51</v>
      </c>
      <c r="K493" s="1"/>
      <c r="L493" s="1">
        <v>4253.51</v>
      </c>
      <c r="M493" s="1">
        <v>1648.27</v>
      </c>
      <c r="N493" s="1">
        <f t="shared" si="13"/>
        <v>94.522444444444446</v>
      </c>
      <c r="O493" s="1"/>
      <c r="P493" s="1"/>
      <c r="Q493" s="1"/>
      <c r="R493" s="1"/>
      <c r="S493" s="1"/>
    </row>
    <row r="494" spans="1:19" hidden="1" x14ac:dyDescent="0.4">
      <c r="A494" t="s">
        <v>1513</v>
      </c>
      <c r="B494" t="s">
        <v>729</v>
      </c>
      <c r="C494" s="131">
        <v>39660</v>
      </c>
      <c r="D494" t="s">
        <v>1514</v>
      </c>
      <c r="F494" t="s">
        <v>645</v>
      </c>
      <c r="H494">
        <v>45</v>
      </c>
      <c r="J494" s="1">
        <v>9251.51</v>
      </c>
      <c r="K494" s="1"/>
      <c r="L494" s="1">
        <v>9251.51</v>
      </c>
      <c r="M494" s="1">
        <v>3584.99</v>
      </c>
      <c r="N494" s="1">
        <f t="shared" si="13"/>
        <v>205.58911111111112</v>
      </c>
      <c r="O494" s="1"/>
      <c r="P494" s="1"/>
      <c r="Q494" s="1"/>
      <c r="R494" s="1"/>
      <c r="S494" s="1"/>
    </row>
    <row r="495" spans="1:19" hidden="1" x14ac:dyDescent="0.4">
      <c r="A495" t="s">
        <v>1515</v>
      </c>
      <c r="B495" t="s">
        <v>729</v>
      </c>
      <c r="C495" s="131">
        <v>39691</v>
      </c>
      <c r="D495" t="s">
        <v>1516</v>
      </c>
      <c r="F495" t="s">
        <v>645</v>
      </c>
      <c r="H495">
        <v>45</v>
      </c>
      <c r="J495" s="1">
        <v>7276.25</v>
      </c>
      <c r="K495" s="1"/>
      <c r="L495" s="1">
        <v>7276.25</v>
      </c>
      <c r="M495" s="1">
        <v>2819.58</v>
      </c>
      <c r="N495" s="1">
        <f t="shared" si="13"/>
        <v>161.69444444444446</v>
      </c>
      <c r="O495" s="1"/>
      <c r="P495" s="1"/>
      <c r="Q495" s="1"/>
      <c r="R495" s="1"/>
      <c r="S495" s="1"/>
    </row>
    <row r="496" spans="1:19" hidden="1" x14ac:dyDescent="0.4">
      <c r="A496" t="s">
        <v>1517</v>
      </c>
      <c r="B496" t="s">
        <v>729</v>
      </c>
      <c r="C496" s="131">
        <v>39721</v>
      </c>
      <c r="D496" t="s">
        <v>1518</v>
      </c>
      <c r="F496" t="s">
        <v>645</v>
      </c>
      <c r="H496">
        <v>45</v>
      </c>
      <c r="J496" s="1">
        <v>6604.48</v>
      </c>
      <c r="K496" s="1"/>
      <c r="L496" s="1">
        <v>6604.48</v>
      </c>
      <c r="M496" s="1">
        <v>2559.21</v>
      </c>
      <c r="N496" s="1">
        <f t="shared" si="13"/>
        <v>146.76622222222221</v>
      </c>
      <c r="O496" s="1"/>
      <c r="P496" s="1"/>
      <c r="Q496" s="1"/>
      <c r="R496" s="1"/>
      <c r="S496" s="1"/>
    </row>
    <row r="497" spans="1:19" hidden="1" x14ac:dyDescent="0.4">
      <c r="A497" t="s">
        <v>1519</v>
      </c>
      <c r="B497" t="s">
        <v>729</v>
      </c>
      <c r="C497" s="131">
        <v>39752</v>
      </c>
      <c r="D497" t="s">
        <v>1520</v>
      </c>
      <c r="F497" t="s">
        <v>645</v>
      </c>
      <c r="H497">
        <v>45</v>
      </c>
      <c r="J497" s="1">
        <v>9490.7000000000007</v>
      </c>
      <c r="K497" s="1"/>
      <c r="L497" s="1">
        <v>9490.7000000000007</v>
      </c>
      <c r="M497" s="1">
        <v>3677.68</v>
      </c>
      <c r="N497" s="1">
        <f t="shared" si="13"/>
        <v>210.90444444444447</v>
      </c>
      <c r="O497" s="1"/>
      <c r="P497" s="1"/>
      <c r="Q497" s="1"/>
      <c r="R497" s="1"/>
      <c r="S497" s="1"/>
    </row>
    <row r="498" spans="1:19" hidden="1" x14ac:dyDescent="0.4">
      <c r="A498" t="s">
        <v>1521</v>
      </c>
      <c r="B498" t="s">
        <v>729</v>
      </c>
      <c r="C498" s="131">
        <v>39782</v>
      </c>
      <c r="D498" t="s">
        <v>1522</v>
      </c>
      <c r="F498" t="s">
        <v>645</v>
      </c>
      <c r="H498">
        <v>45</v>
      </c>
      <c r="J498" s="1">
        <v>5756.25</v>
      </c>
      <c r="K498" s="1"/>
      <c r="L498" s="1">
        <v>5756.25</v>
      </c>
      <c r="M498" s="1">
        <v>2230.58</v>
      </c>
      <c r="N498" s="1">
        <f t="shared" si="13"/>
        <v>127.91666666666667</v>
      </c>
      <c r="O498" s="1"/>
      <c r="P498" s="1"/>
      <c r="Q498" s="1"/>
      <c r="R498" s="1"/>
      <c r="S498" s="1"/>
    </row>
    <row r="499" spans="1:19" hidden="1" x14ac:dyDescent="0.4">
      <c r="A499" t="s">
        <v>1523</v>
      </c>
      <c r="B499" t="s">
        <v>729</v>
      </c>
      <c r="C499" s="131">
        <v>39813</v>
      </c>
      <c r="D499" t="s">
        <v>1524</v>
      </c>
      <c r="F499" t="s">
        <v>645</v>
      </c>
      <c r="H499">
        <v>45</v>
      </c>
      <c r="J499" s="1">
        <v>5543.86</v>
      </c>
      <c r="K499" s="1"/>
      <c r="L499" s="1">
        <v>5543.86</v>
      </c>
      <c r="M499" s="1">
        <v>2148.2800000000002</v>
      </c>
      <c r="N499" s="1">
        <f t="shared" si="13"/>
        <v>123.19688888888888</v>
      </c>
      <c r="O499" s="1"/>
      <c r="P499" s="1"/>
      <c r="Q499" s="1"/>
      <c r="R499" s="1"/>
      <c r="S499" s="1"/>
    </row>
    <row r="500" spans="1:19" hidden="1" x14ac:dyDescent="0.4">
      <c r="A500" t="s">
        <v>1525</v>
      </c>
      <c r="B500" t="s">
        <v>729</v>
      </c>
      <c r="C500" s="131">
        <v>39844</v>
      </c>
      <c r="D500" t="s">
        <v>1526</v>
      </c>
      <c r="F500" t="s">
        <v>645</v>
      </c>
      <c r="H500">
        <v>45</v>
      </c>
      <c r="J500" s="1">
        <v>1895.34</v>
      </c>
      <c r="K500" s="1"/>
      <c r="L500" s="1">
        <v>1895.34</v>
      </c>
      <c r="M500" s="1">
        <v>687.02</v>
      </c>
      <c r="N500" s="1">
        <f t="shared" si="13"/>
        <v>42.118666666666662</v>
      </c>
      <c r="O500" s="1"/>
      <c r="P500" s="1"/>
      <c r="Q500" s="1"/>
      <c r="R500" s="1"/>
      <c r="S500" s="1"/>
    </row>
    <row r="501" spans="1:19" hidden="1" x14ac:dyDescent="0.4">
      <c r="A501" t="s">
        <v>1527</v>
      </c>
      <c r="B501" t="s">
        <v>729</v>
      </c>
      <c r="C501" s="131">
        <v>39872</v>
      </c>
      <c r="D501" t="s">
        <v>1528</v>
      </c>
      <c r="F501" t="s">
        <v>645</v>
      </c>
      <c r="H501">
        <v>45</v>
      </c>
      <c r="J501" s="1">
        <v>4666.1499999999996</v>
      </c>
      <c r="K501" s="1"/>
      <c r="L501" s="1">
        <v>4666.1499999999996</v>
      </c>
      <c r="M501" s="1">
        <v>1691.45</v>
      </c>
      <c r="N501" s="1">
        <f t="shared" si="13"/>
        <v>103.69222222222221</v>
      </c>
      <c r="O501" s="1"/>
      <c r="P501" s="1"/>
      <c r="Q501" s="1"/>
      <c r="R501" s="1"/>
      <c r="S501" s="1"/>
    </row>
    <row r="502" spans="1:19" hidden="1" x14ac:dyDescent="0.4">
      <c r="A502" t="s">
        <v>1529</v>
      </c>
      <c r="B502" t="s">
        <v>729</v>
      </c>
      <c r="C502" s="131">
        <v>39903</v>
      </c>
      <c r="D502" t="s">
        <v>1530</v>
      </c>
      <c r="F502" t="s">
        <v>645</v>
      </c>
      <c r="H502">
        <v>45</v>
      </c>
      <c r="J502" s="1">
        <v>2851.32</v>
      </c>
      <c r="K502" s="1"/>
      <c r="L502" s="1">
        <v>2851.32</v>
      </c>
      <c r="M502" s="1">
        <v>1033.56</v>
      </c>
      <c r="N502" s="1">
        <f t="shared" si="13"/>
        <v>63.362666666666669</v>
      </c>
      <c r="O502" s="1"/>
      <c r="P502" s="1"/>
      <c r="Q502" s="1"/>
      <c r="R502" s="1"/>
      <c r="S502" s="1"/>
    </row>
    <row r="503" spans="1:19" hidden="1" x14ac:dyDescent="0.4">
      <c r="A503" t="s">
        <v>1531</v>
      </c>
      <c r="B503" t="s">
        <v>729</v>
      </c>
      <c r="C503" s="131">
        <v>39933</v>
      </c>
      <c r="D503" t="s">
        <v>1532</v>
      </c>
      <c r="F503" t="s">
        <v>645</v>
      </c>
      <c r="H503">
        <v>45</v>
      </c>
      <c r="J503" s="1">
        <v>4207.51</v>
      </c>
      <c r="K503" s="1"/>
      <c r="L503" s="1">
        <v>4207.51</v>
      </c>
      <c r="M503" s="1">
        <v>1525.25</v>
      </c>
      <c r="N503" s="1">
        <f t="shared" si="13"/>
        <v>93.50022222222222</v>
      </c>
      <c r="O503" s="1"/>
      <c r="P503" s="1"/>
      <c r="Q503" s="1"/>
      <c r="R503" s="1"/>
      <c r="S503" s="1"/>
    </row>
    <row r="504" spans="1:19" hidden="1" x14ac:dyDescent="0.4">
      <c r="A504" t="s">
        <v>1533</v>
      </c>
      <c r="B504" t="s">
        <v>729</v>
      </c>
      <c r="C504" s="131">
        <v>39964</v>
      </c>
      <c r="D504" t="s">
        <v>1534</v>
      </c>
      <c r="F504" t="s">
        <v>645</v>
      </c>
      <c r="H504">
        <v>45</v>
      </c>
      <c r="J504" s="1">
        <v>2052.04</v>
      </c>
      <c r="K504" s="1"/>
      <c r="L504" s="1">
        <v>2052.04</v>
      </c>
      <c r="M504" s="1">
        <v>743.85</v>
      </c>
      <c r="N504" s="1">
        <f t="shared" si="13"/>
        <v>45.600888888888889</v>
      </c>
      <c r="O504" s="35"/>
    </row>
    <row r="505" spans="1:19" hidden="1" x14ac:dyDescent="0.4">
      <c r="A505" t="s">
        <v>1535</v>
      </c>
      <c r="B505" t="s">
        <v>729</v>
      </c>
      <c r="C505" s="131">
        <v>39994</v>
      </c>
      <c r="D505" t="s">
        <v>1536</v>
      </c>
      <c r="F505" t="s">
        <v>645</v>
      </c>
      <c r="H505">
        <v>45</v>
      </c>
      <c r="J505" s="1">
        <v>4742.2</v>
      </c>
      <c r="K505" s="1"/>
      <c r="L505" s="1">
        <v>4742.2</v>
      </c>
      <c r="M505" s="1">
        <v>1719.05</v>
      </c>
      <c r="N505" s="1">
        <f t="shared" si="13"/>
        <v>105.38222222222223</v>
      </c>
      <c r="O505" s="1"/>
      <c r="R505" s="35"/>
    </row>
    <row r="506" spans="1:19" hidden="1" x14ac:dyDescent="0.4">
      <c r="A506" t="s">
        <v>1537</v>
      </c>
      <c r="B506" t="s">
        <v>729</v>
      </c>
      <c r="C506" s="131">
        <v>40025</v>
      </c>
      <c r="D506" t="s">
        <v>1538</v>
      </c>
      <c r="F506" t="s">
        <v>645</v>
      </c>
      <c r="H506">
        <v>45</v>
      </c>
      <c r="J506" s="1">
        <v>4863.51</v>
      </c>
      <c r="K506" s="1"/>
      <c r="L506" s="1">
        <v>4863.51</v>
      </c>
      <c r="M506" s="1">
        <v>1763.05</v>
      </c>
      <c r="N506" s="1">
        <f t="shared" si="13"/>
        <v>108.078</v>
      </c>
    </row>
    <row r="507" spans="1:19" hidden="1" x14ac:dyDescent="0.4">
      <c r="A507" t="s">
        <v>1539</v>
      </c>
      <c r="B507" t="s">
        <v>729</v>
      </c>
      <c r="C507" s="131">
        <v>40056</v>
      </c>
      <c r="D507" t="s">
        <v>1540</v>
      </c>
      <c r="F507" t="s">
        <v>645</v>
      </c>
      <c r="H507">
        <v>45</v>
      </c>
      <c r="J507" s="1">
        <v>6325.67</v>
      </c>
      <c r="K507" s="1"/>
      <c r="L507" s="1">
        <v>6325.67</v>
      </c>
      <c r="M507" s="1">
        <v>2293.0300000000002</v>
      </c>
      <c r="N507" s="1">
        <f t="shared" si="13"/>
        <v>140.57044444444443</v>
      </c>
      <c r="O507" s="63"/>
      <c r="P507" s="63"/>
      <c r="Q507" s="63"/>
    </row>
    <row r="508" spans="1:19" hidden="1" x14ac:dyDescent="0.4">
      <c r="A508" t="s">
        <v>1541</v>
      </c>
      <c r="B508" t="s">
        <v>729</v>
      </c>
      <c r="C508" s="131">
        <v>40086</v>
      </c>
      <c r="D508" t="s">
        <v>1542</v>
      </c>
      <c r="F508" t="s">
        <v>645</v>
      </c>
      <c r="H508">
        <v>45</v>
      </c>
      <c r="J508" s="1">
        <v>5923.89</v>
      </c>
      <c r="K508" s="1"/>
      <c r="L508" s="1">
        <v>5923.89</v>
      </c>
      <c r="M508" s="1">
        <v>2147.4499999999998</v>
      </c>
      <c r="N508" s="1">
        <f t="shared" si="13"/>
        <v>131.642</v>
      </c>
      <c r="O508" s="1"/>
      <c r="P508" s="1"/>
      <c r="Q508" s="1"/>
      <c r="R508" s="1"/>
      <c r="S508" s="1"/>
    </row>
    <row r="509" spans="1:19" hidden="1" x14ac:dyDescent="0.4">
      <c r="A509" t="s">
        <v>1543</v>
      </c>
      <c r="B509" t="s">
        <v>729</v>
      </c>
      <c r="C509" s="131">
        <v>40117</v>
      </c>
      <c r="D509" t="s">
        <v>1544</v>
      </c>
      <c r="F509" t="s">
        <v>645</v>
      </c>
      <c r="H509">
        <v>45</v>
      </c>
      <c r="J509" s="1">
        <v>3500.87</v>
      </c>
      <c r="K509" s="1"/>
      <c r="L509" s="1">
        <v>3500.87</v>
      </c>
      <c r="M509" s="1">
        <v>1269.04</v>
      </c>
      <c r="N509" s="1">
        <f t="shared" si="13"/>
        <v>77.797111111111107</v>
      </c>
      <c r="O509" s="1"/>
      <c r="P509" s="1"/>
      <c r="Q509" s="1"/>
      <c r="R509" s="1"/>
      <c r="S509" s="1"/>
    </row>
    <row r="510" spans="1:19" hidden="1" x14ac:dyDescent="0.4">
      <c r="A510" t="s">
        <v>1545</v>
      </c>
      <c r="B510" t="s">
        <v>729</v>
      </c>
      <c r="C510" s="131">
        <v>40147</v>
      </c>
      <c r="D510" t="s">
        <v>1546</v>
      </c>
      <c r="F510" t="s">
        <v>645</v>
      </c>
      <c r="H510">
        <v>45</v>
      </c>
      <c r="J510" s="1">
        <v>6853.25</v>
      </c>
      <c r="K510" s="1"/>
      <c r="L510" s="1">
        <v>6853.25</v>
      </c>
      <c r="M510" s="1">
        <v>2484.29</v>
      </c>
      <c r="N510" s="1">
        <f t="shared" si="13"/>
        <v>152.29444444444445</v>
      </c>
      <c r="O510" s="1"/>
      <c r="P510" s="1"/>
      <c r="Q510" s="1"/>
      <c r="R510" s="1"/>
      <c r="S510" s="1"/>
    </row>
    <row r="511" spans="1:19" hidden="1" x14ac:dyDescent="0.4">
      <c r="A511" t="s">
        <v>1547</v>
      </c>
      <c r="B511" t="s">
        <v>729</v>
      </c>
      <c r="C511" s="131">
        <v>40178</v>
      </c>
      <c r="D511" t="s">
        <v>1548</v>
      </c>
      <c r="F511" t="s">
        <v>645</v>
      </c>
      <c r="H511">
        <v>45</v>
      </c>
      <c r="J511" s="1">
        <v>4302.96</v>
      </c>
      <c r="K511" s="1"/>
      <c r="L511" s="1">
        <v>4302.96</v>
      </c>
      <c r="M511" s="1">
        <v>1559.8</v>
      </c>
      <c r="N511" s="1">
        <f t="shared" si="13"/>
        <v>95.62133333333334</v>
      </c>
      <c r="O511" s="1"/>
      <c r="P511" s="1"/>
      <c r="Q511" s="1"/>
      <c r="R511" s="1"/>
      <c r="S511" s="1"/>
    </row>
    <row r="512" spans="1:19" hidden="1" x14ac:dyDescent="0.4">
      <c r="A512" t="s">
        <v>1549</v>
      </c>
      <c r="B512" t="s">
        <v>729</v>
      </c>
      <c r="C512" s="131">
        <v>40209</v>
      </c>
      <c r="D512" t="s">
        <v>1550</v>
      </c>
      <c r="F512" t="s">
        <v>645</v>
      </c>
      <c r="H512">
        <v>45</v>
      </c>
      <c r="J512" s="1">
        <v>3481.37</v>
      </c>
      <c r="K512" s="1"/>
      <c r="L512" s="1">
        <v>3481.37</v>
      </c>
      <c r="M512" s="1">
        <v>1174.94</v>
      </c>
      <c r="N512" s="1">
        <f t="shared" si="13"/>
        <v>77.36377777777777</v>
      </c>
      <c r="O512" s="1"/>
      <c r="P512" s="1"/>
      <c r="Q512" s="1"/>
      <c r="R512" s="1"/>
      <c r="S512" s="1"/>
    </row>
    <row r="513" spans="1:19" hidden="1" x14ac:dyDescent="0.4">
      <c r="A513" t="s">
        <v>1551</v>
      </c>
      <c r="B513" t="s">
        <v>729</v>
      </c>
      <c r="C513" s="131">
        <v>40237</v>
      </c>
      <c r="D513" t="s">
        <v>1552</v>
      </c>
      <c r="F513" t="s">
        <v>645</v>
      </c>
      <c r="H513">
        <v>45</v>
      </c>
      <c r="J513" s="1">
        <v>1491.38</v>
      </c>
      <c r="K513" s="1"/>
      <c r="L513" s="1">
        <v>1491.38</v>
      </c>
      <c r="M513" s="1">
        <v>503.33</v>
      </c>
      <c r="N513" s="1">
        <f t="shared" si="13"/>
        <v>33.141777777777783</v>
      </c>
      <c r="O513" s="1"/>
      <c r="P513" s="1"/>
      <c r="Q513" s="1"/>
      <c r="R513" s="1"/>
      <c r="S513" s="1"/>
    </row>
    <row r="514" spans="1:19" hidden="1" x14ac:dyDescent="0.4">
      <c r="A514" t="s">
        <v>1553</v>
      </c>
      <c r="B514" t="s">
        <v>729</v>
      </c>
      <c r="C514" s="131">
        <v>40268</v>
      </c>
      <c r="D514" t="s">
        <v>1554</v>
      </c>
      <c r="F514" t="s">
        <v>645</v>
      </c>
      <c r="H514">
        <v>45</v>
      </c>
      <c r="J514" s="1">
        <v>6384.09</v>
      </c>
      <c r="K514" s="1"/>
      <c r="L514" s="1">
        <v>6384.09</v>
      </c>
      <c r="M514" s="1">
        <v>2154.6</v>
      </c>
      <c r="N514" s="1">
        <f t="shared" si="13"/>
        <v>141.86866666666668</v>
      </c>
      <c r="O514" s="1"/>
      <c r="P514" s="1"/>
      <c r="Q514" s="1"/>
      <c r="R514" s="1"/>
      <c r="S514" s="1"/>
    </row>
    <row r="515" spans="1:19" hidden="1" x14ac:dyDescent="0.4">
      <c r="A515" t="s">
        <v>1555</v>
      </c>
      <c r="B515" t="s">
        <v>729</v>
      </c>
      <c r="C515" s="131">
        <v>40298</v>
      </c>
      <c r="D515" t="s">
        <v>1556</v>
      </c>
      <c r="F515" t="s">
        <v>645</v>
      </c>
      <c r="H515">
        <v>45</v>
      </c>
      <c r="J515" s="1">
        <v>5536.62</v>
      </c>
      <c r="K515" s="1"/>
      <c r="L515" s="1">
        <v>5536.62</v>
      </c>
      <c r="M515" s="1">
        <v>1868.62</v>
      </c>
      <c r="N515" s="1">
        <f t="shared" si="13"/>
        <v>123.036</v>
      </c>
      <c r="O515" s="1"/>
      <c r="P515" s="1"/>
      <c r="Q515" s="1"/>
      <c r="R515" s="1"/>
      <c r="S515" s="1"/>
    </row>
    <row r="516" spans="1:19" hidden="1" x14ac:dyDescent="0.4">
      <c r="A516" t="s">
        <v>1557</v>
      </c>
      <c r="B516" t="s">
        <v>729</v>
      </c>
      <c r="C516" s="131">
        <v>40329</v>
      </c>
      <c r="D516" t="s">
        <v>1510</v>
      </c>
      <c r="F516" t="s">
        <v>645</v>
      </c>
      <c r="H516">
        <v>45</v>
      </c>
      <c r="J516" s="1">
        <v>4415.91</v>
      </c>
      <c r="K516" s="1"/>
      <c r="L516" s="1">
        <v>4415.91</v>
      </c>
      <c r="M516" s="1">
        <v>1490.4</v>
      </c>
      <c r="N516" s="1">
        <f t="shared" si="13"/>
        <v>98.13133333333333</v>
      </c>
      <c r="O516" s="1"/>
      <c r="P516" s="1"/>
      <c r="Q516" s="1"/>
      <c r="R516" s="1"/>
      <c r="S516" s="1"/>
    </row>
    <row r="517" spans="1:19" hidden="1" x14ac:dyDescent="0.4">
      <c r="A517" t="s">
        <v>1558</v>
      </c>
      <c r="B517" t="s">
        <v>729</v>
      </c>
      <c r="C517" s="131">
        <v>40359</v>
      </c>
      <c r="D517" t="s">
        <v>1559</v>
      </c>
      <c r="F517" t="s">
        <v>645</v>
      </c>
      <c r="H517">
        <v>45</v>
      </c>
      <c r="J517" s="1">
        <v>5377.94</v>
      </c>
      <c r="K517" s="1"/>
      <c r="L517" s="1">
        <v>5377.94</v>
      </c>
      <c r="M517" s="1">
        <v>1815.07</v>
      </c>
      <c r="N517" s="1">
        <f t="shared" ref="N517:N580" si="14">L517/H517</f>
        <v>119.50977777777777</v>
      </c>
      <c r="O517" s="1"/>
      <c r="P517" s="1"/>
      <c r="Q517" s="1"/>
      <c r="R517" s="1"/>
      <c r="S517" s="1"/>
    </row>
    <row r="518" spans="1:19" hidden="1" x14ac:dyDescent="0.4">
      <c r="A518" t="s">
        <v>1560</v>
      </c>
      <c r="B518" t="s">
        <v>729</v>
      </c>
      <c r="C518" s="131">
        <v>40390</v>
      </c>
      <c r="D518" t="s">
        <v>1561</v>
      </c>
      <c r="F518" t="s">
        <v>645</v>
      </c>
      <c r="H518">
        <v>45</v>
      </c>
      <c r="J518" s="1">
        <v>3035.65</v>
      </c>
      <c r="K518" s="1"/>
      <c r="L518" s="1">
        <v>3035.65</v>
      </c>
      <c r="M518" s="1">
        <v>1024.52</v>
      </c>
      <c r="N518" s="1">
        <f t="shared" si="14"/>
        <v>67.458888888888893</v>
      </c>
      <c r="O518" s="1"/>
      <c r="P518" s="1"/>
      <c r="Q518" s="1"/>
      <c r="R518" s="1"/>
      <c r="S518" s="1"/>
    </row>
    <row r="519" spans="1:19" hidden="1" x14ac:dyDescent="0.4">
      <c r="A519" t="s">
        <v>1562</v>
      </c>
      <c r="B519" t="s">
        <v>729</v>
      </c>
      <c r="C519" s="131">
        <v>40421</v>
      </c>
      <c r="D519" t="s">
        <v>1563</v>
      </c>
      <c r="F519" t="s">
        <v>645</v>
      </c>
      <c r="H519">
        <v>45</v>
      </c>
      <c r="J519" s="1">
        <v>6260.41</v>
      </c>
      <c r="K519" s="1"/>
      <c r="L519" s="1">
        <v>6260.41</v>
      </c>
      <c r="M519" s="1">
        <v>2112.89</v>
      </c>
      <c r="N519" s="1">
        <f t="shared" si="14"/>
        <v>139.12022222222222</v>
      </c>
      <c r="O519" s="1"/>
      <c r="P519" s="1"/>
      <c r="Q519" s="1"/>
      <c r="R519" s="1"/>
      <c r="S519" s="1"/>
    </row>
    <row r="520" spans="1:19" hidden="1" x14ac:dyDescent="0.4">
      <c r="A520" t="s">
        <v>1564</v>
      </c>
      <c r="B520" t="s">
        <v>729</v>
      </c>
      <c r="C520" s="131">
        <v>40451</v>
      </c>
      <c r="D520" t="s">
        <v>1565</v>
      </c>
      <c r="F520" t="s">
        <v>645</v>
      </c>
      <c r="H520">
        <v>45</v>
      </c>
      <c r="J520" s="1">
        <v>10698.5</v>
      </c>
      <c r="K520" s="1"/>
      <c r="L520" s="1">
        <v>10698.5</v>
      </c>
      <c r="M520" s="1">
        <v>3610.71</v>
      </c>
      <c r="N520" s="1">
        <f t="shared" si="14"/>
        <v>237.74444444444444</v>
      </c>
      <c r="O520" s="1"/>
      <c r="P520" s="1"/>
      <c r="Q520" s="1"/>
      <c r="R520" s="1"/>
      <c r="S520" s="1"/>
    </row>
    <row r="521" spans="1:19" hidden="1" x14ac:dyDescent="0.4">
      <c r="A521" t="s">
        <v>1566</v>
      </c>
      <c r="B521" t="s">
        <v>729</v>
      </c>
      <c r="C521" s="131">
        <v>40482</v>
      </c>
      <c r="D521" t="s">
        <v>1567</v>
      </c>
      <c r="F521" t="s">
        <v>645</v>
      </c>
      <c r="H521">
        <v>45</v>
      </c>
      <c r="J521" s="1">
        <v>8966.9500000000007</v>
      </c>
      <c r="K521" s="1"/>
      <c r="L521" s="1">
        <v>8966.9500000000007</v>
      </c>
      <c r="M521" s="1">
        <v>3026.31</v>
      </c>
      <c r="N521" s="1">
        <f t="shared" si="14"/>
        <v>199.26555555555558</v>
      </c>
      <c r="O521" s="1"/>
      <c r="P521" s="1"/>
      <c r="Q521" s="1"/>
      <c r="R521" s="1"/>
      <c r="S521" s="1"/>
    </row>
    <row r="522" spans="1:19" hidden="1" x14ac:dyDescent="0.4">
      <c r="A522" t="s">
        <v>1568</v>
      </c>
      <c r="B522" t="s">
        <v>729</v>
      </c>
      <c r="C522" s="131">
        <v>40512</v>
      </c>
      <c r="D522" t="s">
        <v>1569</v>
      </c>
      <c r="F522" t="s">
        <v>645</v>
      </c>
      <c r="H522">
        <v>45</v>
      </c>
      <c r="J522" s="1">
        <v>4654.71</v>
      </c>
      <c r="K522" s="1"/>
      <c r="L522" s="1">
        <v>4654.71</v>
      </c>
      <c r="M522" s="1">
        <v>1570.99</v>
      </c>
      <c r="N522" s="1">
        <f t="shared" si="14"/>
        <v>103.438</v>
      </c>
      <c r="O522" s="1"/>
      <c r="P522" s="1"/>
      <c r="Q522" s="1"/>
      <c r="R522" s="1"/>
      <c r="S522" s="1"/>
    </row>
    <row r="523" spans="1:19" hidden="1" x14ac:dyDescent="0.4">
      <c r="A523" t="s">
        <v>1570</v>
      </c>
      <c r="B523" t="s">
        <v>729</v>
      </c>
      <c r="C523" s="131">
        <v>40543</v>
      </c>
      <c r="D523" t="s">
        <v>1571</v>
      </c>
      <c r="F523" t="s">
        <v>645</v>
      </c>
      <c r="H523">
        <v>45</v>
      </c>
      <c r="J523" s="1">
        <v>3130.86</v>
      </c>
      <c r="K523" s="1"/>
      <c r="L523" s="1">
        <v>3130.86</v>
      </c>
      <c r="M523" s="1">
        <v>1056.6500000000001</v>
      </c>
      <c r="N523" s="1">
        <f t="shared" si="14"/>
        <v>69.574666666666673</v>
      </c>
      <c r="O523" s="1"/>
      <c r="P523" s="1"/>
      <c r="Q523" s="1"/>
      <c r="R523" s="1"/>
      <c r="S523" s="1"/>
    </row>
    <row r="524" spans="1:19" hidden="1" x14ac:dyDescent="0.4">
      <c r="A524" t="s">
        <v>1572</v>
      </c>
      <c r="B524" t="s">
        <v>729</v>
      </c>
      <c r="C524" s="131">
        <v>40574</v>
      </c>
      <c r="D524" t="s">
        <v>1573</v>
      </c>
      <c r="F524" t="s">
        <v>645</v>
      </c>
      <c r="H524">
        <v>45</v>
      </c>
      <c r="J524" s="1">
        <v>4628.51</v>
      </c>
      <c r="K524" s="1"/>
      <c r="L524" s="1">
        <v>4628.51</v>
      </c>
      <c r="M524" s="1">
        <v>1446.38</v>
      </c>
      <c r="N524" s="1">
        <f t="shared" si="14"/>
        <v>102.85577777777779</v>
      </c>
      <c r="O524" s="1"/>
      <c r="P524" s="1"/>
      <c r="Q524" s="1"/>
      <c r="R524" s="1"/>
      <c r="S524" s="1"/>
    </row>
    <row r="525" spans="1:19" hidden="1" x14ac:dyDescent="0.4">
      <c r="A525" t="s">
        <v>1574</v>
      </c>
      <c r="B525" t="s">
        <v>729</v>
      </c>
      <c r="C525" s="131">
        <v>40602</v>
      </c>
      <c r="D525" t="s">
        <v>1575</v>
      </c>
      <c r="F525" t="s">
        <v>645</v>
      </c>
      <c r="H525">
        <v>45</v>
      </c>
      <c r="J525" s="1">
        <v>5875.44</v>
      </c>
      <c r="K525" s="1"/>
      <c r="L525" s="1">
        <v>5875.44</v>
      </c>
      <c r="M525" s="1">
        <v>1836.1</v>
      </c>
      <c r="N525" s="1">
        <f t="shared" si="14"/>
        <v>130.56533333333331</v>
      </c>
      <c r="O525" s="1"/>
      <c r="P525" s="1"/>
      <c r="Q525" s="1"/>
      <c r="R525" s="1"/>
      <c r="S525" s="1"/>
    </row>
    <row r="526" spans="1:19" hidden="1" x14ac:dyDescent="0.4">
      <c r="A526" t="s">
        <v>1576</v>
      </c>
      <c r="B526" t="s">
        <v>729</v>
      </c>
      <c r="C526" s="131">
        <v>40633</v>
      </c>
      <c r="D526" t="s">
        <v>1577</v>
      </c>
      <c r="F526" t="s">
        <v>645</v>
      </c>
      <c r="H526">
        <v>45</v>
      </c>
      <c r="J526" s="1">
        <v>8641.67</v>
      </c>
      <c r="K526" s="1"/>
      <c r="L526" s="1">
        <v>8641.67</v>
      </c>
      <c r="M526" s="1">
        <v>2700.5</v>
      </c>
      <c r="N526" s="1">
        <f t="shared" si="14"/>
        <v>192.0371111111111</v>
      </c>
      <c r="O526" s="1"/>
      <c r="P526" s="1"/>
      <c r="Q526" s="1"/>
      <c r="R526" s="1"/>
      <c r="S526" s="1"/>
    </row>
    <row r="527" spans="1:19" hidden="1" x14ac:dyDescent="0.4">
      <c r="A527" t="s">
        <v>1578</v>
      </c>
      <c r="B527" t="s">
        <v>729</v>
      </c>
      <c r="C527" s="131">
        <v>40663</v>
      </c>
      <c r="D527" t="s">
        <v>1579</v>
      </c>
      <c r="F527" t="s">
        <v>645</v>
      </c>
      <c r="H527">
        <v>45</v>
      </c>
      <c r="J527" s="1">
        <v>5698.02</v>
      </c>
      <c r="K527" s="1"/>
      <c r="L527" s="1">
        <v>5698.02</v>
      </c>
      <c r="M527" s="1">
        <v>1780.63</v>
      </c>
      <c r="N527" s="1">
        <f t="shared" si="14"/>
        <v>126.62266666666667</v>
      </c>
      <c r="O527" s="1"/>
      <c r="P527" s="1"/>
      <c r="Q527" s="1"/>
      <c r="R527" s="1"/>
      <c r="S527" s="1"/>
    </row>
    <row r="528" spans="1:19" hidden="1" x14ac:dyDescent="0.4">
      <c r="A528" t="s">
        <v>1580</v>
      </c>
      <c r="B528" t="s">
        <v>729</v>
      </c>
      <c r="C528" s="131">
        <v>40694</v>
      </c>
      <c r="D528" t="s">
        <v>1581</v>
      </c>
      <c r="F528" t="s">
        <v>645</v>
      </c>
      <c r="H528">
        <v>45</v>
      </c>
      <c r="J528" s="1">
        <v>3649.67</v>
      </c>
      <c r="K528" s="1"/>
      <c r="L528" s="1">
        <v>3649.67</v>
      </c>
      <c r="M528" s="1">
        <v>1140.5</v>
      </c>
      <c r="N528" s="1">
        <f t="shared" si="14"/>
        <v>81.103777777777779</v>
      </c>
      <c r="O528" s="1"/>
      <c r="P528" s="1"/>
      <c r="Q528" s="1"/>
      <c r="R528" s="1"/>
      <c r="S528" s="1"/>
    </row>
    <row r="529" spans="1:19" hidden="1" x14ac:dyDescent="0.4">
      <c r="A529" t="s">
        <v>1582</v>
      </c>
      <c r="B529" t="s">
        <v>729</v>
      </c>
      <c r="C529" s="131">
        <v>40755</v>
      </c>
      <c r="D529" t="s">
        <v>1583</v>
      </c>
      <c r="F529" t="s">
        <v>645</v>
      </c>
      <c r="H529">
        <v>45</v>
      </c>
      <c r="J529" s="1">
        <v>5974.65</v>
      </c>
      <c r="K529" s="1"/>
      <c r="L529" s="1">
        <v>5974.65</v>
      </c>
      <c r="M529" s="1">
        <v>1867.11</v>
      </c>
      <c r="N529" s="1">
        <f t="shared" si="14"/>
        <v>132.76999999999998</v>
      </c>
      <c r="O529" s="1"/>
      <c r="P529" s="1"/>
      <c r="Q529" s="1"/>
      <c r="R529" s="1"/>
      <c r="S529" s="1"/>
    </row>
    <row r="530" spans="1:19" hidden="1" x14ac:dyDescent="0.4">
      <c r="A530" t="s">
        <v>1584</v>
      </c>
      <c r="B530" t="s">
        <v>729</v>
      </c>
      <c r="C530" s="131">
        <v>40786</v>
      </c>
      <c r="D530" t="s">
        <v>1585</v>
      </c>
      <c r="F530" t="s">
        <v>645</v>
      </c>
      <c r="H530">
        <v>45</v>
      </c>
      <c r="J530" s="1">
        <v>9883.27</v>
      </c>
      <c r="K530" s="1"/>
      <c r="L530" s="1">
        <v>9883.27</v>
      </c>
      <c r="M530" s="1">
        <v>3088.5</v>
      </c>
      <c r="N530" s="1">
        <f t="shared" si="14"/>
        <v>219.62822222222223</v>
      </c>
      <c r="O530" s="1"/>
      <c r="P530" s="1"/>
      <c r="Q530" s="1"/>
      <c r="R530" s="1"/>
      <c r="S530" s="1"/>
    </row>
    <row r="531" spans="1:19" hidden="1" x14ac:dyDescent="0.4">
      <c r="A531" t="s">
        <v>1586</v>
      </c>
      <c r="B531" t="s">
        <v>729</v>
      </c>
      <c r="C531" s="131">
        <v>40816</v>
      </c>
      <c r="D531" t="s">
        <v>1587</v>
      </c>
      <c r="F531" t="s">
        <v>645</v>
      </c>
      <c r="H531">
        <v>45</v>
      </c>
      <c r="J531" s="1">
        <v>6554.71</v>
      </c>
      <c r="K531" s="1"/>
      <c r="L531" s="1">
        <v>6554.71</v>
      </c>
      <c r="M531" s="1">
        <v>2048.37</v>
      </c>
      <c r="N531" s="1">
        <f t="shared" si="14"/>
        <v>145.66022222222222</v>
      </c>
      <c r="O531" s="1"/>
      <c r="P531" s="1"/>
      <c r="Q531" s="1"/>
      <c r="R531" s="1"/>
      <c r="S531" s="1"/>
    </row>
    <row r="532" spans="1:19" hidden="1" x14ac:dyDescent="0.4">
      <c r="A532" t="s">
        <v>1588</v>
      </c>
      <c r="B532" t="s">
        <v>729</v>
      </c>
      <c r="C532" s="131">
        <v>40847</v>
      </c>
      <c r="D532" t="s">
        <v>1589</v>
      </c>
      <c r="F532" t="s">
        <v>645</v>
      </c>
      <c r="H532">
        <v>45</v>
      </c>
      <c r="J532" s="1">
        <v>5553.55</v>
      </c>
      <c r="K532" s="1"/>
      <c r="L532" s="1">
        <v>5553.55</v>
      </c>
      <c r="M532" s="1">
        <v>1735.5</v>
      </c>
      <c r="N532" s="1">
        <f t="shared" si="14"/>
        <v>123.41222222222223</v>
      </c>
      <c r="O532" s="1"/>
      <c r="P532" s="1"/>
      <c r="Q532" s="1"/>
      <c r="R532" s="1"/>
      <c r="S532" s="1"/>
    </row>
    <row r="533" spans="1:19" hidden="1" x14ac:dyDescent="0.4">
      <c r="A533" t="s">
        <v>1590</v>
      </c>
      <c r="B533" t="s">
        <v>729</v>
      </c>
      <c r="C533" s="131">
        <v>40877</v>
      </c>
      <c r="D533" t="s">
        <v>1591</v>
      </c>
      <c r="F533" t="s">
        <v>645</v>
      </c>
      <c r="H533">
        <v>45</v>
      </c>
      <c r="J533" s="1">
        <v>2864.49</v>
      </c>
      <c r="K533" s="1"/>
      <c r="L533" s="1">
        <v>2864.49</v>
      </c>
      <c r="M533" s="1">
        <v>895.13</v>
      </c>
      <c r="N533" s="1">
        <f t="shared" si="14"/>
        <v>63.655333333333331</v>
      </c>
      <c r="O533" s="1"/>
      <c r="P533" s="1"/>
      <c r="Q533" s="1"/>
      <c r="R533" s="1"/>
      <c r="S533" s="1"/>
    </row>
    <row r="534" spans="1:19" hidden="1" x14ac:dyDescent="0.4">
      <c r="A534" t="s">
        <v>1592</v>
      </c>
      <c r="B534" t="s">
        <v>729</v>
      </c>
      <c r="C534" s="131">
        <v>40908</v>
      </c>
      <c r="D534" t="s">
        <v>1593</v>
      </c>
      <c r="F534" t="s">
        <v>645</v>
      </c>
      <c r="H534">
        <v>45</v>
      </c>
      <c r="J534" s="1">
        <v>4084.07</v>
      </c>
      <c r="K534" s="1"/>
      <c r="L534" s="1">
        <v>4084.07</v>
      </c>
      <c r="M534" s="1">
        <v>1276.25</v>
      </c>
      <c r="N534" s="1">
        <f t="shared" si="14"/>
        <v>90.757111111111115</v>
      </c>
      <c r="O534" s="1"/>
      <c r="P534" s="1"/>
      <c r="Q534" s="1"/>
      <c r="R534" s="1"/>
      <c r="S534" s="1"/>
    </row>
    <row r="535" spans="1:19" hidden="1" x14ac:dyDescent="0.4">
      <c r="A535" t="s">
        <v>1594</v>
      </c>
      <c r="B535" t="s">
        <v>729</v>
      </c>
      <c r="C535" s="131">
        <v>40939</v>
      </c>
      <c r="D535" t="s">
        <v>1595</v>
      </c>
      <c r="F535" t="s">
        <v>645</v>
      </c>
      <c r="H535">
        <v>45</v>
      </c>
      <c r="J535" s="1">
        <v>4128.97</v>
      </c>
      <c r="K535" s="1"/>
      <c r="L535" s="1">
        <v>4128.97</v>
      </c>
      <c r="M535" s="1">
        <v>1187.06</v>
      </c>
      <c r="N535" s="1">
        <f t="shared" si="14"/>
        <v>91.7548888888889</v>
      </c>
      <c r="O535" s="1"/>
      <c r="P535" s="1"/>
      <c r="Q535" s="1"/>
      <c r="R535" s="1"/>
      <c r="S535" s="1"/>
    </row>
    <row r="536" spans="1:19" hidden="1" x14ac:dyDescent="0.4">
      <c r="A536" t="s">
        <v>1596</v>
      </c>
      <c r="B536" t="s">
        <v>729</v>
      </c>
      <c r="C536" s="131">
        <v>40968</v>
      </c>
      <c r="D536" t="s">
        <v>1597</v>
      </c>
      <c r="F536" t="s">
        <v>645</v>
      </c>
      <c r="H536">
        <v>45</v>
      </c>
      <c r="J536" s="1">
        <v>4258.12</v>
      </c>
      <c r="K536" s="1"/>
      <c r="L536" s="1">
        <v>4258.12</v>
      </c>
      <c r="M536" s="1">
        <v>1224.18</v>
      </c>
      <c r="N536" s="1">
        <f t="shared" si="14"/>
        <v>94.62488888888889</v>
      </c>
      <c r="O536" s="1"/>
      <c r="P536" s="1"/>
      <c r="Q536" s="1"/>
      <c r="R536" s="1"/>
      <c r="S536" s="1"/>
    </row>
    <row r="537" spans="1:19" hidden="1" x14ac:dyDescent="0.4">
      <c r="A537" t="s">
        <v>1598</v>
      </c>
      <c r="B537" t="s">
        <v>729</v>
      </c>
      <c r="C537" s="131">
        <v>40999</v>
      </c>
      <c r="D537" t="s">
        <v>1599</v>
      </c>
      <c r="F537" t="s">
        <v>645</v>
      </c>
      <c r="H537">
        <v>45</v>
      </c>
      <c r="J537" s="1">
        <v>3591.95</v>
      </c>
      <c r="K537" s="1"/>
      <c r="L537" s="1">
        <v>3591.95</v>
      </c>
      <c r="M537" s="1">
        <v>1032.7</v>
      </c>
      <c r="N537" s="1">
        <f t="shared" si="14"/>
        <v>79.821111111111108</v>
      </c>
      <c r="O537" s="1"/>
      <c r="P537" s="1"/>
      <c r="Q537" s="1"/>
      <c r="R537" s="1"/>
      <c r="S537" s="1"/>
    </row>
    <row r="538" spans="1:19" hidden="1" x14ac:dyDescent="0.4">
      <c r="A538" t="s">
        <v>1600</v>
      </c>
      <c r="B538" t="s">
        <v>729</v>
      </c>
      <c r="C538" s="131">
        <v>41029</v>
      </c>
      <c r="D538" t="s">
        <v>1601</v>
      </c>
      <c r="F538" t="s">
        <v>645</v>
      </c>
      <c r="H538">
        <v>45</v>
      </c>
      <c r="J538" s="1">
        <v>3766.12</v>
      </c>
      <c r="K538" s="1"/>
      <c r="L538" s="1">
        <v>3766.12</v>
      </c>
      <c r="M538" s="1">
        <v>1082.73</v>
      </c>
      <c r="N538" s="1">
        <f t="shared" si="14"/>
        <v>83.691555555555553</v>
      </c>
      <c r="O538" s="1"/>
      <c r="P538" s="1"/>
      <c r="Q538" s="1"/>
      <c r="R538" s="1"/>
      <c r="S538" s="1"/>
    </row>
    <row r="539" spans="1:19" hidden="1" x14ac:dyDescent="0.4">
      <c r="A539" t="s">
        <v>1602</v>
      </c>
      <c r="B539" t="s">
        <v>729</v>
      </c>
      <c r="C539" s="131">
        <v>41060</v>
      </c>
      <c r="D539" t="s">
        <v>1603</v>
      </c>
      <c r="F539" t="s">
        <v>645</v>
      </c>
      <c r="H539">
        <v>45</v>
      </c>
      <c r="J539" s="1">
        <v>5490.21</v>
      </c>
      <c r="K539" s="1"/>
      <c r="L539" s="1">
        <v>5490.21</v>
      </c>
      <c r="M539" s="1">
        <v>1578.44</v>
      </c>
      <c r="N539" s="1">
        <f t="shared" si="14"/>
        <v>122.00466666666667</v>
      </c>
      <c r="O539" s="1"/>
      <c r="P539" s="1"/>
      <c r="Q539" s="1"/>
      <c r="R539" s="1"/>
      <c r="S539" s="1"/>
    </row>
    <row r="540" spans="1:19" hidden="1" x14ac:dyDescent="0.4">
      <c r="A540" t="s">
        <v>1604</v>
      </c>
      <c r="B540" t="s">
        <v>729</v>
      </c>
      <c r="C540" s="131">
        <v>41090</v>
      </c>
      <c r="D540" t="s">
        <v>1605</v>
      </c>
      <c r="F540" t="s">
        <v>645</v>
      </c>
      <c r="H540">
        <v>45</v>
      </c>
      <c r="J540" s="1">
        <v>4939.3900000000003</v>
      </c>
      <c r="K540" s="1"/>
      <c r="L540" s="1">
        <v>4939.3900000000003</v>
      </c>
      <c r="M540" s="1">
        <v>1420.07</v>
      </c>
      <c r="N540" s="1">
        <f t="shared" si="14"/>
        <v>109.76422222222223</v>
      </c>
      <c r="O540" s="1"/>
      <c r="P540" s="1"/>
      <c r="Q540" s="1"/>
      <c r="R540" s="1"/>
      <c r="S540" s="1"/>
    </row>
    <row r="541" spans="1:19" hidden="1" x14ac:dyDescent="0.4">
      <c r="A541" t="s">
        <v>1606</v>
      </c>
      <c r="B541" t="s">
        <v>729</v>
      </c>
      <c r="C541" s="131">
        <v>41121</v>
      </c>
      <c r="D541" t="s">
        <v>1607</v>
      </c>
      <c r="F541" t="s">
        <v>645</v>
      </c>
      <c r="H541">
        <v>45</v>
      </c>
      <c r="J541" s="1">
        <v>6641.8</v>
      </c>
      <c r="K541" s="1"/>
      <c r="L541" s="1">
        <v>6641.8</v>
      </c>
      <c r="M541" s="1">
        <v>1909.52</v>
      </c>
      <c r="N541" s="1">
        <f t="shared" si="14"/>
        <v>147.59555555555556</v>
      </c>
      <c r="O541" s="1"/>
      <c r="P541" s="1"/>
      <c r="Q541" s="1"/>
      <c r="R541" s="1"/>
      <c r="S541" s="1"/>
    </row>
    <row r="542" spans="1:19" hidden="1" x14ac:dyDescent="0.4">
      <c r="A542" t="s">
        <v>1608</v>
      </c>
      <c r="B542" t="s">
        <v>729</v>
      </c>
      <c r="C542" s="131">
        <v>41152</v>
      </c>
      <c r="D542" t="s">
        <v>1609</v>
      </c>
      <c r="F542" t="s">
        <v>645</v>
      </c>
      <c r="H542">
        <v>45</v>
      </c>
      <c r="J542" s="1">
        <v>5753.15</v>
      </c>
      <c r="K542" s="1"/>
      <c r="L542" s="1">
        <v>5753.15</v>
      </c>
      <c r="M542" s="1">
        <v>1654.04</v>
      </c>
      <c r="N542" s="1">
        <f t="shared" si="14"/>
        <v>127.84777777777776</v>
      </c>
      <c r="O542" s="1"/>
      <c r="P542" s="1"/>
      <c r="Q542" s="1"/>
      <c r="R542" s="1"/>
      <c r="S542" s="1"/>
    </row>
    <row r="543" spans="1:19" hidden="1" x14ac:dyDescent="0.4">
      <c r="A543" t="s">
        <v>1610</v>
      </c>
      <c r="B543" t="s">
        <v>729</v>
      </c>
      <c r="C543" s="131">
        <v>41182</v>
      </c>
      <c r="D543" t="s">
        <v>1611</v>
      </c>
      <c r="F543" t="s">
        <v>645</v>
      </c>
      <c r="H543">
        <v>45</v>
      </c>
      <c r="J543" s="1">
        <v>9183.1200000000008</v>
      </c>
      <c r="K543" s="1"/>
      <c r="L543" s="1">
        <v>9183.1200000000008</v>
      </c>
      <c r="M543" s="1">
        <v>2640.17</v>
      </c>
      <c r="N543" s="1">
        <f t="shared" si="14"/>
        <v>204.06933333333336</v>
      </c>
      <c r="O543" s="1"/>
      <c r="P543" s="1"/>
      <c r="Q543" s="1"/>
      <c r="R543" s="1"/>
      <c r="S543" s="1"/>
    </row>
    <row r="544" spans="1:19" hidden="1" x14ac:dyDescent="0.4">
      <c r="A544" t="s">
        <v>1612</v>
      </c>
      <c r="B544" t="s">
        <v>729</v>
      </c>
      <c r="C544" s="131">
        <v>41213</v>
      </c>
      <c r="D544" t="s">
        <v>1613</v>
      </c>
      <c r="F544" t="s">
        <v>645</v>
      </c>
      <c r="H544">
        <v>45</v>
      </c>
      <c r="J544" s="1">
        <v>6694.73</v>
      </c>
      <c r="K544" s="1"/>
      <c r="L544" s="1">
        <v>6694.73</v>
      </c>
      <c r="M544" s="1">
        <v>1924.75</v>
      </c>
      <c r="N544" s="1">
        <f t="shared" si="14"/>
        <v>148.77177777777777</v>
      </c>
      <c r="O544" s="1"/>
      <c r="P544" s="1"/>
      <c r="Q544" s="1"/>
      <c r="R544" s="1"/>
      <c r="S544" s="1"/>
    </row>
    <row r="545" spans="1:19" hidden="1" x14ac:dyDescent="0.4">
      <c r="A545" t="s">
        <v>1614</v>
      </c>
      <c r="B545" t="s">
        <v>729</v>
      </c>
      <c r="C545" s="131">
        <v>41243</v>
      </c>
      <c r="D545" t="s">
        <v>1615</v>
      </c>
      <c r="F545" t="s">
        <v>645</v>
      </c>
      <c r="H545">
        <v>45</v>
      </c>
      <c r="J545" s="1">
        <v>4424.34</v>
      </c>
      <c r="K545" s="1"/>
      <c r="L545" s="1">
        <v>4424.34</v>
      </c>
      <c r="M545" s="1">
        <v>1272.01</v>
      </c>
      <c r="N545" s="1">
        <f t="shared" si="14"/>
        <v>98.318666666666672</v>
      </c>
      <c r="O545" s="1"/>
      <c r="P545" s="1"/>
      <c r="Q545" s="1"/>
      <c r="R545" s="1"/>
      <c r="S545" s="1"/>
    </row>
    <row r="546" spans="1:19" hidden="1" x14ac:dyDescent="0.4">
      <c r="A546" t="s">
        <v>1616</v>
      </c>
      <c r="B546" t="s">
        <v>729</v>
      </c>
      <c r="C546" s="131">
        <v>41274</v>
      </c>
      <c r="D546" t="s">
        <v>1617</v>
      </c>
      <c r="F546" t="s">
        <v>645</v>
      </c>
      <c r="H546">
        <v>45</v>
      </c>
      <c r="J546" s="1">
        <v>2665.91</v>
      </c>
      <c r="K546" s="1"/>
      <c r="L546" s="1">
        <v>2665.91</v>
      </c>
      <c r="M546" s="1">
        <v>766.47</v>
      </c>
      <c r="N546" s="1">
        <f t="shared" si="14"/>
        <v>59.242444444444445</v>
      </c>
      <c r="O546" s="1"/>
      <c r="P546" s="1"/>
      <c r="Q546" s="1"/>
      <c r="R546" s="1"/>
      <c r="S546" s="1"/>
    </row>
    <row r="547" spans="1:19" hidden="1" x14ac:dyDescent="0.4">
      <c r="A547" t="s">
        <v>1618</v>
      </c>
      <c r="B547" t="s">
        <v>729</v>
      </c>
      <c r="C547" s="131">
        <v>41305</v>
      </c>
      <c r="D547" t="s">
        <v>1619</v>
      </c>
      <c r="F547" t="s">
        <v>645</v>
      </c>
      <c r="H547">
        <v>45</v>
      </c>
      <c r="J547" s="1">
        <v>2710.88</v>
      </c>
      <c r="K547" s="1"/>
      <c r="L547" s="1">
        <v>2710.88</v>
      </c>
      <c r="M547" s="1">
        <v>711.59</v>
      </c>
      <c r="N547" s="1">
        <f t="shared" si="14"/>
        <v>60.241777777777777</v>
      </c>
      <c r="O547" s="1"/>
      <c r="P547" s="1"/>
      <c r="Q547" s="1"/>
      <c r="R547" s="1"/>
      <c r="S547" s="1"/>
    </row>
    <row r="548" spans="1:19" hidden="1" x14ac:dyDescent="0.4">
      <c r="A548" t="s">
        <v>1620</v>
      </c>
      <c r="B548" t="s">
        <v>729</v>
      </c>
      <c r="C548" s="131">
        <v>41333</v>
      </c>
      <c r="D548" t="s">
        <v>1621</v>
      </c>
      <c r="F548" t="s">
        <v>645</v>
      </c>
      <c r="H548">
        <v>45</v>
      </c>
      <c r="J548" s="1">
        <v>3890.83</v>
      </c>
      <c r="K548" s="1"/>
      <c r="L548" s="1">
        <v>3890.83</v>
      </c>
      <c r="M548" s="1">
        <v>1021.34</v>
      </c>
      <c r="N548" s="1">
        <f t="shared" si="14"/>
        <v>86.462888888888884</v>
      </c>
      <c r="O548" s="1"/>
      <c r="P548" s="1"/>
      <c r="Q548" s="1"/>
      <c r="R548" s="1"/>
      <c r="S548" s="1"/>
    </row>
    <row r="549" spans="1:19" hidden="1" x14ac:dyDescent="0.4">
      <c r="A549" t="s">
        <v>1622</v>
      </c>
      <c r="B549" t="s">
        <v>729</v>
      </c>
      <c r="C549" s="131">
        <v>41364</v>
      </c>
      <c r="D549" t="s">
        <v>1623</v>
      </c>
      <c r="F549" t="s">
        <v>645</v>
      </c>
      <c r="H549">
        <v>45</v>
      </c>
      <c r="J549" s="1">
        <v>2184.23</v>
      </c>
      <c r="K549" s="1"/>
      <c r="L549" s="1">
        <v>2184.23</v>
      </c>
      <c r="M549" s="1">
        <v>573.38</v>
      </c>
      <c r="N549" s="1">
        <f t="shared" si="14"/>
        <v>48.538444444444444</v>
      </c>
      <c r="O549" s="1"/>
      <c r="P549" s="1"/>
      <c r="Q549" s="1"/>
      <c r="R549" s="1"/>
      <c r="S549" s="1"/>
    </row>
    <row r="550" spans="1:19" hidden="1" x14ac:dyDescent="0.4">
      <c r="A550" t="s">
        <v>1624</v>
      </c>
      <c r="B550" t="s">
        <v>729</v>
      </c>
      <c r="C550" s="131">
        <v>41394</v>
      </c>
      <c r="D550" t="s">
        <v>1625</v>
      </c>
      <c r="F550" t="s">
        <v>645</v>
      </c>
      <c r="H550">
        <v>45</v>
      </c>
      <c r="J550" s="1">
        <v>4488.6000000000004</v>
      </c>
      <c r="K550" s="1"/>
      <c r="L550" s="1">
        <v>4488.6000000000004</v>
      </c>
      <c r="M550" s="1">
        <v>1178.26</v>
      </c>
      <c r="N550" s="1">
        <f t="shared" si="14"/>
        <v>99.74666666666667</v>
      </c>
      <c r="O550" s="1"/>
      <c r="P550" s="1"/>
      <c r="Q550" s="1"/>
      <c r="R550" s="1"/>
      <c r="S550" s="1"/>
    </row>
    <row r="551" spans="1:19" hidden="1" x14ac:dyDescent="0.4">
      <c r="A551" t="s">
        <v>1626</v>
      </c>
      <c r="B551" t="s">
        <v>729</v>
      </c>
      <c r="C551" s="131">
        <v>41425</v>
      </c>
      <c r="D551" t="s">
        <v>1627</v>
      </c>
      <c r="F551" t="s">
        <v>645</v>
      </c>
      <c r="H551">
        <v>45</v>
      </c>
      <c r="J551" s="1">
        <v>3576.77</v>
      </c>
      <c r="K551" s="1"/>
      <c r="L551" s="1">
        <v>3576.77</v>
      </c>
      <c r="M551" s="1">
        <v>938.91</v>
      </c>
      <c r="N551" s="1">
        <f t="shared" si="14"/>
        <v>79.483777777777775</v>
      </c>
      <c r="O551" s="1"/>
      <c r="P551" s="1"/>
      <c r="Q551" s="1"/>
      <c r="R551" s="1"/>
      <c r="S551" s="1"/>
    </row>
    <row r="552" spans="1:19" hidden="1" x14ac:dyDescent="0.4">
      <c r="A552" t="s">
        <v>1628</v>
      </c>
      <c r="B552" t="s">
        <v>729</v>
      </c>
      <c r="C552" s="131">
        <v>41455</v>
      </c>
      <c r="D552" t="s">
        <v>1629</v>
      </c>
      <c r="F552" t="s">
        <v>645</v>
      </c>
      <c r="H552">
        <v>45</v>
      </c>
      <c r="J552" s="1">
        <v>4729.13</v>
      </c>
      <c r="K552" s="1"/>
      <c r="L552" s="1">
        <v>4729.13</v>
      </c>
      <c r="M552" s="1">
        <v>1241.4100000000001</v>
      </c>
      <c r="N552" s="1">
        <f t="shared" si="14"/>
        <v>105.09177777777778</v>
      </c>
      <c r="O552" s="1"/>
      <c r="P552" s="1"/>
      <c r="Q552" s="1"/>
      <c r="R552" s="1"/>
      <c r="S552" s="1"/>
    </row>
    <row r="553" spans="1:19" hidden="1" x14ac:dyDescent="0.4">
      <c r="A553" t="s">
        <v>1630</v>
      </c>
      <c r="B553" t="s">
        <v>729</v>
      </c>
      <c r="C553" s="131">
        <v>41486</v>
      </c>
      <c r="D553" t="s">
        <v>1631</v>
      </c>
      <c r="F553" t="s">
        <v>645</v>
      </c>
      <c r="H553">
        <v>45</v>
      </c>
      <c r="J553" s="1">
        <v>3982.39</v>
      </c>
      <c r="K553" s="1"/>
      <c r="L553" s="1">
        <v>3982.39</v>
      </c>
      <c r="M553" s="1">
        <v>1045.3800000000001</v>
      </c>
      <c r="N553" s="1">
        <f t="shared" si="14"/>
        <v>88.49755555555555</v>
      </c>
      <c r="O553" s="1"/>
      <c r="P553" s="1"/>
      <c r="Q553" s="1"/>
      <c r="R553" s="1"/>
      <c r="S553" s="1"/>
    </row>
    <row r="554" spans="1:19" hidden="1" x14ac:dyDescent="0.4">
      <c r="A554" t="s">
        <v>1632</v>
      </c>
      <c r="B554" t="s">
        <v>729</v>
      </c>
      <c r="C554" s="131">
        <v>41517</v>
      </c>
      <c r="D554" t="s">
        <v>1633</v>
      </c>
      <c r="F554" t="s">
        <v>645</v>
      </c>
      <c r="H554">
        <v>45</v>
      </c>
      <c r="J554" s="1">
        <v>3866.21</v>
      </c>
      <c r="K554" s="1"/>
      <c r="L554" s="1">
        <v>3866.21</v>
      </c>
      <c r="M554" s="1">
        <v>1014.89</v>
      </c>
      <c r="N554" s="1">
        <f t="shared" si="14"/>
        <v>85.915777777777777</v>
      </c>
      <c r="O554" s="1"/>
      <c r="P554" s="1"/>
      <c r="Q554" s="1"/>
      <c r="R554" s="1"/>
      <c r="S554" s="1"/>
    </row>
    <row r="555" spans="1:19" hidden="1" x14ac:dyDescent="0.4">
      <c r="A555" t="s">
        <v>1634</v>
      </c>
      <c r="B555" t="s">
        <v>729</v>
      </c>
      <c r="C555" s="131">
        <v>41547</v>
      </c>
      <c r="D555" t="s">
        <v>1635</v>
      </c>
      <c r="F555" t="s">
        <v>645</v>
      </c>
      <c r="H555">
        <v>45</v>
      </c>
      <c r="J555" s="1">
        <v>2936.95</v>
      </c>
      <c r="K555" s="1"/>
      <c r="L555" s="1">
        <v>2936.95</v>
      </c>
      <c r="M555" s="1">
        <v>770.91</v>
      </c>
      <c r="N555" s="1">
        <f t="shared" si="14"/>
        <v>65.265555555555551</v>
      </c>
      <c r="O555" s="1"/>
      <c r="P555" s="1"/>
      <c r="Q555" s="1"/>
      <c r="R555" s="1"/>
      <c r="S555" s="1"/>
    </row>
    <row r="556" spans="1:19" hidden="1" x14ac:dyDescent="0.4">
      <c r="A556" t="s">
        <v>1636</v>
      </c>
      <c r="B556" t="s">
        <v>729</v>
      </c>
      <c r="C556" s="131">
        <v>41578</v>
      </c>
      <c r="D556" t="s">
        <v>1637</v>
      </c>
      <c r="F556" t="s">
        <v>645</v>
      </c>
      <c r="H556">
        <v>45</v>
      </c>
      <c r="J556" s="1">
        <v>3987.98</v>
      </c>
      <c r="K556" s="1"/>
      <c r="L556" s="1">
        <v>3987.98</v>
      </c>
      <c r="M556" s="1">
        <v>1046.8499999999999</v>
      </c>
      <c r="N556" s="1">
        <f t="shared" si="14"/>
        <v>88.62177777777778</v>
      </c>
      <c r="O556" s="1"/>
      <c r="P556" s="1"/>
      <c r="Q556" s="1"/>
      <c r="R556" s="1"/>
      <c r="S556" s="1"/>
    </row>
    <row r="557" spans="1:19" hidden="1" x14ac:dyDescent="0.4">
      <c r="A557" t="s">
        <v>1638</v>
      </c>
      <c r="B557" t="s">
        <v>729</v>
      </c>
      <c r="C557" s="131">
        <v>41608</v>
      </c>
      <c r="D557" t="s">
        <v>1639</v>
      </c>
      <c r="F557" t="s">
        <v>645</v>
      </c>
      <c r="H557">
        <v>45</v>
      </c>
      <c r="J557" s="1">
        <v>2568.7800000000002</v>
      </c>
      <c r="K557" s="1"/>
      <c r="L557" s="1">
        <v>2568.7800000000002</v>
      </c>
      <c r="M557" s="1">
        <v>674.31</v>
      </c>
      <c r="N557" s="1">
        <f t="shared" si="14"/>
        <v>57.084000000000003</v>
      </c>
      <c r="O557" s="1"/>
      <c r="P557" s="1"/>
      <c r="Q557" s="1"/>
      <c r="R557" s="1"/>
      <c r="S557" s="1"/>
    </row>
    <row r="558" spans="1:19" hidden="1" x14ac:dyDescent="0.4">
      <c r="A558" t="s">
        <v>1640</v>
      </c>
      <c r="B558" t="s">
        <v>729</v>
      </c>
      <c r="C558" s="131">
        <v>41639</v>
      </c>
      <c r="D558" t="s">
        <v>1641</v>
      </c>
      <c r="F558" t="s">
        <v>645</v>
      </c>
      <c r="H558">
        <v>45</v>
      </c>
      <c r="J558" s="1">
        <v>1576.68</v>
      </c>
      <c r="K558" s="1"/>
      <c r="L558" s="1">
        <v>1576.68</v>
      </c>
      <c r="M558" s="1">
        <v>413.91</v>
      </c>
      <c r="N558" s="1">
        <f t="shared" si="14"/>
        <v>35.037333333333336</v>
      </c>
      <c r="O558" s="1"/>
      <c r="P558" s="1"/>
      <c r="Q558" s="1"/>
      <c r="R558" s="1"/>
      <c r="S558" s="1"/>
    </row>
    <row r="559" spans="1:19" hidden="1" x14ac:dyDescent="0.4">
      <c r="A559" t="s">
        <v>1642</v>
      </c>
      <c r="B559" t="s">
        <v>729</v>
      </c>
      <c r="C559" s="131">
        <v>41670</v>
      </c>
      <c r="D559" t="s">
        <v>1619</v>
      </c>
      <c r="F559" t="s">
        <v>645</v>
      </c>
      <c r="H559">
        <v>45</v>
      </c>
      <c r="J559" s="1">
        <v>236.26</v>
      </c>
      <c r="K559" s="1"/>
      <c r="L559" s="1">
        <v>236.26</v>
      </c>
      <c r="M559" s="1">
        <v>56.14</v>
      </c>
      <c r="N559" s="1">
        <f t="shared" si="14"/>
        <v>5.2502222222222219</v>
      </c>
      <c r="O559" s="1"/>
      <c r="P559" s="1"/>
      <c r="Q559" s="1"/>
      <c r="R559" s="1"/>
      <c r="S559" s="1"/>
    </row>
    <row r="560" spans="1:19" hidden="1" x14ac:dyDescent="0.4">
      <c r="A560" t="s">
        <v>1643</v>
      </c>
      <c r="B560" t="s">
        <v>729</v>
      </c>
      <c r="C560" s="131">
        <v>41698</v>
      </c>
      <c r="D560" t="s">
        <v>1621</v>
      </c>
      <c r="F560" t="s">
        <v>645</v>
      </c>
      <c r="H560">
        <v>45</v>
      </c>
      <c r="J560" s="1">
        <v>1730.35</v>
      </c>
      <c r="K560" s="1"/>
      <c r="L560" s="1">
        <v>1730.35</v>
      </c>
      <c r="M560" s="1">
        <v>410.97</v>
      </c>
      <c r="N560" s="1">
        <f t="shared" si="14"/>
        <v>38.452222222222218</v>
      </c>
      <c r="O560" s="1"/>
      <c r="P560" s="1"/>
      <c r="Q560" s="1"/>
      <c r="R560" s="1"/>
      <c r="S560" s="1"/>
    </row>
    <row r="561" spans="1:19" hidden="1" x14ac:dyDescent="0.4">
      <c r="A561" t="s">
        <v>1644</v>
      </c>
      <c r="B561" t="s">
        <v>729</v>
      </c>
      <c r="C561" s="131">
        <v>41729</v>
      </c>
      <c r="D561" t="s">
        <v>1623</v>
      </c>
      <c r="F561" t="s">
        <v>645</v>
      </c>
      <c r="H561">
        <v>45</v>
      </c>
      <c r="J561" s="1">
        <v>5171.8500000000004</v>
      </c>
      <c r="K561" s="1"/>
      <c r="L561" s="1">
        <v>5171.8500000000004</v>
      </c>
      <c r="M561" s="1">
        <v>1228.3499999999999</v>
      </c>
      <c r="N561" s="1">
        <f t="shared" si="14"/>
        <v>114.93</v>
      </c>
      <c r="O561" s="1"/>
      <c r="P561" s="1"/>
      <c r="Q561" s="1"/>
      <c r="R561" s="1"/>
      <c r="S561" s="1"/>
    </row>
    <row r="562" spans="1:19" hidden="1" x14ac:dyDescent="0.4">
      <c r="A562" t="s">
        <v>1645</v>
      </c>
      <c r="B562" t="s">
        <v>729</v>
      </c>
      <c r="C562" s="131">
        <v>41759</v>
      </c>
      <c r="D562" t="s">
        <v>1625</v>
      </c>
      <c r="F562" t="s">
        <v>645</v>
      </c>
      <c r="H562">
        <v>45</v>
      </c>
      <c r="J562" s="1">
        <v>4028.55</v>
      </c>
      <c r="K562" s="1"/>
      <c r="L562" s="1">
        <v>4028.55</v>
      </c>
      <c r="M562" s="1">
        <v>956.75</v>
      </c>
      <c r="N562" s="1">
        <f t="shared" si="14"/>
        <v>89.523333333333341</v>
      </c>
      <c r="O562" s="1"/>
      <c r="P562" s="1"/>
      <c r="Q562" s="1"/>
      <c r="R562" s="1"/>
      <c r="S562" s="1"/>
    </row>
    <row r="563" spans="1:19" hidden="1" x14ac:dyDescent="0.4">
      <c r="A563" t="s">
        <v>1646</v>
      </c>
      <c r="B563" t="s">
        <v>729</v>
      </c>
      <c r="C563" s="131">
        <v>41790</v>
      </c>
      <c r="D563" t="s">
        <v>1627</v>
      </c>
      <c r="F563" t="s">
        <v>645</v>
      </c>
      <c r="H563">
        <v>45</v>
      </c>
      <c r="J563" s="1">
        <v>3962.54</v>
      </c>
      <c r="K563" s="1"/>
      <c r="L563" s="1">
        <v>3962.54</v>
      </c>
      <c r="M563" s="1">
        <v>941.07</v>
      </c>
      <c r="N563" s="1">
        <f t="shared" si="14"/>
        <v>88.056444444444438</v>
      </c>
      <c r="O563" s="1"/>
      <c r="P563" s="1"/>
      <c r="Q563" s="1"/>
      <c r="R563" s="1"/>
      <c r="S563" s="1"/>
    </row>
    <row r="564" spans="1:19" hidden="1" x14ac:dyDescent="0.4">
      <c r="A564" t="s">
        <v>1647</v>
      </c>
      <c r="B564" t="s">
        <v>729</v>
      </c>
      <c r="C564" s="131">
        <v>41820</v>
      </c>
      <c r="D564" t="s">
        <v>1629</v>
      </c>
      <c r="F564" t="s">
        <v>645</v>
      </c>
      <c r="H564">
        <v>45</v>
      </c>
      <c r="J564" s="1">
        <v>4520.66</v>
      </c>
      <c r="K564" s="1"/>
      <c r="L564" s="1">
        <v>4520.66</v>
      </c>
      <c r="M564" s="1">
        <v>1073.69</v>
      </c>
      <c r="N564" s="1">
        <f t="shared" si="14"/>
        <v>100.45911111111111</v>
      </c>
      <c r="O564" s="1"/>
      <c r="P564" s="1"/>
      <c r="Q564" s="1"/>
      <c r="R564" s="1"/>
      <c r="S564" s="1"/>
    </row>
    <row r="565" spans="1:19" hidden="1" x14ac:dyDescent="0.4">
      <c r="A565" t="s">
        <v>1648</v>
      </c>
      <c r="B565" t="s">
        <v>729</v>
      </c>
      <c r="C565" s="131">
        <v>41851</v>
      </c>
      <c r="D565" t="s">
        <v>1631</v>
      </c>
      <c r="F565" t="s">
        <v>645</v>
      </c>
      <c r="H565">
        <v>45</v>
      </c>
      <c r="J565" s="1">
        <v>4808.7</v>
      </c>
      <c r="K565" s="1"/>
      <c r="L565" s="1">
        <v>4808.7</v>
      </c>
      <c r="M565" s="1">
        <v>1142.0899999999999</v>
      </c>
      <c r="N565" s="1">
        <f t="shared" si="14"/>
        <v>106.86</v>
      </c>
      <c r="O565" s="1"/>
      <c r="P565" s="1"/>
      <c r="Q565" s="1"/>
      <c r="R565" s="1"/>
      <c r="S565" s="1"/>
    </row>
    <row r="566" spans="1:19" hidden="1" x14ac:dyDescent="0.4">
      <c r="A566" t="s">
        <v>1649</v>
      </c>
      <c r="B566" t="s">
        <v>729</v>
      </c>
      <c r="C566" s="131">
        <v>41882</v>
      </c>
      <c r="D566" t="s">
        <v>1633</v>
      </c>
      <c r="F566" t="s">
        <v>645</v>
      </c>
      <c r="H566">
        <v>45</v>
      </c>
      <c r="J566" s="1">
        <v>3675.09</v>
      </c>
      <c r="K566" s="1"/>
      <c r="L566" s="1">
        <v>3675.09</v>
      </c>
      <c r="M566" s="1">
        <v>872.86</v>
      </c>
      <c r="N566" s="1">
        <f t="shared" si="14"/>
        <v>81.668666666666667</v>
      </c>
      <c r="O566" s="1"/>
      <c r="P566" s="1"/>
      <c r="Q566" s="1"/>
      <c r="R566" s="1"/>
      <c r="S566" s="1"/>
    </row>
    <row r="567" spans="1:19" hidden="1" x14ac:dyDescent="0.4">
      <c r="A567" t="s">
        <v>1650</v>
      </c>
      <c r="B567" t="s">
        <v>729</v>
      </c>
      <c r="C567" s="131">
        <v>41912</v>
      </c>
      <c r="D567" t="s">
        <v>1651</v>
      </c>
      <c r="F567" t="s">
        <v>645</v>
      </c>
      <c r="H567">
        <v>45</v>
      </c>
      <c r="J567" s="1">
        <v>4264.68</v>
      </c>
      <c r="K567" s="1"/>
      <c r="L567" s="1">
        <v>4264.68</v>
      </c>
      <c r="M567" s="1">
        <v>1012.89</v>
      </c>
      <c r="N567" s="1">
        <f t="shared" si="14"/>
        <v>94.770666666666671</v>
      </c>
      <c r="O567" s="1"/>
      <c r="P567" s="1"/>
      <c r="Q567" s="1"/>
      <c r="R567" s="1"/>
      <c r="S567" s="1"/>
    </row>
    <row r="568" spans="1:19" hidden="1" x14ac:dyDescent="0.4">
      <c r="A568" t="s">
        <v>1652</v>
      </c>
      <c r="B568" t="s">
        <v>729</v>
      </c>
      <c r="C568" s="131">
        <v>41943</v>
      </c>
      <c r="D568" t="s">
        <v>1637</v>
      </c>
      <c r="F568" t="s">
        <v>645</v>
      </c>
      <c r="H568">
        <v>45</v>
      </c>
      <c r="J568" s="1">
        <v>1906.87</v>
      </c>
      <c r="K568" s="1"/>
      <c r="L568" s="1">
        <v>1906.87</v>
      </c>
      <c r="M568" s="1">
        <v>452.87</v>
      </c>
      <c r="N568" s="1">
        <f t="shared" si="14"/>
        <v>42.37488888888889</v>
      </c>
      <c r="O568" s="1"/>
      <c r="P568" s="1"/>
      <c r="Q568" s="1"/>
      <c r="R568" s="1"/>
      <c r="S568" s="1"/>
    </row>
    <row r="569" spans="1:19" hidden="1" x14ac:dyDescent="0.4">
      <c r="A569" t="s">
        <v>1653</v>
      </c>
      <c r="B569" t="s">
        <v>729</v>
      </c>
      <c r="C569" s="131">
        <v>41973</v>
      </c>
      <c r="D569" t="s">
        <v>1639</v>
      </c>
      <c r="F569" t="s">
        <v>645</v>
      </c>
      <c r="H569">
        <v>45</v>
      </c>
      <c r="J569" s="1">
        <v>2244.44</v>
      </c>
      <c r="K569" s="1"/>
      <c r="L569" s="1">
        <v>2244.44</v>
      </c>
      <c r="M569" s="1">
        <v>533.04999999999995</v>
      </c>
      <c r="N569" s="1">
        <f t="shared" si="14"/>
        <v>49.876444444444445</v>
      </c>
      <c r="O569" s="1"/>
      <c r="P569" s="1"/>
      <c r="Q569" s="1"/>
      <c r="R569" s="1"/>
      <c r="S569" s="1"/>
    </row>
    <row r="570" spans="1:19" hidden="1" x14ac:dyDescent="0.4">
      <c r="A570" t="s">
        <v>1654</v>
      </c>
      <c r="B570" t="s">
        <v>729</v>
      </c>
      <c r="C570" s="131">
        <v>42004</v>
      </c>
      <c r="D570" t="s">
        <v>1641</v>
      </c>
      <c r="F570" t="s">
        <v>645</v>
      </c>
      <c r="H570">
        <v>45</v>
      </c>
      <c r="J570" s="1">
        <v>1306.3699999999999</v>
      </c>
      <c r="K570" s="1"/>
      <c r="L570" s="1">
        <v>1306.3699999999999</v>
      </c>
      <c r="M570" s="1">
        <v>310.27</v>
      </c>
      <c r="N570" s="1">
        <f t="shared" si="14"/>
        <v>29.030444444444441</v>
      </c>
      <c r="O570" s="1"/>
      <c r="P570" s="1"/>
      <c r="Q570" s="1"/>
      <c r="R570" s="1"/>
      <c r="S570" s="1"/>
    </row>
    <row r="571" spans="1:19" hidden="1" x14ac:dyDescent="0.4">
      <c r="A571" t="s">
        <v>1655</v>
      </c>
      <c r="B571" t="s">
        <v>729</v>
      </c>
      <c r="C571" s="131">
        <v>42035</v>
      </c>
      <c r="D571" t="s">
        <v>1656</v>
      </c>
      <c r="F571" t="s">
        <v>645</v>
      </c>
      <c r="H571">
        <v>45</v>
      </c>
      <c r="J571" s="1">
        <v>1061.92</v>
      </c>
      <c r="K571" s="1"/>
      <c r="L571" s="1">
        <v>1061.92</v>
      </c>
      <c r="M571" s="1">
        <v>225.67</v>
      </c>
      <c r="N571" s="1">
        <f t="shared" si="14"/>
        <v>23.598222222222223</v>
      </c>
      <c r="O571" s="1"/>
      <c r="P571" s="1"/>
      <c r="Q571" s="1"/>
      <c r="R571" s="1"/>
      <c r="S571" s="1"/>
    </row>
    <row r="572" spans="1:19" hidden="1" x14ac:dyDescent="0.4">
      <c r="A572" t="s">
        <v>1657</v>
      </c>
      <c r="B572" t="s">
        <v>729</v>
      </c>
      <c r="C572" s="131">
        <v>42063</v>
      </c>
      <c r="D572" t="s">
        <v>1658</v>
      </c>
      <c r="F572" t="s">
        <v>645</v>
      </c>
      <c r="H572">
        <v>45</v>
      </c>
      <c r="J572" s="1">
        <v>598.61</v>
      </c>
      <c r="K572" s="1"/>
      <c r="L572" s="1">
        <v>598.61</v>
      </c>
      <c r="M572" s="1">
        <v>127.21</v>
      </c>
      <c r="N572" s="1">
        <f t="shared" si="14"/>
        <v>13.302444444444445</v>
      </c>
      <c r="O572" s="1"/>
      <c r="P572" s="1"/>
      <c r="Q572" s="1"/>
      <c r="R572" s="1"/>
      <c r="S572" s="1"/>
    </row>
    <row r="573" spans="1:19" hidden="1" x14ac:dyDescent="0.4">
      <c r="A573" t="s">
        <v>1659</v>
      </c>
      <c r="B573" t="s">
        <v>729</v>
      </c>
      <c r="C573" s="131">
        <v>42094</v>
      </c>
      <c r="D573" t="s">
        <v>1660</v>
      </c>
      <c r="F573" t="s">
        <v>645</v>
      </c>
      <c r="H573">
        <v>45</v>
      </c>
      <c r="J573" s="1">
        <v>2690.11</v>
      </c>
      <c r="K573" s="1"/>
      <c r="L573" s="1">
        <v>2690.11</v>
      </c>
      <c r="M573" s="1">
        <v>571.63</v>
      </c>
      <c r="N573" s="1">
        <f t="shared" si="14"/>
        <v>59.780222222222228</v>
      </c>
      <c r="O573" s="1"/>
      <c r="P573" s="1"/>
      <c r="Q573" s="1"/>
      <c r="R573" s="1"/>
      <c r="S573" s="1"/>
    </row>
    <row r="574" spans="1:19" hidden="1" x14ac:dyDescent="0.4">
      <c r="A574" t="s">
        <v>1661</v>
      </c>
      <c r="B574" t="s">
        <v>729</v>
      </c>
      <c r="C574" s="131">
        <v>42124</v>
      </c>
      <c r="D574" t="s">
        <v>1662</v>
      </c>
      <c r="F574" t="s">
        <v>645</v>
      </c>
      <c r="H574">
        <v>45</v>
      </c>
      <c r="J574" s="1">
        <v>2391.19</v>
      </c>
      <c r="K574" s="1"/>
      <c r="L574" s="1">
        <v>2391.19</v>
      </c>
      <c r="M574" s="1">
        <v>508.13</v>
      </c>
      <c r="N574" s="1">
        <f t="shared" si="14"/>
        <v>53.137555555555558</v>
      </c>
      <c r="O574" s="1"/>
      <c r="P574" s="1"/>
      <c r="Q574" s="1"/>
      <c r="R574" s="1"/>
      <c r="S574" s="1"/>
    </row>
    <row r="575" spans="1:19" hidden="1" x14ac:dyDescent="0.4">
      <c r="A575" t="s">
        <v>1663</v>
      </c>
      <c r="B575" t="s">
        <v>729</v>
      </c>
      <c r="C575" s="131">
        <v>42155</v>
      </c>
      <c r="D575" t="s">
        <v>1664</v>
      </c>
      <c r="F575" t="s">
        <v>645</v>
      </c>
      <c r="H575">
        <v>45</v>
      </c>
      <c r="J575" s="1">
        <v>2489.66</v>
      </c>
      <c r="K575" s="1"/>
      <c r="L575" s="1">
        <v>2489.66</v>
      </c>
      <c r="M575" s="1">
        <v>529.04</v>
      </c>
      <c r="N575" s="1">
        <f t="shared" si="14"/>
        <v>55.325777777777773</v>
      </c>
      <c r="O575" s="1"/>
      <c r="P575" s="1"/>
      <c r="Q575" s="1"/>
      <c r="R575" s="1"/>
      <c r="S575" s="1"/>
    </row>
    <row r="576" spans="1:19" hidden="1" x14ac:dyDescent="0.4">
      <c r="A576" t="s">
        <v>1665</v>
      </c>
      <c r="B576" t="s">
        <v>729</v>
      </c>
      <c r="C576" s="131">
        <v>42200</v>
      </c>
      <c r="D576" t="s">
        <v>1666</v>
      </c>
      <c r="F576" t="s">
        <v>645</v>
      </c>
      <c r="H576">
        <v>45</v>
      </c>
      <c r="J576" s="1">
        <v>1819.48</v>
      </c>
      <c r="K576" s="1"/>
      <c r="L576" s="1">
        <v>1819.48</v>
      </c>
      <c r="M576" s="1">
        <v>386.66</v>
      </c>
      <c r="N576" s="1">
        <f t="shared" si="14"/>
        <v>40.43288888888889</v>
      </c>
      <c r="O576" s="1"/>
      <c r="P576" s="1"/>
      <c r="Q576" s="1"/>
      <c r="R576" s="1"/>
      <c r="S576" s="1"/>
    </row>
    <row r="577" spans="1:19" hidden="1" x14ac:dyDescent="0.4">
      <c r="A577" t="s">
        <v>1667</v>
      </c>
      <c r="B577" t="s">
        <v>729</v>
      </c>
      <c r="C577" s="131">
        <v>42247</v>
      </c>
      <c r="D577" t="s">
        <v>1668</v>
      </c>
      <c r="F577" t="s">
        <v>645</v>
      </c>
      <c r="H577">
        <v>45</v>
      </c>
      <c r="J577" s="1">
        <v>3289.12</v>
      </c>
      <c r="K577" s="1"/>
      <c r="L577" s="1">
        <v>3289.12</v>
      </c>
      <c r="M577" s="1">
        <v>698.95</v>
      </c>
      <c r="N577" s="1">
        <f t="shared" si="14"/>
        <v>73.091555555555558</v>
      </c>
      <c r="O577" s="1"/>
      <c r="P577" s="1"/>
      <c r="Q577" s="1"/>
      <c r="R577" s="1"/>
      <c r="S577" s="1"/>
    </row>
    <row r="578" spans="1:19" hidden="1" x14ac:dyDescent="0.4">
      <c r="A578" t="s">
        <v>1669</v>
      </c>
      <c r="B578" t="s">
        <v>729</v>
      </c>
      <c r="C578" s="131">
        <v>42277</v>
      </c>
      <c r="D578" t="s">
        <v>1670</v>
      </c>
      <c r="F578" t="s">
        <v>645</v>
      </c>
      <c r="H578">
        <v>45</v>
      </c>
      <c r="J578" s="1">
        <v>1099.1400000000001</v>
      </c>
      <c r="K578" s="1"/>
      <c r="L578" s="1">
        <v>1099.1400000000001</v>
      </c>
      <c r="M578" s="1">
        <v>233.58</v>
      </c>
      <c r="N578" s="1">
        <f t="shared" si="14"/>
        <v>24.425333333333334</v>
      </c>
      <c r="O578" s="1"/>
      <c r="P578" s="1"/>
      <c r="Q578" s="1"/>
      <c r="R578" s="1"/>
      <c r="S578" s="1"/>
    </row>
    <row r="579" spans="1:19" hidden="1" x14ac:dyDescent="0.4">
      <c r="A579" t="s">
        <v>1671</v>
      </c>
      <c r="B579" t="s">
        <v>729</v>
      </c>
      <c r="C579" s="131">
        <v>42308</v>
      </c>
      <c r="D579" t="s">
        <v>1672</v>
      </c>
      <c r="F579" t="s">
        <v>645</v>
      </c>
      <c r="H579">
        <v>45</v>
      </c>
      <c r="J579" s="1">
        <v>4393.7700000000004</v>
      </c>
      <c r="K579" s="1"/>
      <c r="L579" s="1">
        <v>4393.7700000000004</v>
      </c>
      <c r="M579" s="1">
        <v>933.65</v>
      </c>
      <c r="N579" s="1">
        <f t="shared" si="14"/>
        <v>97.63933333333334</v>
      </c>
      <c r="O579" s="1"/>
      <c r="P579" s="1"/>
      <c r="Q579" s="1"/>
      <c r="R579" s="1"/>
      <c r="S579" s="1"/>
    </row>
    <row r="580" spans="1:19" hidden="1" x14ac:dyDescent="0.4">
      <c r="A580" t="s">
        <v>1673</v>
      </c>
      <c r="B580" t="s">
        <v>729</v>
      </c>
      <c r="C580" s="131">
        <v>42338</v>
      </c>
      <c r="D580" t="s">
        <v>1674</v>
      </c>
      <c r="F580" t="s">
        <v>645</v>
      </c>
      <c r="H580">
        <v>45</v>
      </c>
      <c r="J580" s="1">
        <v>818.13</v>
      </c>
      <c r="K580" s="1"/>
      <c r="L580" s="1">
        <v>818.13</v>
      </c>
      <c r="M580" s="1">
        <v>173.83</v>
      </c>
      <c r="N580" s="1">
        <f t="shared" si="14"/>
        <v>18.180666666666667</v>
      </c>
      <c r="O580" s="1"/>
      <c r="P580" s="1"/>
      <c r="Q580" s="1"/>
      <c r="R580" s="1"/>
      <c r="S580" s="1"/>
    </row>
    <row r="581" spans="1:19" hidden="1" x14ac:dyDescent="0.4">
      <c r="A581" t="s">
        <v>1675</v>
      </c>
      <c r="B581" t="s">
        <v>729</v>
      </c>
      <c r="C581" s="131">
        <v>42369</v>
      </c>
      <c r="D581" t="s">
        <v>1676</v>
      </c>
      <c r="F581" t="s">
        <v>645</v>
      </c>
      <c r="H581">
        <v>45</v>
      </c>
      <c r="J581" s="1">
        <v>3205.98</v>
      </c>
      <c r="K581" s="1"/>
      <c r="L581" s="1">
        <v>3205.98</v>
      </c>
      <c r="M581" s="1">
        <v>681.27</v>
      </c>
      <c r="N581" s="1">
        <f t="shared" ref="N581:N644" si="15">L581/H581</f>
        <v>71.244</v>
      </c>
      <c r="O581" s="1"/>
      <c r="P581" s="1"/>
      <c r="Q581" s="1"/>
      <c r="R581" s="1"/>
      <c r="S581" s="1"/>
    </row>
    <row r="582" spans="1:19" hidden="1" x14ac:dyDescent="0.4">
      <c r="A582" t="s">
        <v>1677</v>
      </c>
      <c r="B582" t="s">
        <v>729</v>
      </c>
      <c r="C582" s="131">
        <v>42186</v>
      </c>
      <c r="D582" t="s">
        <v>1678</v>
      </c>
      <c r="F582" t="s">
        <v>645</v>
      </c>
      <c r="H582">
        <v>45</v>
      </c>
      <c r="J582" s="1">
        <v>150874.01999999999</v>
      </c>
      <c r="K582" s="1"/>
      <c r="L582" s="1">
        <v>150874.01999999999</v>
      </c>
      <c r="M582" s="1">
        <v>20518.830000000002</v>
      </c>
      <c r="N582" s="1">
        <f t="shared" si="15"/>
        <v>3352.7559999999999</v>
      </c>
      <c r="O582" s="1"/>
      <c r="P582" s="1"/>
      <c r="Q582" s="1"/>
      <c r="R582" s="1"/>
      <c r="S582" s="1"/>
    </row>
    <row r="583" spans="1:19" hidden="1" x14ac:dyDescent="0.4">
      <c r="A583" t="s">
        <v>1679</v>
      </c>
      <c r="B583" t="s">
        <v>729</v>
      </c>
      <c r="C583" s="131">
        <v>42400</v>
      </c>
      <c r="D583" t="s">
        <v>1680</v>
      </c>
      <c r="F583" t="s">
        <v>645</v>
      </c>
      <c r="H583">
        <v>45</v>
      </c>
      <c r="J583" s="1">
        <v>1981.07</v>
      </c>
      <c r="K583" s="1"/>
      <c r="L583" s="1">
        <v>1981.07</v>
      </c>
      <c r="M583" s="1">
        <v>371.47</v>
      </c>
      <c r="N583" s="1">
        <f t="shared" si="15"/>
        <v>44.023777777777774</v>
      </c>
      <c r="O583" s="1"/>
      <c r="P583" s="1"/>
      <c r="Q583" s="1"/>
      <c r="R583" s="1"/>
      <c r="S583" s="1"/>
    </row>
    <row r="584" spans="1:19" hidden="1" x14ac:dyDescent="0.4">
      <c r="A584" t="s">
        <v>1681</v>
      </c>
      <c r="B584" t="s">
        <v>729</v>
      </c>
      <c r="C584" s="131">
        <v>42428</v>
      </c>
      <c r="D584" t="s">
        <v>1682</v>
      </c>
      <c r="F584" t="s">
        <v>645</v>
      </c>
      <c r="H584">
        <v>45</v>
      </c>
      <c r="J584" s="1">
        <v>2006.51</v>
      </c>
      <c r="K584" s="1"/>
      <c r="L584" s="1">
        <v>2006.51</v>
      </c>
      <c r="M584" s="1">
        <v>376.2</v>
      </c>
      <c r="N584" s="1">
        <f t="shared" si="15"/>
        <v>44.589111111111109</v>
      </c>
      <c r="O584" s="1"/>
      <c r="P584" s="1"/>
      <c r="Q584" s="1"/>
      <c r="R584" s="1"/>
      <c r="S584" s="1"/>
    </row>
    <row r="585" spans="1:19" hidden="1" x14ac:dyDescent="0.4">
      <c r="A585" t="s">
        <v>1683</v>
      </c>
      <c r="B585" t="s">
        <v>729</v>
      </c>
      <c r="C585" s="131">
        <v>42460</v>
      </c>
      <c r="D585" t="s">
        <v>1684</v>
      </c>
      <c r="F585" t="s">
        <v>645</v>
      </c>
      <c r="H585">
        <v>45</v>
      </c>
      <c r="J585" s="1">
        <v>2873.73</v>
      </c>
      <c r="K585" s="1"/>
      <c r="L585" s="1">
        <v>2873.73</v>
      </c>
      <c r="M585" s="1">
        <v>538.79999999999995</v>
      </c>
      <c r="N585" s="1">
        <f t="shared" si="15"/>
        <v>63.860666666666667</v>
      </c>
      <c r="O585" s="1"/>
      <c r="P585" s="1"/>
      <c r="Q585" s="1"/>
      <c r="R585" s="1"/>
      <c r="S585" s="1"/>
    </row>
    <row r="586" spans="1:19" hidden="1" x14ac:dyDescent="0.4">
      <c r="A586" t="s">
        <v>1685</v>
      </c>
      <c r="B586" t="s">
        <v>729</v>
      </c>
      <c r="C586" s="131">
        <v>42490</v>
      </c>
      <c r="D586" t="s">
        <v>1686</v>
      </c>
      <c r="F586" t="s">
        <v>645</v>
      </c>
      <c r="H586">
        <v>45</v>
      </c>
      <c r="J586" s="1">
        <v>6629.25</v>
      </c>
      <c r="K586" s="1"/>
      <c r="L586" s="1">
        <v>6629.25</v>
      </c>
      <c r="M586" s="1">
        <v>1242.98</v>
      </c>
      <c r="N586" s="1">
        <f t="shared" si="15"/>
        <v>147.31666666666666</v>
      </c>
      <c r="O586" s="1"/>
      <c r="P586" s="1"/>
      <c r="Q586" s="1"/>
      <c r="R586" s="1"/>
      <c r="S586" s="1"/>
    </row>
    <row r="587" spans="1:19" hidden="1" x14ac:dyDescent="0.4">
      <c r="A587" t="s">
        <v>1687</v>
      </c>
      <c r="B587" t="s">
        <v>729</v>
      </c>
      <c r="C587" s="131">
        <v>42521</v>
      </c>
      <c r="D587" t="s">
        <v>1688</v>
      </c>
      <c r="F587" t="s">
        <v>645</v>
      </c>
      <c r="H587">
        <v>45</v>
      </c>
      <c r="J587" s="1">
        <v>2680.67</v>
      </c>
      <c r="K587" s="1"/>
      <c r="L587" s="1">
        <v>2680.67</v>
      </c>
      <c r="M587" s="1">
        <v>502.65</v>
      </c>
      <c r="N587" s="1">
        <f t="shared" si="15"/>
        <v>59.570444444444448</v>
      </c>
      <c r="O587" s="1"/>
      <c r="P587" s="1"/>
      <c r="Q587" s="1"/>
      <c r="R587" s="1"/>
      <c r="S587" s="1"/>
    </row>
    <row r="588" spans="1:19" hidden="1" x14ac:dyDescent="0.4">
      <c r="A588" t="s">
        <v>1689</v>
      </c>
      <c r="B588" t="s">
        <v>729</v>
      </c>
      <c r="C588" s="131">
        <v>42551</v>
      </c>
      <c r="D588" t="s">
        <v>1690</v>
      </c>
      <c r="F588" t="s">
        <v>645</v>
      </c>
      <c r="H588">
        <v>45</v>
      </c>
      <c r="J588" s="1">
        <v>2952.38</v>
      </c>
      <c r="K588" s="1"/>
      <c r="L588" s="1">
        <v>2952.38</v>
      </c>
      <c r="M588" s="1">
        <v>553.57000000000005</v>
      </c>
      <c r="N588" s="1">
        <f t="shared" si="15"/>
        <v>65.608444444444444</v>
      </c>
      <c r="O588" s="1"/>
      <c r="P588" s="1"/>
      <c r="Q588" s="1"/>
      <c r="R588" s="1"/>
      <c r="S588" s="1"/>
    </row>
    <row r="589" spans="1:19" hidden="1" x14ac:dyDescent="0.4">
      <c r="A589" t="s">
        <v>1691</v>
      </c>
      <c r="B589" t="s">
        <v>729</v>
      </c>
      <c r="C589" s="131">
        <v>42582</v>
      </c>
      <c r="D589" t="s">
        <v>1692</v>
      </c>
      <c r="F589" t="s">
        <v>645</v>
      </c>
      <c r="H589">
        <v>45</v>
      </c>
      <c r="J589" s="1">
        <v>1332.66</v>
      </c>
      <c r="K589" s="1"/>
      <c r="L589" s="1">
        <v>1332.66</v>
      </c>
      <c r="M589" s="1">
        <v>249.9</v>
      </c>
      <c r="N589" s="1">
        <f t="shared" si="15"/>
        <v>29.614666666666668</v>
      </c>
      <c r="O589" s="1"/>
      <c r="P589" s="1"/>
      <c r="Q589" s="1"/>
      <c r="R589" s="1"/>
      <c r="S589" s="1"/>
    </row>
    <row r="590" spans="1:19" hidden="1" x14ac:dyDescent="0.4">
      <c r="A590" t="s">
        <v>1693</v>
      </c>
      <c r="B590" t="s">
        <v>729</v>
      </c>
      <c r="C590" s="131">
        <v>42613</v>
      </c>
      <c r="D590" t="s">
        <v>1694</v>
      </c>
      <c r="F590" t="s">
        <v>645</v>
      </c>
      <c r="H590">
        <v>45</v>
      </c>
      <c r="J590" s="1">
        <v>2313.86</v>
      </c>
      <c r="K590" s="1"/>
      <c r="L590" s="1">
        <v>2313.86</v>
      </c>
      <c r="M590" s="1">
        <v>433.87</v>
      </c>
      <c r="N590" s="1">
        <f t="shared" si="15"/>
        <v>51.419111111111114</v>
      </c>
      <c r="O590" s="1"/>
      <c r="P590" s="1"/>
      <c r="Q590" s="1"/>
      <c r="R590" s="1"/>
      <c r="S590" s="1"/>
    </row>
    <row r="591" spans="1:19" hidden="1" x14ac:dyDescent="0.4">
      <c r="A591" t="s">
        <v>1695</v>
      </c>
      <c r="B591" t="s">
        <v>729</v>
      </c>
      <c r="C591" s="131">
        <v>42643</v>
      </c>
      <c r="D591" t="s">
        <v>1696</v>
      </c>
      <c r="F591" t="s">
        <v>645</v>
      </c>
      <c r="H591">
        <v>45</v>
      </c>
      <c r="J591" s="1">
        <v>1797.07</v>
      </c>
      <c r="K591" s="1"/>
      <c r="L591" s="1">
        <v>1797.07</v>
      </c>
      <c r="M591" s="1">
        <v>336.97</v>
      </c>
      <c r="N591" s="1">
        <f t="shared" si="15"/>
        <v>39.934888888888885</v>
      </c>
      <c r="O591" s="1"/>
      <c r="P591" s="1"/>
      <c r="Q591" s="1"/>
      <c r="R591" s="1"/>
      <c r="S591" s="1"/>
    </row>
    <row r="592" spans="1:19" hidden="1" x14ac:dyDescent="0.4">
      <c r="A592" t="s">
        <v>1697</v>
      </c>
      <c r="B592" t="s">
        <v>729</v>
      </c>
      <c r="C592" s="131">
        <v>42674</v>
      </c>
      <c r="D592" t="s">
        <v>1698</v>
      </c>
      <c r="F592" t="s">
        <v>645</v>
      </c>
      <c r="H592">
        <v>45</v>
      </c>
      <c r="J592" s="1">
        <v>2548.41</v>
      </c>
      <c r="K592" s="1"/>
      <c r="L592" s="1">
        <v>2548.41</v>
      </c>
      <c r="M592" s="1">
        <v>477.83</v>
      </c>
      <c r="N592" s="1">
        <f t="shared" si="15"/>
        <v>56.63133333333333</v>
      </c>
      <c r="O592" s="1"/>
      <c r="P592" s="1"/>
      <c r="Q592" s="1"/>
      <c r="R592" s="1"/>
      <c r="S592" s="1"/>
    </row>
    <row r="593" spans="1:19" hidden="1" x14ac:dyDescent="0.4">
      <c r="A593" t="s">
        <v>1699</v>
      </c>
      <c r="B593" t="s">
        <v>729</v>
      </c>
      <c r="C593" s="131">
        <v>42704</v>
      </c>
      <c r="D593" t="s">
        <v>1700</v>
      </c>
      <c r="F593" t="s">
        <v>645</v>
      </c>
      <c r="H593">
        <v>45</v>
      </c>
      <c r="J593" s="1">
        <v>876.18</v>
      </c>
      <c r="K593" s="1"/>
      <c r="L593" s="1">
        <v>876.18</v>
      </c>
      <c r="M593" s="1">
        <v>164.27</v>
      </c>
      <c r="N593" s="1">
        <f t="shared" si="15"/>
        <v>19.470666666666666</v>
      </c>
      <c r="O593" s="1"/>
      <c r="P593" s="1"/>
      <c r="Q593" s="1"/>
      <c r="R593" s="1"/>
      <c r="S593" s="1"/>
    </row>
    <row r="594" spans="1:19" hidden="1" x14ac:dyDescent="0.4">
      <c r="A594" t="s">
        <v>1701</v>
      </c>
      <c r="B594" t="s">
        <v>729</v>
      </c>
      <c r="C594" s="131">
        <v>42735</v>
      </c>
      <c r="D594" t="s">
        <v>1702</v>
      </c>
      <c r="F594" t="s">
        <v>645</v>
      </c>
      <c r="H594">
        <v>45</v>
      </c>
      <c r="J594" s="1">
        <v>1515.24</v>
      </c>
      <c r="K594" s="1"/>
      <c r="L594" s="1">
        <v>1515.24</v>
      </c>
      <c r="M594" s="1">
        <v>284.10000000000002</v>
      </c>
      <c r="N594" s="1">
        <f t="shared" si="15"/>
        <v>33.671999999999997</v>
      </c>
      <c r="O594" s="1"/>
      <c r="P594" s="1"/>
      <c r="Q594" s="1"/>
      <c r="R594" s="1"/>
      <c r="S594" s="1"/>
    </row>
    <row r="595" spans="1:19" hidden="1" x14ac:dyDescent="0.4">
      <c r="A595" t="s">
        <v>1703</v>
      </c>
      <c r="B595" t="s">
        <v>729</v>
      </c>
      <c r="C595" s="131">
        <v>42370</v>
      </c>
      <c r="D595" t="s">
        <v>1704</v>
      </c>
      <c r="F595" t="s">
        <v>645</v>
      </c>
      <c r="H595">
        <v>45</v>
      </c>
      <c r="J595" s="1">
        <v>152499.99</v>
      </c>
      <c r="K595" s="1"/>
      <c r="L595" s="1">
        <v>152499.99</v>
      </c>
      <c r="M595" s="1">
        <v>28593.75</v>
      </c>
      <c r="N595" s="1">
        <f t="shared" si="15"/>
        <v>3388.8886666666663</v>
      </c>
      <c r="O595" s="1"/>
      <c r="P595" s="1"/>
      <c r="Q595" s="1"/>
      <c r="R595" s="1"/>
      <c r="S595" s="1"/>
    </row>
    <row r="596" spans="1:19" hidden="1" x14ac:dyDescent="0.4">
      <c r="A596" t="s">
        <v>1705</v>
      </c>
      <c r="B596" t="s">
        <v>729</v>
      </c>
      <c r="C596" s="131">
        <v>42766</v>
      </c>
      <c r="D596" t="s">
        <v>1680</v>
      </c>
      <c r="F596" t="s">
        <v>645</v>
      </c>
      <c r="H596">
        <v>45</v>
      </c>
      <c r="J596" s="1">
        <v>960.65</v>
      </c>
      <c r="K596" s="1"/>
      <c r="L596" s="1">
        <v>960.65</v>
      </c>
      <c r="M596" s="1">
        <v>156.13</v>
      </c>
      <c r="N596" s="1">
        <f t="shared" si="15"/>
        <v>21.347777777777779</v>
      </c>
      <c r="O596" s="1"/>
      <c r="P596" s="1"/>
      <c r="Q596" s="1"/>
      <c r="R596" s="1"/>
      <c r="S596" s="1"/>
    </row>
    <row r="597" spans="1:19" hidden="1" x14ac:dyDescent="0.4">
      <c r="A597" t="s">
        <v>1706</v>
      </c>
      <c r="B597" t="s">
        <v>729</v>
      </c>
      <c r="C597" s="131">
        <v>42794</v>
      </c>
      <c r="D597" t="s">
        <v>1621</v>
      </c>
      <c r="F597" t="s">
        <v>645</v>
      </c>
      <c r="H597">
        <v>45</v>
      </c>
      <c r="J597" s="1">
        <v>3357.58</v>
      </c>
      <c r="K597" s="1"/>
      <c r="L597" s="1">
        <v>3357.58</v>
      </c>
      <c r="M597" s="1">
        <v>545.61</v>
      </c>
      <c r="N597" s="1">
        <f t="shared" si="15"/>
        <v>74.612888888888889</v>
      </c>
      <c r="O597" s="1"/>
      <c r="P597" s="1"/>
      <c r="Q597" s="1"/>
      <c r="R597" s="1"/>
      <c r="S597" s="1"/>
    </row>
    <row r="598" spans="1:19" hidden="1" x14ac:dyDescent="0.4">
      <c r="A598" t="s">
        <v>1707</v>
      </c>
      <c r="B598" t="s">
        <v>729</v>
      </c>
      <c r="C598" s="131">
        <v>42825</v>
      </c>
      <c r="D598" t="s">
        <v>1623</v>
      </c>
      <c r="F598" t="s">
        <v>645</v>
      </c>
      <c r="H598">
        <v>45</v>
      </c>
      <c r="J598" s="1">
        <v>2519.23</v>
      </c>
      <c r="K598" s="1"/>
      <c r="L598" s="1">
        <v>2519.23</v>
      </c>
      <c r="M598" s="1">
        <v>409.37</v>
      </c>
      <c r="N598" s="1">
        <f t="shared" si="15"/>
        <v>55.982888888888887</v>
      </c>
      <c r="O598" s="1"/>
      <c r="P598" s="1"/>
      <c r="Q598" s="1"/>
      <c r="R598" s="1"/>
      <c r="S598" s="1"/>
    </row>
    <row r="599" spans="1:19" hidden="1" x14ac:dyDescent="0.4">
      <c r="A599" t="s">
        <v>1708</v>
      </c>
      <c r="B599" t="s">
        <v>729</v>
      </c>
      <c r="C599" s="131">
        <v>42855</v>
      </c>
      <c r="D599" t="s">
        <v>1709</v>
      </c>
      <c r="F599" t="s">
        <v>645</v>
      </c>
      <c r="H599">
        <v>45</v>
      </c>
      <c r="J599" s="1">
        <v>2905.12</v>
      </c>
      <c r="K599" s="1"/>
      <c r="L599" s="1">
        <v>2905.12</v>
      </c>
      <c r="M599" s="1">
        <v>472.09</v>
      </c>
      <c r="N599" s="1">
        <f t="shared" si="15"/>
        <v>64.558222222222213</v>
      </c>
      <c r="O599" s="1"/>
      <c r="P599" s="1"/>
      <c r="Q599" s="1"/>
      <c r="R599" s="1"/>
      <c r="S599" s="1"/>
    </row>
    <row r="600" spans="1:19" hidden="1" x14ac:dyDescent="0.4">
      <c r="A600" t="s">
        <v>1710</v>
      </c>
      <c r="B600" t="s">
        <v>729</v>
      </c>
      <c r="C600" s="131">
        <v>42886</v>
      </c>
      <c r="D600" t="s">
        <v>1627</v>
      </c>
      <c r="F600" t="s">
        <v>645</v>
      </c>
      <c r="H600">
        <v>45</v>
      </c>
      <c r="J600" s="1">
        <v>3126.39</v>
      </c>
      <c r="K600" s="1"/>
      <c r="L600" s="1">
        <v>3126.39</v>
      </c>
      <c r="M600" s="1">
        <v>508.04</v>
      </c>
      <c r="N600" s="1">
        <f t="shared" si="15"/>
        <v>69.475333333333325</v>
      </c>
      <c r="O600" s="1"/>
      <c r="P600" s="1"/>
      <c r="Q600" s="1"/>
      <c r="R600" s="1"/>
      <c r="S600" s="1"/>
    </row>
    <row r="601" spans="1:19" hidden="1" x14ac:dyDescent="0.4">
      <c r="A601" t="s">
        <v>1711</v>
      </c>
      <c r="B601" t="s">
        <v>729</v>
      </c>
      <c r="C601" s="131">
        <v>42916</v>
      </c>
      <c r="D601" t="s">
        <v>1629</v>
      </c>
      <c r="F601" t="s">
        <v>645</v>
      </c>
      <c r="H601">
        <v>45</v>
      </c>
      <c r="J601" s="1">
        <v>1643.62</v>
      </c>
      <c r="K601" s="1"/>
      <c r="L601" s="1">
        <v>1643.62</v>
      </c>
      <c r="M601" s="1">
        <v>267.08999999999997</v>
      </c>
      <c r="N601" s="1">
        <f t="shared" si="15"/>
        <v>36.524888888888889</v>
      </c>
      <c r="O601" s="1"/>
      <c r="P601" s="1"/>
      <c r="Q601" s="1"/>
      <c r="R601" s="1"/>
      <c r="S601" s="1"/>
    </row>
    <row r="602" spans="1:19" hidden="1" x14ac:dyDescent="0.4">
      <c r="A602" t="s">
        <v>1712</v>
      </c>
      <c r="B602" t="s">
        <v>729</v>
      </c>
      <c r="C602" s="131">
        <v>42947</v>
      </c>
      <c r="D602" t="s">
        <v>1631</v>
      </c>
      <c r="F602" t="s">
        <v>645</v>
      </c>
      <c r="H602">
        <v>45</v>
      </c>
      <c r="J602" s="1">
        <v>2411.11</v>
      </c>
      <c r="K602" s="1"/>
      <c r="L602" s="1">
        <v>2411.11</v>
      </c>
      <c r="M602" s="1">
        <v>391.82</v>
      </c>
      <c r="N602" s="1">
        <f t="shared" si="15"/>
        <v>53.580222222222226</v>
      </c>
      <c r="O602" s="1"/>
      <c r="P602" s="1"/>
      <c r="Q602" s="1"/>
      <c r="R602" s="1"/>
      <c r="S602" s="1"/>
    </row>
    <row r="603" spans="1:19" hidden="1" x14ac:dyDescent="0.4">
      <c r="A603" t="s">
        <v>1713</v>
      </c>
      <c r="B603" t="s">
        <v>729</v>
      </c>
      <c r="C603" s="131">
        <v>42978</v>
      </c>
      <c r="D603" t="s">
        <v>1633</v>
      </c>
      <c r="F603" t="s">
        <v>645</v>
      </c>
      <c r="H603">
        <v>45</v>
      </c>
      <c r="J603" s="1">
        <v>3246.67</v>
      </c>
      <c r="K603" s="1"/>
      <c r="L603" s="1">
        <v>3246.67</v>
      </c>
      <c r="M603" s="1">
        <v>527.6</v>
      </c>
      <c r="N603" s="1">
        <f t="shared" si="15"/>
        <v>72.14822222222223</v>
      </c>
      <c r="O603" s="1"/>
      <c r="P603" s="1"/>
      <c r="Q603" s="1"/>
      <c r="R603" s="1"/>
      <c r="S603" s="1"/>
    </row>
    <row r="604" spans="1:19" hidden="1" x14ac:dyDescent="0.4">
      <c r="A604" t="s">
        <v>1714</v>
      </c>
      <c r="B604" t="s">
        <v>729</v>
      </c>
      <c r="C604" s="131">
        <v>43008</v>
      </c>
      <c r="D604" t="s">
        <v>1635</v>
      </c>
      <c r="F604" t="s">
        <v>645</v>
      </c>
      <c r="H604">
        <v>45</v>
      </c>
      <c r="J604" s="1">
        <v>2128.69</v>
      </c>
      <c r="K604" s="1"/>
      <c r="L604" s="1">
        <v>2128.69</v>
      </c>
      <c r="M604" s="1">
        <v>345.93</v>
      </c>
      <c r="N604" s="1">
        <f t="shared" si="15"/>
        <v>47.304222222222222</v>
      </c>
      <c r="O604" s="1"/>
      <c r="P604" s="1"/>
      <c r="Q604" s="1"/>
      <c r="R604" s="1"/>
      <c r="S604" s="1"/>
    </row>
    <row r="605" spans="1:19" hidden="1" x14ac:dyDescent="0.4">
      <c r="A605" t="s">
        <v>1715</v>
      </c>
      <c r="B605" t="s">
        <v>729</v>
      </c>
      <c r="C605" s="131">
        <v>43039</v>
      </c>
      <c r="D605" t="s">
        <v>1716</v>
      </c>
      <c r="F605" t="s">
        <v>645</v>
      </c>
      <c r="H605">
        <v>45</v>
      </c>
      <c r="J605" s="1">
        <v>4859.08</v>
      </c>
      <c r="K605" s="1"/>
      <c r="L605" s="1">
        <v>4859.08</v>
      </c>
      <c r="M605" s="1">
        <v>789.62</v>
      </c>
      <c r="N605" s="1">
        <f t="shared" si="15"/>
        <v>107.97955555555555</v>
      </c>
      <c r="O605" s="1"/>
      <c r="P605" s="1"/>
      <c r="Q605" s="1"/>
      <c r="R605" s="1"/>
      <c r="S605" s="1"/>
    </row>
    <row r="606" spans="1:19" hidden="1" x14ac:dyDescent="0.4">
      <c r="A606" t="s">
        <v>1717</v>
      </c>
      <c r="B606" t="s">
        <v>729</v>
      </c>
      <c r="C606" s="131">
        <v>43069</v>
      </c>
      <c r="D606" t="s">
        <v>1718</v>
      </c>
      <c r="F606" t="s">
        <v>645</v>
      </c>
      <c r="H606">
        <v>45</v>
      </c>
      <c r="J606" s="1">
        <v>4915.24</v>
      </c>
      <c r="K606" s="1"/>
      <c r="L606" s="1">
        <v>4915.24</v>
      </c>
      <c r="M606" s="1">
        <v>798.72</v>
      </c>
      <c r="N606" s="1">
        <f t="shared" si="15"/>
        <v>109.22755555555555</v>
      </c>
      <c r="O606" s="1"/>
      <c r="P606" s="1"/>
      <c r="Q606" s="1"/>
      <c r="R606" s="1"/>
      <c r="S606" s="1"/>
    </row>
    <row r="607" spans="1:19" hidden="1" x14ac:dyDescent="0.4">
      <c r="A607" t="s">
        <v>1719</v>
      </c>
      <c r="B607" t="s">
        <v>729</v>
      </c>
      <c r="C607" s="131">
        <v>43100</v>
      </c>
      <c r="D607" t="s">
        <v>1720</v>
      </c>
      <c r="F607" t="s">
        <v>645</v>
      </c>
      <c r="H607">
        <v>45</v>
      </c>
      <c r="J607" s="1">
        <v>2127.5100000000002</v>
      </c>
      <c r="K607" s="1"/>
      <c r="L607" s="1">
        <v>2127.5100000000002</v>
      </c>
      <c r="M607" s="1">
        <v>345.73</v>
      </c>
      <c r="N607" s="1">
        <f t="shared" si="15"/>
        <v>47.278000000000006</v>
      </c>
      <c r="O607" s="1"/>
      <c r="P607" s="1"/>
      <c r="Q607" s="1"/>
      <c r="R607" s="1"/>
      <c r="S607" s="1"/>
    </row>
    <row r="608" spans="1:19" hidden="1" x14ac:dyDescent="0.4">
      <c r="A608" t="s">
        <v>1721</v>
      </c>
      <c r="B608" t="s">
        <v>729</v>
      </c>
      <c r="C608" s="131">
        <v>43100</v>
      </c>
      <c r="D608" t="s">
        <v>1722</v>
      </c>
      <c r="F608" t="s">
        <v>645</v>
      </c>
      <c r="H608">
        <v>15</v>
      </c>
      <c r="J608" s="1">
        <v>19320.259999999998</v>
      </c>
      <c r="K608" s="1"/>
      <c r="L608" s="1">
        <v>19320.259999999998</v>
      </c>
      <c r="M608" s="1">
        <v>3139.56</v>
      </c>
      <c r="N608" s="1">
        <f t="shared" si="15"/>
        <v>1288.0173333333332</v>
      </c>
      <c r="O608" s="1"/>
      <c r="P608" s="1"/>
      <c r="Q608" s="1"/>
      <c r="R608" s="1"/>
      <c r="S608" s="1"/>
    </row>
    <row r="609" spans="1:19" hidden="1" x14ac:dyDescent="0.4">
      <c r="A609" t="s">
        <v>1723</v>
      </c>
      <c r="B609" t="s">
        <v>729</v>
      </c>
      <c r="C609" s="131">
        <v>43131</v>
      </c>
      <c r="D609" t="s">
        <v>1724</v>
      </c>
      <c r="F609" t="s">
        <v>645</v>
      </c>
      <c r="H609">
        <v>45</v>
      </c>
      <c r="J609" s="1">
        <v>2393.64</v>
      </c>
      <c r="K609" s="1"/>
      <c r="L609" s="1">
        <v>2393.64</v>
      </c>
      <c r="M609" s="1">
        <v>329.12</v>
      </c>
      <c r="N609" s="1">
        <f t="shared" si="15"/>
        <v>53.192</v>
      </c>
      <c r="O609" s="1"/>
      <c r="P609" s="1"/>
      <c r="Q609" s="1"/>
      <c r="R609" s="1"/>
      <c r="S609" s="1"/>
    </row>
    <row r="610" spans="1:19" hidden="1" x14ac:dyDescent="0.4">
      <c r="A610" t="s">
        <v>1725</v>
      </c>
      <c r="B610" t="s">
        <v>729</v>
      </c>
      <c r="C610" s="131">
        <v>43159</v>
      </c>
      <c r="D610" t="s">
        <v>1726</v>
      </c>
      <c r="F610" t="s">
        <v>645</v>
      </c>
      <c r="H610">
        <v>45</v>
      </c>
      <c r="J610" s="1">
        <v>1855.95</v>
      </c>
      <c r="K610" s="1"/>
      <c r="L610" s="1">
        <v>1855.95</v>
      </c>
      <c r="M610" s="1">
        <v>255.2</v>
      </c>
      <c r="N610" s="1">
        <f t="shared" si="15"/>
        <v>41.243333333333332</v>
      </c>
      <c r="O610" s="1"/>
      <c r="P610" s="1"/>
      <c r="Q610" s="1"/>
      <c r="R610" s="1"/>
      <c r="S610" s="1"/>
    </row>
    <row r="611" spans="1:19" hidden="1" x14ac:dyDescent="0.4">
      <c r="A611" t="s">
        <v>1727</v>
      </c>
      <c r="B611" t="s">
        <v>729</v>
      </c>
      <c r="C611" s="131">
        <v>43190</v>
      </c>
      <c r="D611" t="s">
        <v>1728</v>
      </c>
      <c r="F611" t="s">
        <v>645</v>
      </c>
      <c r="H611">
        <v>45</v>
      </c>
      <c r="J611" s="1">
        <v>2317.35</v>
      </c>
      <c r="K611" s="1"/>
      <c r="L611" s="1">
        <v>2317.35</v>
      </c>
      <c r="M611" s="1">
        <v>318.62</v>
      </c>
      <c r="N611" s="1">
        <f t="shared" si="15"/>
        <v>51.496666666666663</v>
      </c>
      <c r="O611" s="1"/>
      <c r="P611" s="1"/>
      <c r="Q611" s="1"/>
      <c r="R611" s="1"/>
      <c r="S611" s="1"/>
    </row>
    <row r="612" spans="1:19" hidden="1" x14ac:dyDescent="0.4">
      <c r="A612" t="s">
        <v>1729</v>
      </c>
      <c r="B612" t="s">
        <v>729</v>
      </c>
      <c r="C612" s="131">
        <v>43220</v>
      </c>
      <c r="D612" t="s">
        <v>1730</v>
      </c>
      <c r="F612" t="s">
        <v>645</v>
      </c>
      <c r="H612">
        <v>45</v>
      </c>
      <c r="J612" s="1">
        <v>1259.54</v>
      </c>
      <c r="K612" s="1"/>
      <c r="L612" s="1">
        <v>1259.54</v>
      </c>
      <c r="M612" s="1">
        <v>173.19</v>
      </c>
      <c r="N612" s="1">
        <f t="shared" si="15"/>
        <v>27.989777777777778</v>
      </c>
      <c r="O612" s="1"/>
      <c r="P612" s="1"/>
      <c r="Q612" s="1"/>
      <c r="R612" s="1"/>
      <c r="S612" s="1"/>
    </row>
    <row r="613" spans="1:19" hidden="1" x14ac:dyDescent="0.4">
      <c r="A613" t="s">
        <v>1731</v>
      </c>
      <c r="B613" t="s">
        <v>729</v>
      </c>
      <c r="C613" s="131">
        <v>43251</v>
      </c>
      <c r="D613" t="s">
        <v>1732</v>
      </c>
      <c r="F613" t="s">
        <v>645</v>
      </c>
      <c r="H613">
        <v>45</v>
      </c>
      <c r="J613" s="1">
        <v>2804.26</v>
      </c>
      <c r="K613" s="1"/>
      <c r="L613" s="1">
        <v>2804.26</v>
      </c>
      <c r="M613" s="1">
        <v>385.6</v>
      </c>
      <c r="N613" s="1">
        <f t="shared" si="15"/>
        <v>62.316888888888897</v>
      </c>
      <c r="O613" s="1"/>
      <c r="P613" s="1"/>
      <c r="Q613" s="1"/>
      <c r="R613" s="1"/>
      <c r="S613" s="1"/>
    </row>
    <row r="614" spans="1:19" hidden="1" x14ac:dyDescent="0.4">
      <c r="A614" t="s">
        <v>1733</v>
      </c>
      <c r="B614" t="s">
        <v>729</v>
      </c>
      <c r="C614" s="131">
        <v>43264</v>
      </c>
      <c r="D614" t="s">
        <v>1734</v>
      </c>
      <c r="F614" t="s">
        <v>645</v>
      </c>
      <c r="H614">
        <v>15</v>
      </c>
      <c r="J614" s="1">
        <v>15300</v>
      </c>
      <c r="K614" s="1"/>
      <c r="L614" s="1">
        <v>15300</v>
      </c>
      <c r="M614" s="1">
        <v>2103.75</v>
      </c>
      <c r="N614" s="1">
        <f t="shared" si="15"/>
        <v>1020</v>
      </c>
      <c r="O614" s="1"/>
      <c r="P614" s="1"/>
      <c r="Q614" s="1"/>
      <c r="R614" s="1"/>
      <c r="S614" s="1"/>
    </row>
    <row r="615" spans="1:19" hidden="1" x14ac:dyDescent="0.4">
      <c r="A615" t="s">
        <v>1735</v>
      </c>
      <c r="B615" t="s">
        <v>729</v>
      </c>
      <c r="C615" s="131">
        <v>43281</v>
      </c>
      <c r="D615" t="s">
        <v>1736</v>
      </c>
      <c r="F615" t="s">
        <v>645</v>
      </c>
      <c r="H615">
        <v>45</v>
      </c>
      <c r="J615" s="1">
        <v>7869.66</v>
      </c>
      <c r="K615" s="1"/>
      <c r="L615" s="1">
        <v>7869.66</v>
      </c>
      <c r="M615" s="1">
        <v>1082.07</v>
      </c>
      <c r="N615" s="1">
        <f t="shared" si="15"/>
        <v>174.88133333333332</v>
      </c>
      <c r="O615" s="1"/>
      <c r="P615" s="1"/>
      <c r="Q615" s="1"/>
      <c r="R615" s="1"/>
      <c r="S615" s="1"/>
    </row>
    <row r="616" spans="1:19" hidden="1" x14ac:dyDescent="0.4">
      <c r="A616" t="s">
        <v>1737</v>
      </c>
      <c r="B616" t="s">
        <v>729</v>
      </c>
      <c r="C616" s="131">
        <v>43292</v>
      </c>
      <c r="D616" t="s">
        <v>1734</v>
      </c>
      <c r="F616" t="s">
        <v>645</v>
      </c>
      <c r="H616">
        <v>15</v>
      </c>
      <c r="J616" s="1">
        <v>15320</v>
      </c>
      <c r="K616" s="1"/>
      <c r="L616" s="1">
        <v>15320</v>
      </c>
      <c r="M616" s="1">
        <v>2106.5</v>
      </c>
      <c r="N616" s="1">
        <f t="shared" si="15"/>
        <v>1021.3333333333334</v>
      </c>
      <c r="O616" s="1"/>
      <c r="P616" s="1"/>
      <c r="Q616" s="1"/>
      <c r="R616" s="1"/>
      <c r="S616" s="1"/>
    </row>
    <row r="617" spans="1:19" hidden="1" x14ac:dyDescent="0.4">
      <c r="A617" t="s">
        <v>1738</v>
      </c>
      <c r="B617" t="s">
        <v>729</v>
      </c>
      <c r="C617" s="131">
        <v>43312</v>
      </c>
      <c r="D617" t="s">
        <v>1739</v>
      </c>
      <c r="F617" t="s">
        <v>645</v>
      </c>
      <c r="H617">
        <v>45</v>
      </c>
      <c r="J617" s="1">
        <v>2976.7</v>
      </c>
      <c r="K617" s="1"/>
      <c r="L617" s="1">
        <v>2976.7</v>
      </c>
      <c r="M617" s="1">
        <v>409.31</v>
      </c>
      <c r="N617" s="1">
        <f t="shared" si="15"/>
        <v>66.148888888888891</v>
      </c>
      <c r="O617" s="1"/>
      <c r="P617" s="1"/>
      <c r="Q617" s="1"/>
      <c r="R617" s="1"/>
      <c r="S617" s="1"/>
    </row>
    <row r="618" spans="1:19" hidden="1" x14ac:dyDescent="0.4">
      <c r="A618" t="s">
        <v>1740</v>
      </c>
      <c r="B618" t="s">
        <v>729</v>
      </c>
      <c r="C618" s="131">
        <v>43343</v>
      </c>
      <c r="D618" t="s">
        <v>1741</v>
      </c>
      <c r="F618" t="s">
        <v>645</v>
      </c>
      <c r="H618">
        <v>45</v>
      </c>
      <c r="J618" s="1">
        <v>2498.66</v>
      </c>
      <c r="K618" s="1"/>
      <c r="L618" s="1">
        <v>2498.66</v>
      </c>
      <c r="M618" s="1">
        <v>343.58</v>
      </c>
      <c r="N618" s="1">
        <f t="shared" si="15"/>
        <v>55.525777777777776</v>
      </c>
      <c r="O618" s="1"/>
      <c r="P618" s="1"/>
      <c r="Q618" s="1"/>
      <c r="R618" s="1"/>
      <c r="S618" s="1"/>
    </row>
    <row r="619" spans="1:19" hidden="1" x14ac:dyDescent="0.4">
      <c r="A619" t="s">
        <v>1742</v>
      </c>
      <c r="B619" t="s">
        <v>729</v>
      </c>
      <c r="C619" s="131">
        <v>43373</v>
      </c>
      <c r="D619" t="s">
        <v>1743</v>
      </c>
      <c r="F619" t="s">
        <v>645</v>
      </c>
      <c r="H619">
        <v>45</v>
      </c>
      <c r="J619" s="1">
        <v>1113.3399999999999</v>
      </c>
      <c r="K619" s="1"/>
      <c r="L619" s="1">
        <v>1113.3399999999999</v>
      </c>
      <c r="M619" s="1">
        <v>153.07</v>
      </c>
      <c r="N619" s="1">
        <f t="shared" si="15"/>
        <v>24.740888888888886</v>
      </c>
      <c r="O619" s="1"/>
      <c r="P619" s="1"/>
      <c r="Q619" s="1"/>
      <c r="R619" s="1"/>
      <c r="S619" s="1"/>
    </row>
    <row r="620" spans="1:19" hidden="1" x14ac:dyDescent="0.4">
      <c r="A620" t="s">
        <v>1744</v>
      </c>
      <c r="B620" t="s">
        <v>729</v>
      </c>
      <c r="C620" s="131">
        <v>43374</v>
      </c>
      <c r="D620" t="s">
        <v>1734</v>
      </c>
      <c r="F620" t="s">
        <v>645</v>
      </c>
      <c r="H620">
        <v>15</v>
      </c>
      <c r="J620" s="1">
        <v>45900</v>
      </c>
      <c r="K620" s="1"/>
      <c r="L620" s="1">
        <v>45900</v>
      </c>
      <c r="M620" s="1">
        <v>6311.25</v>
      </c>
      <c r="N620" s="1">
        <f t="shared" si="15"/>
        <v>3060</v>
      </c>
      <c r="O620" s="1"/>
      <c r="P620" s="1"/>
      <c r="Q620" s="1"/>
      <c r="R620" s="1"/>
      <c r="S620" s="1"/>
    </row>
    <row r="621" spans="1:19" hidden="1" x14ac:dyDescent="0.4">
      <c r="A621" t="s">
        <v>1745</v>
      </c>
      <c r="B621" t="s">
        <v>729</v>
      </c>
      <c r="C621" s="131">
        <v>43405</v>
      </c>
      <c r="D621" t="s">
        <v>1734</v>
      </c>
      <c r="F621" t="s">
        <v>645</v>
      </c>
      <c r="H621">
        <v>15</v>
      </c>
      <c r="J621" s="1">
        <v>47430</v>
      </c>
      <c r="K621" s="1"/>
      <c r="L621" s="1">
        <v>47430</v>
      </c>
      <c r="M621" s="1">
        <v>6521.63</v>
      </c>
      <c r="N621" s="1">
        <f t="shared" si="15"/>
        <v>3162</v>
      </c>
      <c r="O621" s="1"/>
      <c r="P621" s="1"/>
      <c r="Q621" s="1"/>
      <c r="R621" s="1"/>
      <c r="S621" s="1"/>
    </row>
    <row r="622" spans="1:19" hidden="1" x14ac:dyDescent="0.4">
      <c r="A622" t="s">
        <v>1746</v>
      </c>
      <c r="B622" t="s">
        <v>729</v>
      </c>
      <c r="C622" s="131">
        <v>43434</v>
      </c>
      <c r="D622" t="s">
        <v>1747</v>
      </c>
      <c r="F622" t="s">
        <v>645</v>
      </c>
      <c r="H622">
        <v>45</v>
      </c>
      <c r="J622" s="1">
        <v>1124.69</v>
      </c>
      <c r="K622" s="1"/>
      <c r="L622" s="1">
        <v>1124.69</v>
      </c>
      <c r="M622" s="1">
        <v>154.66</v>
      </c>
      <c r="N622" s="1">
        <f t="shared" si="15"/>
        <v>24.993111111111112</v>
      </c>
      <c r="O622" s="1"/>
      <c r="P622" s="1"/>
      <c r="Q622" s="1"/>
      <c r="R622" s="1"/>
      <c r="S622" s="1"/>
    </row>
    <row r="623" spans="1:19" hidden="1" x14ac:dyDescent="0.4">
      <c r="A623" t="s">
        <v>1748</v>
      </c>
      <c r="B623" t="s">
        <v>729</v>
      </c>
      <c r="C623" s="131">
        <v>43439</v>
      </c>
      <c r="D623" t="s">
        <v>1734</v>
      </c>
      <c r="F623" t="s">
        <v>645</v>
      </c>
      <c r="H623">
        <v>15</v>
      </c>
      <c r="J623" s="1">
        <v>45900</v>
      </c>
      <c r="K623" s="1"/>
      <c r="L623" s="1">
        <v>45900</v>
      </c>
      <c r="M623" s="1">
        <v>6311.25</v>
      </c>
      <c r="N623" s="1">
        <f t="shared" si="15"/>
        <v>3060</v>
      </c>
      <c r="O623" s="1"/>
      <c r="P623" s="1"/>
      <c r="Q623" s="1"/>
      <c r="R623" s="1"/>
      <c r="S623" s="1"/>
    </row>
    <row r="624" spans="1:19" hidden="1" x14ac:dyDescent="0.4">
      <c r="A624" t="s">
        <v>1749</v>
      </c>
      <c r="B624" t="s">
        <v>729</v>
      </c>
      <c r="C624" s="131">
        <v>43465</v>
      </c>
      <c r="D624" t="s">
        <v>1750</v>
      </c>
      <c r="F624" t="s">
        <v>645</v>
      </c>
      <c r="H624">
        <v>45</v>
      </c>
      <c r="J624" s="1">
        <v>1905.59</v>
      </c>
      <c r="K624" s="1"/>
      <c r="L624" s="1">
        <v>1905.59</v>
      </c>
      <c r="M624" s="1">
        <v>262.02</v>
      </c>
      <c r="N624" s="1">
        <f t="shared" si="15"/>
        <v>42.346444444444444</v>
      </c>
      <c r="O624" s="1"/>
      <c r="P624" s="1"/>
      <c r="Q624" s="1"/>
      <c r="R624" s="1"/>
      <c r="S624" s="1"/>
    </row>
    <row r="625" spans="1:19" hidden="1" x14ac:dyDescent="0.4">
      <c r="A625" t="s">
        <v>1751</v>
      </c>
      <c r="B625" t="s">
        <v>729</v>
      </c>
      <c r="C625" s="131">
        <v>43179</v>
      </c>
      <c r="D625" t="s">
        <v>1734</v>
      </c>
      <c r="F625" t="s">
        <v>645</v>
      </c>
      <c r="H625">
        <v>15</v>
      </c>
      <c r="J625" s="1">
        <v>10098</v>
      </c>
      <c r="K625" s="1"/>
      <c r="L625" s="1">
        <v>10098</v>
      </c>
      <c r="M625" s="1">
        <v>1388.48</v>
      </c>
      <c r="N625" s="1">
        <f t="shared" si="15"/>
        <v>673.2</v>
      </c>
      <c r="O625" s="1"/>
      <c r="P625" s="1"/>
      <c r="Q625" s="1"/>
      <c r="R625" s="1"/>
      <c r="S625" s="1"/>
    </row>
    <row r="626" spans="1:19" hidden="1" x14ac:dyDescent="0.4">
      <c r="A626" t="s">
        <v>1752</v>
      </c>
      <c r="B626" t="s">
        <v>729</v>
      </c>
      <c r="C626" s="131">
        <v>43200</v>
      </c>
      <c r="D626" t="s">
        <v>1734</v>
      </c>
      <c r="F626" t="s">
        <v>645</v>
      </c>
      <c r="H626">
        <v>15</v>
      </c>
      <c r="J626" s="1">
        <v>10098</v>
      </c>
      <c r="K626" s="1"/>
      <c r="L626" s="1">
        <v>10098</v>
      </c>
      <c r="M626" s="1">
        <v>1388.48</v>
      </c>
      <c r="N626" s="1">
        <f t="shared" si="15"/>
        <v>673.2</v>
      </c>
      <c r="O626" s="1"/>
      <c r="P626" s="1"/>
      <c r="Q626" s="1"/>
      <c r="R626" s="1"/>
      <c r="S626" s="1"/>
    </row>
    <row r="627" spans="1:19" hidden="1" x14ac:dyDescent="0.4">
      <c r="A627" t="s">
        <v>1753</v>
      </c>
      <c r="B627" t="s">
        <v>729</v>
      </c>
      <c r="C627" s="131">
        <v>43230</v>
      </c>
      <c r="D627" t="s">
        <v>1734</v>
      </c>
      <c r="F627" t="s">
        <v>645</v>
      </c>
      <c r="H627">
        <v>15</v>
      </c>
      <c r="J627" s="1">
        <v>12358</v>
      </c>
      <c r="K627" s="1"/>
      <c r="L627" s="1">
        <v>12358</v>
      </c>
      <c r="M627" s="1">
        <v>1699.23</v>
      </c>
      <c r="N627" s="1">
        <f t="shared" si="15"/>
        <v>823.86666666666667</v>
      </c>
      <c r="O627" s="1"/>
      <c r="P627" s="1"/>
      <c r="Q627" s="1"/>
      <c r="R627" s="1"/>
      <c r="S627" s="1"/>
    </row>
    <row r="628" spans="1:19" hidden="1" x14ac:dyDescent="0.4">
      <c r="A628" t="s">
        <v>1754</v>
      </c>
      <c r="B628" t="s">
        <v>729</v>
      </c>
      <c r="C628" s="131">
        <v>43130</v>
      </c>
      <c r="D628" t="s">
        <v>1755</v>
      </c>
      <c r="F628" t="s">
        <v>645</v>
      </c>
      <c r="H628">
        <v>15</v>
      </c>
      <c r="J628" s="1">
        <v>10098</v>
      </c>
      <c r="K628" s="1"/>
      <c r="L628" s="1">
        <v>10098</v>
      </c>
      <c r="M628" s="1">
        <v>1388.48</v>
      </c>
      <c r="N628" s="1">
        <f t="shared" si="15"/>
        <v>673.2</v>
      </c>
      <c r="O628" s="1"/>
      <c r="P628" s="1"/>
      <c r="Q628" s="1"/>
      <c r="R628" s="1"/>
      <c r="S628" s="1"/>
    </row>
    <row r="629" spans="1:19" hidden="1" x14ac:dyDescent="0.4">
      <c r="A629" t="s">
        <v>1756</v>
      </c>
      <c r="B629" t="s">
        <v>729</v>
      </c>
      <c r="C629" s="131">
        <v>43282</v>
      </c>
      <c r="D629" t="s">
        <v>1757</v>
      </c>
      <c r="F629" t="s">
        <v>645</v>
      </c>
      <c r="H629">
        <v>15</v>
      </c>
      <c r="J629" s="1">
        <v>10098</v>
      </c>
      <c r="K629" s="1"/>
      <c r="L629" s="1">
        <v>10098</v>
      </c>
      <c r="M629" s="1">
        <v>1388.48</v>
      </c>
      <c r="N629" s="1">
        <f t="shared" si="15"/>
        <v>673.2</v>
      </c>
      <c r="O629" s="1"/>
      <c r="P629" s="1"/>
      <c r="Q629" s="1"/>
      <c r="R629" s="1"/>
      <c r="S629" s="1"/>
    </row>
    <row r="630" spans="1:19" hidden="1" x14ac:dyDescent="0.4">
      <c r="A630" t="s">
        <v>1758</v>
      </c>
      <c r="B630" t="s">
        <v>729</v>
      </c>
      <c r="C630" s="131">
        <v>43335</v>
      </c>
      <c r="D630" t="s">
        <v>1757</v>
      </c>
      <c r="F630" t="s">
        <v>645</v>
      </c>
      <c r="H630">
        <v>15</v>
      </c>
      <c r="J630" s="1">
        <v>45900</v>
      </c>
      <c r="K630" s="1"/>
      <c r="L630" s="1">
        <v>45900</v>
      </c>
      <c r="M630" s="1">
        <v>6311.25</v>
      </c>
      <c r="N630" s="1">
        <f t="shared" si="15"/>
        <v>3060</v>
      </c>
      <c r="O630" s="1"/>
      <c r="P630" s="1"/>
      <c r="Q630" s="1"/>
      <c r="R630" s="1"/>
      <c r="S630" s="1"/>
    </row>
    <row r="631" spans="1:19" hidden="1" x14ac:dyDescent="0.4">
      <c r="A631" t="s">
        <v>1759</v>
      </c>
      <c r="B631" t="s">
        <v>729</v>
      </c>
      <c r="C631" s="131">
        <v>43344</v>
      </c>
      <c r="D631" t="s">
        <v>1757</v>
      </c>
      <c r="F631" t="s">
        <v>645</v>
      </c>
      <c r="H631">
        <v>15</v>
      </c>
      <c r="J631" s="1">
        <v>15300</v>
      </c>
      <c r="K631" s="1"/>
      <c r="L631" s="1">
        <v>15300</v>
      </c>
      <c r="M631" s="1">
        <v>2103.75</v>
      </c>
      <c r="N631" s="1">
        <f t="shared" si="15"/>
        <v>1020</v>
      </c>
      <c r="O631" s="1"/>
      <c r="P631" s="1"/>
      <c r="Q631" s="1"/>
      <c r="R631" s="1"/>
      <c r="S631" s="1"/>
    </row>
    <row r="632" spans="1:19" hidden="1" x14ac:dyDescent="0.4">
      <c r="A632" t="s">
        <v>1760</v>
      </c>
      <c r="B632" t="s">
        <v>729</v>
      </c>
      <c r="C632" s="131">
        <v>43407</v>
      </c>
      <c r="D632" t="s">
        <v>1761</v>
      </c>
      <c r="F632" t="s">
        <v>645</v>
      </c>
      <c r="H632">
        <v>45</v>
      </c>
      <c r="J632" s="1">
        <v>45200</v>
      </c>
      <c r="K632" s="1"/>
      <c r="L632" s="1">
        <v>45200</v>
      </c>
      <c r="M632" s="1">
        <v>6215</v>
      </c>
      <c r="N632" s="1">
        <f t="shared" si="15"/>
        <v>1004.4444444444445</v>
      </c>
      <c r="O632" s="1"/>
      <c r="P632" s="1"/>
      <c r="Q632" s="1"/>
      <c r="R632" s="1"/>
      <c r="S632" s="1"/>
    </row>
    <row r="633" spans="1:19" hidden="1" x14ac:dyDescent="0.4">
      <c r="A633" t="s">
        <v>1762</v>
      </c>
      <c r="B633" t="s">
        <v>729</v>
      </c>
      <c r="C633" s="131">
        <v>43480</v>
      </c>
      <c r="D633" t="s">
        <v>1734</v>
      </c>
      <c r="F633" t="s">
        <v>645</v>
      </c>
      <c r="H633">
        <v>15</v>
      </c>
      <c r="J633" s="1">
        <v>45900</v>
      </c>
      <c r="K633" s="1"/>
      <c r="L633" s="1">
        <v>45900</v>
      </c>
      <c r="M633" s="1">
        <v>5163.75</v>
      </c>
      <c r="N633" s="1">
        <f t="shared" si="15"/>
        <v>3060</v>
      </c>
      <c r="O633" s="1"/>
      <c r="P633" s="1"/>
      <c r="Q633" s="1"/>
      <c r="R633" s="1"/>
      <c r="S633" s="1"/>
    </row>
    <row r="634" spans="1:19" hidden="1" x14ac:dyDescent="0.4">
      <c r="A634" t="s">
        <v>1763</v>
      </c>
      <c r="B634" t="s">
        <v>729</v>
      </c>
      <c r="C634" s="131">
        <v>43496</v>
      </c>
      <c r="D634" t="s">
        <v>1764</v>
      </c>
      <c r="F634" t="s">
        <v>645</v>
      </c>
      <c r="H634">
        <v>45</v>
      </c>
      <c r="J634" s="1">
        <v>234.88</v>
      </c>
      <c r="K634" s="1"/>
      <c r="L634" s="1">
        <v>234.88</v>
      </c>
      <c r="M634" s="1">
        <v>26.42</v>
      </c>
      <c r="N634" s="1">
        <f t="shared" si="15"/>
        <v>5.2195555555555551</v>
      </c>
      <c r="O634" s="1"/>
      <c r="P634" s="1"/>
      <c r="Q634" s="1"/>
      <c r="R634" s="1"/>
      <c r="S634" s="1"/>
    </row>
    <row r="635" spans="1:19" hidden="1" x14ac:dyDescent="0.4">
      <c r="A635" t="s">
        <v>1765</v>
      </c>
      <c r="B635" t="s">
        <v>729</v>
      </c>
      <c r="C635" s="131">
        <v>43502</v>
      </c>
      <c r="D635" t="s">
        <v>1734</v>
      </c>
      <c r="F635" t="s">
        <v>645</v>
      </c>
      <c r="H635">
        <v>15</v>
      </c>
      <c r="J635" s="1">
        <v>25650</v>
      </c>
      <c r="K635" s="1"/>
      <c r="L635" s="1">
        <v>25650</v>
      </c>
      <c r="M635" s="1">
        <v>2885.63</v>
      </c>
      <c r="N635" s="1">
        <f t="shared" si="15"/>
        <v>1710</v>
      </c>
      <c r="O635" s="1"/>
      <c r="P635" s="1"/>
      <c r="Q635" s="1"/>
      <c r="R635" s="1"/>
      <c r="S635" s="1"/>
    </row>
    <row r="636" spans="1:19" hidden="1" x14ac:dyDescent="0.4">
      <c r="A636" t="s">
        <v>1766</v>
      </c>
      <c r="B636" t="s">
        <v>729</v>
      </c>
      <c r="C636" s="131">
        <v>43502</v>
      </c>
      <c r="D636" t="s">
        <v>1734</v>
      </c>
      <c r="F636" t="s">
        <v>645</v>
      </c>
      <c r="H636">
        <v>15</v>
      </c>
      <c r="J636" s="1">
        <v>22950</v>
      </c>
      <c r="K636" s="1"/>
      <c r="L636" s="1">
        <v>22950</v>
      </c>
      <c r="M636" s="1">
        <v>2581.88</v>
      </c>
      <c r="N636" s="1">
        <f t="shared" si="15"/>
        <v>1530</v>
      </c>
      <c r="O636" s="1"/>
      <c r="P636" s="1"/>
      <c r="Q636" s="1"/>
      <c r="R636" s="1"/>
      <c r="S636" s="1"/>
    </row>
    <row r="637" spans="1:19" hidden="1" x14ac:dyDescent="0.4">
      <c r="A637" t="s">
        <v>1767</v>
      </c>
      <c r="B637" t="s">
        <v>729</v>
      </c>
      <c r="C637" s="131">
        <v>43524</v>
      </c>
      <c r="D637" t="s">
        <v>1768</v>
      </c>
      <c r="F637" t="s">
        <v>645</v>
      </c>
      <c r="H637">
        <v>45</v>
      </c>
      <c r="J637" s="1">
        <v>2205.6</v>
      </c>
      <c r="K637" s="1"/>
      <c r="L637" s="1">
        <v>2205.6</v>
      </c>
      <c r="M637" s="1">
        <v>248.13</v>
      </c>
      <c r="N637" s="1">
        <f t="shared" si="15"/>
        <v>49.013333333333328</v>
      </c>
      <c r="O637" s="1"/>
      <c r="P637" s="1"/>
      <c r="Q637" s="1"/>
      <c r="R637" s="1"/>
      <c r="S637" s="1"/>
    </row>
    <row r="638" spans="1:19" hidden="1" x14ac:dyDescent="0.4">
      <c r="A638" t="s">
        <v>1769</v>
      </c>
      <c r="B638" t="s">
        <v>729</v>
      </c>
      <c r="C638" s="131">
        <v>43544</v>
      </c>
      <c r="D638" t="s">
        <v>1734</v>
      </c>
      <c r="F638" t="s">
        <v>645</v>
      </c>
      <c r="H638">
        <v>15</v>
      </c>
      <c r="J638" s="1">
        <v>45900</v>
      </c>
      <c r="K638" s="1"/>
      <c r="L638" s="1">
        <v>45900</v>
      </c>
      <c r="M638" s="1">
        <v>5163.75</v>
      </c>
      <c r="N638" s="1">
        <f t="shared" si="15"/>
        <v>3060</v>
      </c>
      <c r="R638" s="1"/>
    </row>
    <row r="639" spans="1:19" hidden="1" x14ac:dyDescent="0.4">
      <c r="A639" t="s">
        <v>1770</v>
      </c>
      <c r="B639" t="s">
        <v>729</v>
      </c>
      <c r="C639" s="131">
        <v>43555</v>
      </c>
      <c r="D639" t="s">
        <v>1771</v>
      </c>
      <c r="F639" t="s">
        <v>645</v>
      </c>
      <c r="H639">
        <v>45</v>
      </c>
      <c r="J639" s="1">
        <v>5849.02</v>
      </c>
      <c r="K639" s="1"/>
      <c r="L639" s="1">
        <v>5849.02</v>
      </c>
      <c r="M639" s="1">
        <v>658.03</v>
      </c>
      <c r="N639" s="1">
        <f t="shared" si="15"/>
        <v>129.97822222222223</v>
      </c>
      <c r="O639" s="1"/>
      <c r="P639" s="1"/>
      <c r="Q639" s="1"/>
      <c r="R639" s="1"/>
      <c r="S639" s="1"/>
    </row>
    <row r="640" spans="1:19" hidden="1" x14ac:dyDescent="0.4">
      <c r="A640" t="s">
        <v>1772</v>
      </c>
      <c r="B640" t="s">
        <v>729</v>
      </c>
      <c r="C640" s="131">
        <v>43567</v>
      </c>
      <c r="D640" t="s">
        <v>1734</v>
      </c>
      <c r="F640" t="s">
        <v>645</v>
      </c>
      <c r="H640">
        <v>15</v>
      </c>
      <c r="J640" s="1">
        <v>50490</v>
      </c>
      <c r="K640" s="1"/>
      <c r="L640" s="1">
        <v>50490</v>
      </c>
      <c r="M640" s="1">
        <v>5680.13</v>
      </c>
      <c r="N640" s="1">
        <f t="shared" si="15"/>
        <v>3366</v>
      </c>
      <c r="O640" s="1"/>
      <c r="P640" s="1"/>
      <c r="Q640" s="1"/>
      <c r="R640" s="1"/>
      <c r="S640" s="1"/>
    </row>
    <row r="641" spans="1:19" hidden="1" x14ac:dyDescent="0.4">
      <c r="A641" t="s">
        <v>1773</v>
      </c>
      <c r="B641" t="s">
        <v>729</v>
      </c>
      <c r="C641" s="131">
        <v>43585</v>
      </c>
      <c r="D641" t="s">
        <v>1774</v>
      </c>
      <c r="F641" t="s">
        <v>645</v>
      </c>
      <c r="H641">
        <v>45</v>
      </c>
      <c r="J641" s="1">
        <v>1223.92</v>
      </c>
      <c r="K641" s="1"/>
      <c r="L641" s="1">
        <v>1223.92</v>
      </c>
      <c r="M641" s="1">
        <v>137.69999999999999</v>
      </c>
      <c r="N641" s="1">
        <f t="shared" si="15"/>
        <v>27.198222222222224</v>
      </c>
      <c r="O641" s="1"/>
      <c r="P641" s="1"/>
      <c r="Q641" s="1"/>
      <c r="R641" s="1"/>
      <c r="S641" s="1"/>
    </row>
    <row r="642" spans="1:19" hidden="1" x14ac:dyDescent="0.4">
      <c r="A642" t="s">
        <v>1775</v>
      </c>
      <c r="B642" t="s">
        <v>729</v>
      </c>
      <c r="C642" s="131">
        <v>43599</v>
      </c>
      <c r="D642" t="s">
        <v>1734</v>
      </c>
      <c r="F642" t="s">
        <v>645</v>
      </c>
      <c r="H642">
        <v>15</v>
      </c>
      <c r="J642" s="1">
        <v>50490</v>
      </c>
      <c r="K642" s="1"/>
      <c r="L642" s="1">
        <v>50490</v>
      </c>
      <c r="M642" s="1">
        <v>5680.13</v>
      </c>
      <c r="N642" s="1">
        <f t="shared" si="15"/>
        <v>3366</v>
      </c>
      <c r="O642" s="1"/>
      <c r="P642" s="1"/>
      <c r="Q642" s="1"/>
      <c r="R642" s="1"/>
      <c r="S642" s="1"/>
    </row>
    <row r="643" spans="1:19" hidden="1" x14ac:dyDescent="0.4">
      <c r="A643" t="s">
        <v>1776</v>
      </c>
      <c r="B643" t="s">
        <v>729</v>
      </c>
      <c r="C643" s="131">
        <v>43616</v>
      </c>
      <c r="D643" t="s">
        <v>1777</v>
      </c>
      <c r="F643" t="s">
        <v>645</v>
      </c>
      <c r="H643">
        <v>45</v>
      </c>
      <c r="J643" s="1">
        <v>3783.6</v>
      </c>
      <c r="K643" s="1"/>
      <c r="L643" s="1">
        <v>3783.6</v>
      </c>
      <c r="M643" s="1">
        <v>425.66</v>
      </c>
      <c r="N643" s="1">
        <f t="shared" si="15"/>
        <v>84.08</v>
      </c>
      <c r="O643" s="1"/>
      <c r="P643" s="1"/>
      <c r="Q643" s="1"/>
      <c r="R643" s="1"/>
      <c r="S643" s="1"/>
    </row>
    <row r="644" spans="1:19" hidden="1" x14ac:dyDescent="0.4">
      <c r="A644" t="s">
        <v>1778</v>
      </c>
      <c r="B644" t="s">
        <v>729</v>
      </c>
      <c r="C644" s="131">
        <v>43621</v>
      </c>
      <c r="D644" t="s">
        <v>1734</v>
      </c>
      <c r="F644" t="s">
        <v>645</v>
      </c>
      <c r="H644">
        <v>15</v>
      </c>
      <c r="J644" s="1">
        <v>61200</v>
      </c>
      <c r="K644" s="1"/>
      <c r="L644" s="1">
        <v>61200</v>
      </c>
      <c r="M644" s="1">
        <v>6885</v>
      </c>
      <c r="N644" s="1">
        <f t="shared" si="15"/>
        <v>4080</v>
      </c>
      <c r="O644" s="1"/>
      <c r="P644" s="1"/>
      <c r="Q644" s="1"/>
      <c r="R644" s="1"/>
      <c r="S644" s="1"/>
    </row>
    <row r="645" spans="1:19" hidden="1" x14ac:dyDescent="0.4">
      <c r="A645" t="s">
        <v>1779</v>
      </c>
      <c r="B645" t="s">
        <v>729</v>
      </c>
      <c r="C645" s="131">
        <v>43643</v>
      </c>
      <c r="D645" t="s">
        <v>1734</v>
      </c>
      <c r="F645" t="s">
        <v>645</v>
      </c>
      <c r="H645">
        <v>15</v>
      </c>
      <c r="J645" s="1">
        <v>62240</v>
      </c>
      <c r="K645" s="1"/>
      <c r="L645" s="1">
        <v>62240</v>
      </c>
      <c r="M645" s="1">
        <v>7002</v>
      </c>
      <c r="N645" s="1">
        <f t="shared" ref="N645:N708" si="16">L645/H645</f>
        <v>4149.333333333333</v>
      </c>
      <c r="O645" s="1"/>
      <c r="P645" s="1"/>
      <c r="Q645" s="1"/>
      <c r="R645" s="1"/>
      <c r="S645" s="1"/>
    </row>
    <row r="646" spans="1:19" hidden="1" x14ac:dyDescent="0.4">
      <c r="A646" t="s">
        <v>1780</v>
      </c>
      <c r="B646" t="s">
        <v>729</v>
      </c>
      <c r="C646" s="131">
        <v>43646</v>
      </c>
      <c r="D646" t="s">
        <v>1629</v>
      </c>
      <c r="F646" t="s">
        <v>645</v>
      </c>
      <c r="H646">
        <v>45</v>
      </c>
      <c r="J646" s="1">
        <v>1763.91</v>
      </c>
      <c r="K646" s="1"/>
      <c r="L646" s="1">
        <v>1763.91</v>
      </c>
      <c r="M646" s="1">
        <v>198.45</v>
      </c>
      <c r="N646" s="1">
        <f t="shared" si="16"/>
        <v>39.198</v>
      </c>
      <c r="O646" s="1"/>
      <c r="P646" s="1"/>
      <c r="Q646" s="1"/>
      <c r="R646" s="1"/>
      <c r="S646" s="1"/>
    </row>
    <row r="647" spans="1:19" hidden="1" x14ac:dyDescent="0.4">
      <c r="A647" t="s">
        <v>1781</v>
      </c>
      <c r="B647" t="s">
        <v>729</v>
      </c>
      <c r="C647" s="131">
        <v>43665</v>
      </c>
      <c r="D647" t="s">
        <v>1734</v>
      </c>
      <c r="F647" t="s">
        <v>645</v>
      </c>
      <c r="H647">
        <v>15</v>
      </c>
      <c r="J647" s="1">
        <v>62990</v>
      </c>
      <c r="K647" s="1"/>
      <c r="L647" s="1">
        <v>62990</v>
      </c>
      <c r="M647" s="1">
        <v>7086.38</v>
      </c>
      <c r="N647" s="1">
        <f t="shared" si="16"/>
        <v>4199.333333333333</v>
      </c>
      <c r="O647" s="1"/>
      <c r="P647" s="1"/>
      <c r="Q647" s="1"/>
      <c r="R647" s="1"/>
      <c r="S647" s="1"/>
    </row>
    <row r="648" spans="1:19" hidden="1" x14ac:dyDescent="0.4">
      <c r="A648" t="s">
        <v>1782</v>
      </c>
      <c r="B648" t="s">
        <v>729</v>
      </c>
      <c r="C648" s="131">
        <v>43669</v>
      </c>
      <c r="D648" t="s">
        <v>1734</v>
      </c>
      <c r="F648" t="s">
        <v>645</v>
      </c>
      <c r="H648">
        <v>15</v>
      </c>
      <c r="J648" s="1">
        <v>1130</v>
      </c>
      <c r="K648" s="1"/>
      <c r="L648" s="1">
        <v>1130</v>
      </c>
      <c r="M648" s="1">
        <v>127.13</v>
      </c>
      <c r="N648" s="1">
        <f t="shared" si="16"/>
        <v>75.333333333333329</v>
      </c>
      <c r="O648" s="1"/>
      <c r="P648" s="1"/>
      <c r="Q648" s="1"/>
      <c r="R648" s="1"/>
      <c r="S648" s="1"/>
    </row>
    <row r="649" spans="1:19" hidden="1" x14ac:dyDescent="0.4">
      <c r="A649" t="s">
        <v>1783</v>
      </c>
      <c r="B649" t="s">
        <v>729</v>
      </c>
      <c r="C649" s="131">
        <v>43677</v>
      </c>
      <c r="D649" t="s">
        <v>1631</v>
      </c>
      <c r="F649" t="s">
        <v>645</v>
      </c>
      <c r="H649">
        <v>45</v>
      </c>
      <c r="J649" s="1">
        <v>1563.87</v>
      </c>
      <c r="K649" s="1"/>
      <c r="L649" s="1">
        <v>1563.87</v>
      </c>
      <c r="M649" s="1">
        <v>175.95</v>
      </c>
      <c r="N649" s="1">
        <f t="shared" si="16"/>
        <v>34.752666666666663</v>
      </c>
      <c r="O649" s="1"/>
      <c r="P649" s="1"/>
      <c r="Q649" s="1"/>
      <c r="R649" s="1"/>
      <c r="S649" s="1"/>
    </row>
    <row r="650" spans="1:19" hidden="1" x14ac:dyDescent="0.4">
      <c r="A650" t="s">
        <v>1784</v>
      </c>
      <c r="B650" t="s">
        <v>729</v>
      </c>
      <c r="C650" s="131">
        <v>43678</v>
      </c>
      <c r="D650" t="s">
        <v>1734</v>
      </c>
      <c r="F650" t="s">
        <v>645</v>
      </c>
      <c r="H650">
        <v>15</v>
      </c>
      <c r="J650" s="1">
        <v>2446.0700000000002</v>
      </c>
      <c r="K650" s="1"/>
      <c r="L650" s="1">
        <v>2446.0700000000002</v>
      </c>
      <c r="M650" s="1">
        <v>275.18</v>
      </c>
      <c r="N650" s="1">
        <f t="shared" si="16"/>
        <v>163.07133333333334</v>
      </c>
      <c r="O650" s="1"/>
      <c r="P650" s="1"/>
      <c r="Q650" s="1"/>
      <c r="R650" s="1"/>
      <c r="S650" s="1"/>
    </row>
    <row r="651" spans="1:19" hidden="1" x14ac:dyDescent="0.4">
      <c r="A651" t="s">
        <v>1785</v>
      </c>
      <c r="B651" t="s">
        <v>729</v>
      </c>
      <c r="C651" s="131">
        <v>43693</v>
      </c>
      <c r="D651" t="s">
        <v>1734</v>
      </c>
      <c r="F651" t="s">
        <v>645</v>
      </c>
      <c r="H651">
        <v>15</v>
      </c>
      <c r="J651" s="1">
        <v>62990</v>
      </c>
      <c r="K651" s="1"/>
      <c r="L651" s="1">
        <v>62990</v>
      </c>
      <c r="M651" s="1">
        <v>7086.38</v>
      </c>
      <c r="N651" s="1">
        <f t="shared" si="16"/>
        <v>4199.333333333333</v>
      </c>
      <c r="O651" s="1"/>
      <c r="P651" s="1"/>
      <c r="Q651" s="1"/>
      <c r="R651" s="1"/>
      <c r="S651" s="1"/>
    </row>
    <row r="652" spans="1:19" hidden="1" x14ac:dyDescent="0.4">
      <c r="A652" t="s">
        <v>1786</v>
      </c>
      <c r="B652" t="s">
        <v>729</v>
      </c>
      <c r="C652" s="131">
        <v>43705</v>
      </c>
      <c r="D652" t="s">
        <v>1734</v>
      </c>
      <c r="F652" t="s">
        <v>645</v>
      </c>
      <c r="H652">
        <v>15</v>
      </c>
      <c r="J652" s="1">
        <v>125860</v>
      </c>
      <c r="K652" s="1"/>
      <c r="L652" s="1">
        <v>125860</v>
      </c>
      <c r="M652" s="1">
        <v>14159.25</v>
      </c>
      <c r="N652" s="1">
        <f t="shared" si="16"/>
        <v>8390.6666666666661</v>
      </c>
      <c r="O652" s="1"/>
      <c r="P652" s="1"/>
      <c r="Q652" s="1"/>
      <c r="R652" s="1"/>
      <c r="S652" s="1"/>
    </row>
    <row r="653" spans="1:19" hidden="1" x14ac:dyDescent="0.4">
      <c r="A653" t="s">
        <v>1787</v>
      </c>
      <c r="B653" t="s">
        <v>729</v>
      </c>
      <c r="C653" s="131">
        <v>43708</v>
      </c>
      <c r="D653" t="s">
        <v>1788</v>
      </c>
      <c r="F653" t="s">
        <v>645</v>
      </c>
      <c r="H653">
        <v>45</v>
      </c>
      <c r="J653" s="1">
        <v>2483.81</v>
      </c>
      <c r="K653" s="1"/>
      <c r="L653" s="1">
        <v>2483.81</v>
      </c>
      <c r="M653" s="1">
        <v>279.44</v>
      </c>
      <c r="N653" s="1">
        <f t="shared" si="16"/>
        <v>55.195777777777778</v>
      </c>
      <c r="O653" s="1"/>
      <c r="P653" s="1"/>
      <c r="Q653" s="1"/>
      <c r="R653" s="1"/>
      <c r="S653" s="1"/>
    </row>
    <row r="654" spans="1:19" hidden="1" x14ac:dyDescent="0.4">
      <c r="A654" t="s">
        <v>1789</v>
      </c>
      <c r="B654" t="s">
        <v>729</v>
      </c>
      <c r="C654" s="131">
        <v>43738</v>
      </c>
      <c r="D654" t="s">
        <v>1790</v>
      </c>
      <c r="F654" t="s">
        <v>645</v>
      </c>
      <c r="H654">
        <v>45</v>
      </c>
      <c r="J654" s="1">
        <v>1334.74</v>
      </c>
      <c r="K654" s="1"/>
      <c r="L654" s="1">
        <v>1334.74</v>
      </c>
      <c r="M654" s="1">
        <v>150.16</v>
      </c>
      <c r="N654" s="1">
        <f t="shared" si="16"/>
        <v>29.660888888888888</v>
      </c>
      <c r="O654" s="1"/>
      <c r="P654" s="1"/>
      <c r="Q654" s="1"/>
      <c r="R654" s="1"/>
      <c r="S654" s="1"/>
    </row>
    <row r="655" spans="1:19" hidden="1" x14ac:dyDescent="0.4">
      <c r="A655" t="s">
        <v>1791</v>
      </c>
      <c r="B655" t="s">
        <v>729</v>
      </c>
      <c r="C655" s="131">
        <v>43766</v>
      </c>
      <c r="D655" t="s">
        <v>1734</v>
      </c>
      <c r="F655" t="s">
        <v>645</v>
      </c>
      <c r="H655">
        <v>15</v>
      </c>
      <c r="J655" s="1">
        <v>1286.3800000000001</v>
      </c>
      <c r="K655" s="1"/>
      <c r="L655" s="1">
        <v>1286.3800000000001</v>
      </c>
      <c r="M655" s="1">
        <v>144.72</v>
      </c>
      <c r="N655" s="1">
        <f t="shared" si="16"/>
        <v>85.75866666666667</v>
      </c>
      <c r="O655" s="1"/>
      <c r="P655" s="1"/>
      <c r="Q655" s="1"/>
      <c r="R655" s="1"/>
      <c r="S655" s="1"/>
    </row>
    <row r="656" spans="1:19" hidden="1" x14ac:dyDescent="0.4">
      <c r="A656" t="s">
        <v>1792</v>
      </c>
      <c r="B656" t="s">
        <v>729</v>
      </c>
      <c r="C656" s="131">
        <v>43767</v>
      </c>
      <c r="D656" t="s">
        <v>1734</v>
      </c>
      <c r="F656" t="s">
        <v>645</v>
      </c>
      <c r="H656">
        <v>15</v>
      </c>
      <c r="J656" s="1">
        <v>1000</v>
      </c>
      <c r="K656" s="1"/>
      <c r="L656" s="1">
        <v>1000</v>
      </c>
      <c r="M656" s="1">
        <v>112.5</v>
      </c>
      <c r="N656" s="1">
        <f t="shared" si="16"/>
        <v>66.666666666666671</v>
      </c>
      <c r="O656" s="1"/>
      <c r="P656" s="1"/>
      <c r="Q656" s="1"/>
      <c r="R656" s="1"/>
      <c r="S656" s="1"/>
    </row>
    <row r="657" spans="1:19" hidden="1" x14ac:dyDescent="0.4">
      <c r="A657" t="s">
        <v>1793</v>
      </c>
      <c r="B657" t="s">
        <v>729</v>
      </c>
      <c r="C657" s="131">
        <v>43769</v>
      </c>
      <c r="D657" t="s">
        <v>1794</v>
      </c>
      <c r="F657" t="s">
        <v>645</v>
      </c>
      <c r="H657">
        <v>45</v>
      </c>
      <c r="J657" s="1">
        <v>2975.43</v>
      </c>
      <c r="K657" s="1"/>
      <c r="L657" s="1">
        <v>2975.43</v>
      </c>
      <c r="M657" s="1">
        <v>334.75</v>
      </c>
      <c r="N657" s="1">
        <f t="shared" si="16"/>
        <v>66.120666666666665</v>
      </c>
      <c r="O657" s="1"/>
      <c r="P657" s="1"/>
      <c r="Q657" s="1"/>
      <c r="R657" s="1"/>
      <c r="S657" s="1"/>
    </row>
    <row r="658" spans="1:19" hidden="1" x14ac:dyDescent="0.4">
      <c r="A658" t="s">
        <v>1795</v>
      </c>
      <c r="B658" t="s">
        <v>729</v>
      </c>
      <c r="C658" s="131">
        <v>43799</v>
      </c>
      <c r="D658" t="s">
        <v>1796</v>
      </c>
      <c r="F658" t="s">
        <v>645</v>
      </c>
      <c r="H658">
        <v>45</v>
      </c>
      <c r="J658" s="1">
        <v>3549.83</v>
      </c>
      <c r="K658" s="1"/>
      <c r="L658" s="1">
        <v>3549.83</v>
      </c>
      <c r="M658" s="1">
        <v>399.37</v>
      </c>
      <c r="N658" s="1">
        <f t="shared" si="16"/>
        <v>78.885111111111115</v>
      </c>
      <c r="O658" s="1"/>
      <c r="P658" s="1"/>
      <c r="Q658" s="1"/>
      <c r="R658" s="1"/>
      <c r="S658" s="1"/>
    </row>
    <row r="659" spans="1:19" hidden="1" x14ac:dyDescent="0.4">
      <c r="A659" t="s">
        <v>1797</v>
      </c>
      <c r="B659" t="s">
        <v>729</v>
      </c>
      <c r="C659" s="131">
        <v>43830</v>
      </c>
      <c r="D659" t="s">
        <v>1798</v>
      </c>
      <c r="F659" t="s">
        <v>645</v>
      </c>
      <c r="H659">
        <v>45</v>
      </c>
      <c r="J659" s="1">
        <v>3063.08</v>
      </c>
      <c r="K659" s="1"/>
      <c r="L659" s="1">
        <v>3063.08</v>
      </c>
      <c r="M659" s="1">
        <v>344.61</v>
      </c>
      <c r="N659" s="1">
        <f t="shared" si="16"/>
        <v>68.068444444444438</v>
      </c>
      <c r="O659" s="1"/>
      <c r="P659" s="1"/>
      <c r="Q659" s="1"/>
      <c r="R659" s="1"/>
      <c r="S659" s="1"/>
    </row>
    <row r="660" spans="1:19" hidden="1" x14ac:dyDescent="0.4">
      <c r="A660" t="s">
        <v>728</v>
      </c>
      <c r="B660" t="s">
        <v>729</v>
      </c>
      <c r="C660" s="131">
        <v>43769</v>
      </c>
      <c r="D660" t="s">
        <v>730</v>
      </c>
      <c r="F660" t="s">
        <v>645</v>
      </c>
      <c r="H660">
        <v>15</v>
      </c>
      <c r="J660" s="1">
        <v>63340</v>
      </c>
      <c r="K660" s="1"/>
      <c r="L660" s="1">
        <v>63340</v>
      </c>
      <c r="M660" s="1">
        <v>7125.75</v>
      </c>
      <c r="N660" s="1">
        <f t="shared" si="16"/>
        <v>4222.666666666667</v>
      </c>
      <c r="O660" s="1"/>
      <c r="P660" s="1"/>
      <c r="Q660" s="1"/>
      <c r="R660" s="1"/>
      <c r="S660" s="1"/>
    </row>
    <row r="661" spans="1:19" hidden="1" x14ac:dyDescent="0.4">
      <c r="A661" t="s">
        <v>731</v>
      </c>
      <c r="B661" t="s">
        <v>729</v>
      </c>
      <c r="C661" s="131">
        <v>43789</v>
      </c>
      <c r="D661" t="s">
        <v>730</v>
      </c>
      <c r="F661" t="s">
        <v>645</v>
      </c>
      <c r="H661">
        <v>15</v>
      </c>
      <c r="J661" s="1">
        <v>730423.02</v>
      </c>
      <c r="K661" s="1"/>
      <c r="L661" s="1">
        <v>730423.02</v>
      </c>
      <c r="M661" s="1">
        <v>82172.600000000006</v>
      </c>
      <c r="N661" s="1">
        <f t="shared" si="16"/>
        <v>48694.868000000002</v>
      </c>
      <c r="O661" s="1"/>
      <c r="P661" s="1"/>
      <c r="Q661" s="1"/>
      <c r="R661" s="1"/>
      <c r="S661" s="1"/>
    </row>
    <row r="662" spans="1:19" hidden="1" x14ac:dyDescent="0.4">
      <c r="A662" t="s">
        <v>1799</v>
      </c>
      <c r="B662" t="s">
        <v>729</v>
      </c>
      <c r="C662" s="131">
        <v>43861</v>
      </c>
      <c r="D662" t="s">
        <v>1680</v>
      </c>
      <c r="F662" t="s">
        <v>645</v>
      </c>
      <c r="H662">
        <v>45</v>
      </c>
      <c r="J662" s="1">
        <v>2366.66</v>
      </c>
      <c r="K662" s="1"/>
      <c r="L662" s="1">
        <v>2366.66</v>
      </c>
      <c r="M662" s="1">
        <v>207.09</v>
      </c>
      <c r="N662" s="1">
        <f t="shared" si="16"/>
        <v>52.592444444444439</v>
      </c>
      <c r="O662" s="1"/>
      <c r="P662" s="1"/>
      <c r="Q662" s="1"/>
      <c r="R662" s="1"/>
      <c r="S662" s="1"/>
    </row>
    <row r="663" spans="1:19" hidden="1" x14ac:dyDescent="0.4">
      <c r="A663" t="s">
        <v>1800</v>
      </c>
      <c r="B663" t="s">
        <v>729</v>
      </c>
      <c r="C663" s="131">
        <v>43889</v>
      </c>
      <c r="D663" t="s">
        <v>1682</v>
      </c>
      <c r="F663" t="s">
        <v>645</v>
      </c>
      <c r="H663">
        <v>45</v>
      </c>
      <c r="J663" s="1">
        <v>259.77</v>
      </c>
      <c r="K663" s="1"/>
      <c r="L663" s="1">
        <v>259.77</v>
      </c>
      <c r="M663" s="1">
        <v>22.72</v>
      </c>
      <c r="N663" s="1">
        <f t="shared" si="16"/>
        <v>5.7726666666666659</v>
      </c>
      <c r="O663" s="1"/>
      <c r="P663" s="1"/>
      <c r="Q663" s="1"/>
      <c r="R663" s="1"/>
      <c r="S663" s="1"/>
    </row>
    <row r="664" spans="1:19" hidden="1" x14ac:dyDescent="0.4">
      <c r="A664" t="s">
        <v>1801</v>
      </c>
      <c r="B664" t="s">
        <v>729</v>
      </c>
      <c r="C664" s="131">
        <v>43921</v>
      </c>
      <c r="D664" t="s">
        <v>1802</v>
      </c>
      <c r="F664" t="s">
        <v>645</v>
      </c>
      <c r="H664">
        <v>45</v>
      </c>
      <c r="J664" s="1">
        <v>2652.16</v>
      </c>
      <c r="K664" s="1"/>
      <c r="L664" s="1">
        <v>2652.16</v>
      </c>
      <c r="M664" s="1">
        <v>232.05</v>
      </c>
      <c r="N664" s="1">
        <f t="shared" si="16"/>
        <v>58.936888888888888</v>
      </c>
      <c r="O664" s="1"/>
      <c r="P664" s="1"/>
      <c r="Q664" s="1"/>
      <c r="R664" s="1"/>
      <c r="S664" s="1"/>
    </row>
    <row r="665" spans="1:19" hidden="1" x14ac:dyDescent="0.4">
      <c r="A665" t="s">
        <v>1803</v>
      </c>
      <c r="B665" t="s">
        <v>729</v>
      </c>
      <c r="C665" s="131">
        <v>43951</v>
      </c>
      <c r="D665" t="s">
        <v>1804</v>
      </c>
      <c r="F665" t="s">
        <v>645</v>
      </c>
      <c r="H665">
        <v>45</v>
      </c>
      <c r="J665" s="1">
        <v>6114.97</v>
      </c>
      <c r="K665" s="1"/>
      <c r="L665" s="1">
        <v>6114.97</v>
      </c>
      <c r="M665" s="1">
        <v>535.04999999999995</v>
      </c>
      <c r="N665" s="1">
        <f t="shared" si="16"/>
        <v>135.88822222222223</v>
      </c>
      <c r="O665" s="1"/>
      <c r="P665" s="1"/>
      <c r="Q665" s="1"/>
      <c r="R665" s="1"/>
      <c r="S665" s="1"/>
    </row>
    <row r="666" spans="1:19" hidden="1" x14ac:dyDescent="0.4">
      <c r="A666" t="s">
        <v>1805</v>
      </c>
      <c r="B666" t="s">
        <v>729</v>
      </c>
      <c r="C666" s="131">
        <v>43982</v>
      </c>
      <c r="D666" t="s">
        <v>1806</v>
      </c>
      <c r="F666" t="s">
        <v>645</v>
      </c>
      <c r="H666">
        <v>45</v>
      </c>
      <c r="J666" s="1">
        <v>823.09</v>
      </c>
      <c r="K666" s="1"/>
      <c r="L666" s="1">
        <v>823.09</v>
      </c>
      <c r="M666" s="1">
        <v>72.03</v>
      </c>
      <c r="N666" s="1">
        <f t="shared" si="16"/>
        <v>18.29088888888889</v>
      </c>
      <c r="O666" s="1"/>
      <c r="P666" s="1"/>
      <c r="Q666" s="1"/>
      <c r="R666" s="1"/>
      <c r="S666" s="1"/>
    </row>
    <row r="667" spans="1:19" hidden="1" x14ac:dyDescent="0.4">
      <c r="A667" t="s">
        <v>1807</v>
      </c>
      <c r="B667" t="s">
        <v>729</v>
      </c>
      <c r="C667" s="131">
        <v>44012</v>
      </c>
      <c r="D667" t="s">
        <v>1808</v>
      </c>
      <c r="F667" t="s">
        <v>645</v>
      </c>
      <c r="H667">
        <v>45</v>
      </c>
      <c r="J667" s="1">
        <v>1040.6400000000001</v>
      </c>
      <c r="K667" s="1"/>
      <c r="L667" s="1">
        <v>1040.6400000000001</v>
      </c>
      <c r="M667" s="1">
        <v>91.07</v>
      </c>
      <c r="N667" s="1">
        <f t="shared" si="16"/>
        <v>23.125333333333337</v>
      </c>
      <c r="O667" s="1"/>
      <c r="P667" s="1"/>
      <c r="Q667" s="1"/>
      <c r="R667" s="1"/>
      <c r="S667" s="1"/>
    </row>
    <row r="668" spans="1:19" hidden="1" x14ac:dyDescent="0.4">
      <c r="A668" t="s">
        <v>1809</v>
      </c>
      <c r="B668" t="s">
        <v>729</v>
      </c>
      <c r="C668" s="131">
        <v>44043</v>
      </c>
      <c r="D668" t="s">
        <v>1810</v>
      </c>
      <c r="F668" t="s">
        <v>645</v>
      </c>
      <c r="H668">
        <v>45</v>
      </c>
      <c r="J668" s="1">
        <v>2272.39</v>
      </c>
      <c r="K668" s="1"/>
      <c r="L668" s="1">
        <v>2272.39</v>
      </c>
      <c r="M668" s="1">
        <v>198.83</v>
      </c>
      <c r="N668" s="1">
        <f t="shared" si="16"/>
        <v>50.49755555555555</v>
      </c>
      <c r="O668" s="1"/>
      <c r="P668" s="1"/>
      <c r="Q668" s="1"/>
      <c r="R668" s="1"/>
      <c r="S668" s="1"/>
    </row>
    <row r="669" spans="1:19" hidden="1" x14ac:dyDescent="0.4">
      <c r="A669" t="s">
        <v>1811</v>
      </c>
      <c r="B669" t="s">
        <v>729</v>
      </c>
      <c r="C669" s="131">
        <v>44074</v>
      </c>
      <c r="D669" t="s">
        <v>1812</v>
      </c>
      <c r="F669" t="s">
        <v>645</v>
      </c>
      <c r="H669">
        <v>45</v>
      </c>
      <c r="J669" s="1">
        <v>4333.6400000000003</v>
      </c>
      <c r="K669" s="1"/>
      <c r="L669" s="1">
        <v>4333.6400000000003</v>
      </c>
      <c r="M669" s="1">
        <v>379.19</v>
      </c>
      <c r="N669" s="1">
        <f t="shared" si="16"/>
        <v>96.303111111111122</v>
      </c>
      <c r="O669" s="1"/>
      <c r="P669" s="1"/>
      <c r="Q669" s="1"/>
      <c r="R669" s="1"/>
      <c r="S669" s="1"/>
    </row>
    <row r="670" spans="1:19" hidden="1" x14ac:dyDescent="0.4">
      <c r="A670" t="s">
        <v>1813</v>
      </c>
      <c r="B670" t="s">
        <v>729</v>
      </c>
      <c r="C670" s="131">
        <v>44104</v>
      </c>
      <c r="D670" t="s">
        <v>1814</v>
      </c>
      <c r="F670" t="s">
        <v>645</v>
      </c>
      <c r="H670">
        <v>45</v>
      </c>
      <c r="J670" s="1">
        <v>4066.27</v>
      </c>
      <c r="K670" s="1"/>
      <c r="L670" s="1">
        <v>4066.27</v>
      </c>
      <c r="M670" s="1">
        <v>355.81</v>
      </c>
      <c r="N670" s="1">
        <f t="shared" si="16"/>
        <v>90.361555555555555</v>
      </c>
      <c r="O670" s="1"/>
      <c r="P670" s="1"/>
      <c r="Q670" s="1"/>
      <c r="R670" s="1"/>
      <c r="S670" s="1"/>
    </row>
    <row r="671" spans="1:19" hidden="1" x14ac:dyDescent="0.4">
      <c r="A671" t="s">
        <v>1815</v>
      </c>
      <c r="B671" t="s">
        <v>729</v>
      </c>
      <c r="C671" s="131">
        <v>44135</v>
      </c>
      <c r="D671" t="s">
        <v>1816</v>
      </c>
      <c r="F671" t="s">
        <v>645</v>
      </c>
      <c r="H671">
        <v>45</v>
      </c>
      <c r="J671" s="1">
        <v>2034.86</v>
      </c>
      <c r="K671" s="1"/>
      <c r="L671" s="1">
        <v>2034.86</v>
      </c>
      <c r="M671" s="1">
        <v>178.05</v>
      </c>
      <c r="N671" s="1">
        <f t="shared" si="16"/>
        <v>45.219111111111111</v>
      </c>
      <c r="O671" s="1"/>
      <c r="P671" s="1"/>
      <c r="Q671" s="1"/>
      <c r="R671" s="1"/>
      <c r="S671" s="1"/>
    </row>
    <row r="672" spans="1:19" hidden="1" x14ac:dyDescent="0.4">
      <c r="A672" t="s">
        <v>1817</v>
      </c>
      <c r="B672" t="s">
        <v>729</v>
      </c>
      <c r="C672" s="131">
        <v>44165</v>
      </c>
      <c r="D672" t="s">
        <v>1818</v>
      </c>
      <c r="F672" t="s">
        <v>645</v>
      </c>
      <c r="H672">
        <v>45</v>
      </c>
      <c r="J672" s="1">
        <v>2189.36</v>
      </c>
      <c r="K672" s="1"/>
      <c r="L672" s="1">
        <v>2189.36</v>
      </c>
      <c r="M672" s="1">
        <v>191.56</v>
      </c>
      <c r="N672" s="1">
        <f t="shared" si="16"/>
        <v>48.652444444444448</v>
      </c>
      <c r="O672" s="1"/>
      <c r="P672" s="1"/>
      <c r="Q672" s="1"/>
      <c r="R672" s="1"/>
      <c r="S672" s="1"/>
    </row>
    <row r="673" spans="1:19" hidden="1" x14ac:dyDescent="0.4">
      <c r="A673" t="s">
        <v>1819</v>
      </c>
      <c r="B673" t="s">
        <v>729</v>
      </c>
      <c r="C673" s="131">
        <v>44196</v>
      </c>
      <c r="D673" t="s">
        <v>1820</v>
      </c>
      <c r="F673" t="s">
        <v>645</v>
      </c>
      <c r="H673">
        <v>45</v>
      </c>
      <c r="J673" s="1">
        <v>2247.6799999999998</v>
      </c>
      <c r="K673" s="1"/>
      <c r="L673" s="1">
        <v>2247.6799999999998</v>
      </c>
      <c r="M673" s="1">
        <v>196.67</v>
      </c>
      <c r="N673" s="1">
        <f t="shared" si="16"/>
        <v>49.948444444444441</v>
      </c>
      <c r="O673" s="1"/>
      <c r="P673" s="1"/>
      <c r="Q673" s="1"/>
      <c r="R673" s="1"/>
      <c r="S673" s="1"/>
    </row>
    <row r="674" spans="1:19" hidden="1" x14ac:dyDescent="0.4">
      <c r="A674" t="s">
        <v>732</v>
      </c>
      <c r="B674" t="s">
        <v>729</v>
      </c>
      <c r="C674" s="131">
        <v>44095</v>
      </c>
      <c r="D674" t="s">
        <v>730</v>
      </c>
      <c r="F674" t="s">
        <v>645</v>
      </c>
      <c r="H674">
        <v>15</v>
      </c>
      <c r="J674" s="1">
        <v>946962.34</v>
      </c>
      <c r="K674" s="1"/>
      <c r="L674" s="1">
        <v>946962.34</v>
      </c>
      <c r="M674" s="1">
        <v>82859.210000000006</v>
      </c>
      <c r="N674" s="1">
        <f t="shared" si="16"/>
        <v>63130.822666666667</v>
      </c>
      <c r="O674" s="1"/>
      <c r="P674" s="1"/>
      <c r="Q674" s="1"/>
      <c r="R674" s="1"/>
      <c r="S674" s="1"/>
    </row>
    <row r="675" spans="1:19" hidden="1" x14ac:dyDescent="0.4">
      <c r="A675" t="s">
        <v>1821</v>
      </c>
      <c r="B675" t="s">
        <v>729</v>
      </c>
      <c r="C675" s="131">
        <v>44013</v>
      </c>
      <c r="D675" t="s">
        <v>1678</v>
      </c>
      <c r="F675" t="s">
        <v>645</v>
      </c>
      <c r="H675">
        <v>45</v>
      </c>
      <c r="J675" s="1">
        <v>100865.01</v>
      </c>
      <c r="K675" s="1"/>
      <c r="L675" s="1">
        <v>100865.01</v>
      </c>
      <c r="M675" s="1">
        <v>8825.7000000000007</v>
      </c>
      <c r="N675" s="1">
        <f t="shared" si="16"/>
        <v>2241.4446666666668</v>
      </c>
      <c r="O675" s="1"/>
      <c r="P675" s="1"/>
      <c r="Q675" s="1"/>
      <c r="R675" s="1"/>
      <c r="S675" s="1"/>
    </row>
    <row r="676" spans="1:19" hidden="1" x14ac:dyDescent="0.4">
      <c r="A676" t="s">
        <v>1822</v>
      </c>
      <c r="B676" t="s">
        <v>729</v>
      </c>
      <c r="C676" s="131">
        <v>43922</v>
      </c>
      <c r="D676" t="s">
        <v>1823</v>
      </c>
      <c r="F676" t="s">
        <v>645</v>
      </c>
      <c r="H676">
        <v>45</v>
      </c>
      <c r="J676" s="1">
        <v>13858.83</v>
      </c>
      <c r="K676" s="1"/>
      <c r="L676" s="1">
        <v>13858.83</v>
      </c>
      <c r="M676" s="1">
        <v>1212.6500000000001</v>
      </c>
      <c r="N676" s="1">
        <f t="shared" si="16"/>
        <v>307.97399999999999</v>
      </c>
      <c r="O676" s="1"/>
      <c r="P676" s="1"/>
      <c r="Q676" s="1"/>
      <c r="R676" s="1"/>
      <c r="S676" s="1"/>
    </row>
    <row r="677" spans="1:19" hidden="1" x14ac:dyDescent="0.4">
      <c r="A677" t="s">
        <v>1824</v>
      </c>
      <c r="B677" t="s">
        <v>729</v>
      </c>
      <c r="C677" s="131">
        <v>44227</v>
      </c>
      <c r="D677" t="s">
        <v>1825</v>
      </c>
      <c r="F677" t="s">
        <v>645</v>
      </c>
      <c r="H677">
        <v>45</v>
      </c>
      <c r="J677" s="1">
        <v>2993.75</v>
      </c>
      <c r="K677" s="1"/>
      <c r="L677" s="1">
        <v>2993.75</v>
      </c>
      <c r="M677" s="1">
        <v>187.1</v>
      </c>
      <c r="N677" s="1">
        <f t="shared" si="16"/>
        <v>66.527777777777771</v>
      </c>
      <c r="O677" s="1"/>
      <c r="P677" s="1"/>
      <c r="Q677" s="1"/>
      <c r="R677" s="1"/>
      <c r="S677" s="1"/>
    </row>
    <row r="678" spans="1:19" hidden="1" x14ac:dyDescent="0.4">
      <c r="A678" t="s">
        <v>1826</v>
      </c>
      <c r="B678" t="s">
        <v>729</v>
      </c>
      <c r="C678" s="131">
        <v>44255</v>
      </c>
      <c r="D678" t="s">
        <v>1682</v>
      </c>
      <c r="F678" t="s">
        <v>645</v>
      </c>
      <c r="H678">
        <v>45</v>
      </c>
      <c r="J678" s="1">
        <v>1108.33</v>
      </c>
      <c r="K678" s="1"/>
      <c r="L678" s="1">
        <v>1108.33</v>
      </c>
      <c r="M678" s="1">
        <v>69.27</v>
      </c>
      <c r="N678" s="1">
        <f t="shared" si="16"/>
        <v>24.629555555555555</v>
      </c>
      <c r="O678" s="1"/>
      <c r="P678" s="1"/>
      <c r="Q678" s="1"/>
      <c r="R678" s="1"/>
      <c r="S678" s="1"/>
    </row>
    <row r="679" spans="1:19" hidden="1" x14ac:dyDescent="0.4">
      <c r="A679" t="s">
        <v>1827</v>
      </c>
      <c r="B679" t="s">
        <v>729</v>
      </c>
      <c r="C679" s="131">
        <v>44286</v>
      </c>
      <c r="D679" t="s">
        <v>1684</v>
      </c>
      <c r="F679" t="s">
        <v>645</v>
      </c>
      <c r="H679">
        <v>45</v>
      </c>
      <c r="J679" s="1">
        <v>2379.64</v>
      </c>
      <c r="K679" s="1"/>
      <c r="L679" s="1">
        <v>2379.64</v>
      </c>
      <c r="M679" s="1">
        <v>148.72999999999999</v>
      </c>
      <c r="N679" s="1">
        <f t="shared" si="16"/>
        <v>52.880888888888883</v>
      </c>
      <c r="O679" s="1"/>
      <c r="P679" s="1"/>
      <c r="Q679" s="1"/>
      <c r="R679" s="1"/>
      <c r="S679" s="1"/>
    </row>
    <row r="680" spans="1:19" hidden="1" x14ac:dyDescent="0.4">
      <c r="A680" t="s">
        <v>1828</v>
      </c>
      <c r="B680" t="s">
        <v>729</v>
      </c>
      <c r="C680" s="131">
        <v>44316</v>
      </c>
      <c r="D680" t="s">
        <v>1806</v>
      </c>
      <c r="F680" t="s">
        <v>645</v>
      </c>
      <c r="H680">
        <v>45</v>
      </c>
      <c r="J680" s="1">
        <v>4248.01</v>
      </c>
      <c r="K680" s="1"/>
      <c r="L680" s="1">
        <v>4248.01</v>
      </c>
      <c r="M680" s="1">
        <v>265.5</v>
      </c>
      <c r="N680" s="1">
        <f t="shared" si="16"/>
        <v>94.400222222222226</v>
      </c>
      <c r="O680" s="1"/>
      <c r="P680" s="1"/>
      <c r="Q680" s="1"/>
      <c r="R680" s="1"/>
      <c r="S680" s="1"/>
    </row>
    <row r="681" spans="1:19" hidden="1" x14ac:dyDescent="0.4">
      <c r="A681" t="s">
        <v>1829</v>
      </c>
      <c r="B681" t="s">
        <v>729</v>
      </c>
      <c r="C681" s="131">
        <v>44347</v>
      </c>
      <c r="D681" t="s">
        <v>1688</v>
      </c>
      <c r="F681" t="s">
        <v>645</v>
      </c>
      <c r="H681">
        <v>45</v>
      </c>
      <c r="J681" s="1">
        <v>1867.94</v>
      </c>
      <c r="K681" s="1"/>
      <c r="L681" s="1">
        <v>1867.94</v>
      </c>
      <c r="M681" s="1">
        <v>116.75</v>
      </c>
      <c r="N681" s="1">
        <f t="shared" si="16"/>
        <v>41.509777777777778</v>
      </c>
      <c r="O681" s="1"/>
      <c r="P681" s="1"/>
      <c r="Q681" s="1"/>
      <c r="R681" s="1"/>
      <c r="S681" s="1"/>
    </row>
    <row r="682" spans="1:19" hidden="1" x14ac:dyDescent="0.4">
      <c r="A682" t="s">
        <v>1830</v>
      </c>
      <c r="B682" t="s">
        <v>729</v>
      </c>
      <c r="C682" s="131">
        <v>44377</v>
      </c>
      <c r="D682" t="s">
        <v>1690</v>
      </c>
      <c r="F682" t="s">
        <v>645</v>
      </c>
      <c r="H682">
        <v>45</v>
      </c>
      <c r="J682" s="1">
        <v>2437.2800000000002</v>
      </c>
      <c r="K682" s="1"/>
      <c r="L682" s="1">
        <v>2437.2800000000002</v>
      </c>
      <c r="M682" s="1">
        <v>152.33000000000001</v>
      </c>
      <c r="N682" s="1">
        <f t="shared" si="16"/>
        <v>54.161777777777779</v>
      </c>
      <c r="O682" s="1"/>
      <c r="P682" s="1"/>
      <c r="Q682" s="1"/>
      <c r="R682" s="1"/>
      <c r="S682" s="1"/>
    </row>
    <row r="683" spans="1:19" hidden="1" x14ac:dyDescent="0.4">
      <c r="A683" t="s">
        <v>1831</v>
      </c>
      <c r="B683" t="s">
        <v>729</v>
      </c>
      <c r="C683" s="131">
        <v>44408</v>
      </c>
      <c r="D683" t="s">
        <v>1692</v>
      </c>
      <c r="F683" t="s">
        <v>645</v>
      </c>
      <c r="H683">
        <v>45</v>
      </c>
      <c r="J683" s="1">
        <v>2181.61</v>
      </c>
      <c r="K683" s="1"/>
      <c r="L683" s="1">
        <v>2181.61</v>
      </c>
      <c r="M683" s="1">
        <v>136.35</v>
      </c>
      <c r="N683" s="1">
        <f t="shared" si="16"/>
        <v>48.480222222222224</v>
      </c>
      <c r="O683" s="1"/>
      <c r="P683" s="1"/>
      <c r="Q683" s="1"/>
      <c r="R683" s="1"/>
      <c r="S683" s="1"/>
    </row>
    <row r="684" spans="1:19" hidden="1" x14ac:dyDescent="0.4">
      <c r="A684" t="s">
        <v>1832</v>
      </c>
      <c r="B684" t="s">
        <v>729</v>
      </c>
      <c r="C684" s="131">
        <v>44439</v>
      </c>
      <c r="D684" t="s">
        <v>1833</v>
      </c>
      <c r="F684" t="s">
        <v>645</v>
      </c>
      <c r="H684">
        <v>45</v>
      </c>
      <c r="J684" s="1">
        <v>1388.59</v>
      </c>
      <c r="K684" s="1"/>
      <c r="L684" s="1">
        <v>1388.59</v>
      </c>
      <c r="M684" s="1">
        <v>86.78</v>
      </c>
      <c r="N684" s="1">
        <f t="shared" si="16"/>
        <v>30.857555555555553</v>
      </c>
      <c r="O684" s="1"/>
      <c r="P684" s="1"/>
      <c r="Q684" s="1"/>
      <c r="R684" s="1"/>
      <c r="S684" s="1"/>
    </row>
    <row r="685" spans="1:19" hidden="1" x14ac:dyDescent="0.4">
      <c r="A685" t="s">
        <v>1834</v>
      </c>
      <c r="B685" t="s">
        <v>729</v>
      </c>
      <c r="C685" s="131">
        <v>44469</v>
      </c>
      <c r="D685" t="s">
        <v>1696</v>
      </c>
      <c r="F685" t="s">
        <v>645</v>
      </c>
      <c r="H685">
        <v>45</v>
      </c>
      <c r="J685" s="1">
        <v>2066.0100000000002</v>
      </c>
      <c r="K685" s="1"/>
      <c r="L685" s="1">
        <v>2066.0100000000002</v>
      </c>
      <c r="M685" s="1">
        <v>129.13</v>
      </c>
      <c r="N685" s="1">
        <f t="shared" si="16"/>
        <v>45.911333333333339</v>
      </c>
      <c r="O685" s="1"/>
      <c r="P685" s="1"/>
      <c r="Q685" s="1"/>
      <c r="R685" s="1"/>
      <c r="S685" s="1"/>
    </row>
    <row r="686" spans="1:19" hidden="1" x14ac:dyDescent="0.4">
      <c r="A686" t="s">
        <v>1835</v>
      </c>
      <c r="B686" t="s">
        <v>729</v>
      </c>
      <c r="C686" s="131">
        <v>44500</v>
      </c>
      <c r="D686" t="s">
        <v>1698</v>
      </c>
      <c r="F686" t="s">
        <v>645</v>
      </c>
      <c r="H686">
        <v>45</v>
      </c>
      <c r="J686" s="1">
        <v>2172.96</v>
      </c>
      <c r="K686" s="1"/>
      <c r="L686" s="1">
        <v>2172.96</v>
      </c>
      <c r="M686" s="1">
        <v>135.80000000000001</v>
      </c>
      <c r="N686" s="1">
        <f t="shared" si="16"/>
        <v>48.288000000000004</v>
      </c>
      <c r="O686" s="1"/>
      <c r="P686" s="1"/>
      <c r="Q686" s="1"/>
      <c r="R686" s="1"/>
      <c r="S686" s="1"/>
    </row>
    <row r="687" spans="1:19" hidden="1" x14ac:dyDescent="0.4">
      <c r="A687" t="s">
        <v>1836</v>
      </c>
      <c r="B687" t="s">
        <v>729</v>
      </c>
      <c r="C687" s="131">
        <v>44530</v>
      </c>
      <c r="D687" t="s">
        <v>1700</v>
      </c>
      <c r="F687" t="s">
        <v>645</v>
      </c>
      <c r="H687">
        <v>45</v>
      </c>
      <c r="J687" s="1">
        <v>1804.38</v>
      </c>
      <c r="K687" s="1"/>
      <c r="L687" s="1">
        <v>1804.38</v>
      </c>
      <c r="M687" s="1">
        <v>112.77</v>
      </c>
      <c r="N687" s="1">
        <f t="shared" si="16"/>
        <v>40.097333333333339</v>
      </c>
      <c r="O687" s="1"/>
      <c r="P687" s="1"/>
      <c r="Q687" s="1"/>
      <c r="R687" s="1"/>
      <c r="S687" s="1"/>
    </row>
    <row r="688" spans="1:19" hidden="1" x14ac:dyDescent="0.4">
      <c r="A688" t="s">
        <v>1837</v>
      </c>
      <c r="B688" t="s">
        <v>729</v>
      </c>
      <c r="C688" s="131">
        <v>44561</v>
      </c>
      <c r="D688" t="s">
        <v>1702</v>
      </c>
      <c r="F688" t="s">
        <v>645</v>
      </c>
      <c r="H688">
        <v>45</v>
      </c>
      <c r="J688" s="1">
        <v>2655.17</v>
      </c>
      <c r="K688" s="1"/>
      <c r="L688" s="1">
        <v>2655.17</v>
      </c>
      <c r="M688" s="1">
        <v>165.95</v>
      </c>
      <c r="N688" s="1">
        <f t="shared" si="16"/>
        <v>59.003777777777778</v>
      </c>
      <c r="O688" s="1"/>
      <c r="P688" s="1"/>
      <c r="Q688" s="1"/>
      <c r="R688" s="1"/>
      <c r="S688" s="1"/>
    </row>
    <row r="689" spans="1:19" hidden="1" x14ac:dyDescent="0.4">
      <c r="A689" t="s">
        <v>1838</v>
      </c>
      <c r="B689" t="s">
        <v>729</v>
      </c>
      <c r="C689" s="131">
        <v>44329</v>
      </c>
      <c r="D689" t="s">
        <v>1734</v>
      </c>
      <c r="F689" t="s">
        <v>645</v>
      </c>
      <c r="H689">
        <v>15</v>
      </c>
      <c r="J689" s="1">
        <v>10892</v>
      </c>
      <c r="K689" s="1"/>
      <c r="L689" s="1">
        <v>10892</v>
      </c>
      <c r="M689" s="1">
        <v>680.75</v>
      </c>
      <c r="N689" s="1">
        <f t="shared" si="16"/>
        <v>726.13333333333333</v>
      </c>
      <c r="O689" s="1"/>
      <c r="P689" s="1"/>
      <c r="Q689" s="1"/>
      <c r="R689" s="1"/>
      <c r="S689" s="1"/>
    </row>
    <row r="690" spans="1:19" hidden="1" x14ac:dyDescent="0.4">
      <c r="A690" t="s">
        <v>1839</v>
      </c>
      <c r="B690" t="s">
        <v>729</v>
      </c>
      <c r="C690" s="131">
        <v>44455</v>
      </c>
      <c r="D690" t="s">
        <v>1734</v>
      </c>
      <c r="F690" t="s">
        <v>645</v>
      </c>
      <c r="H690">
        <v>15</v>
      </c>
      <c r="J690" s="1">
        <v>6884.97</v>
      </c>
      <c r="K690" s="1"/>
      <c r="L690" s="1">
        <v>6884.97</v>
      </c>
      <c r="M690" s="1">
        <v>430.3</v>
      </c>
      <c r="N690" s="1">
        <f t="shared" si="16"/>
        <v>458.99799999999999</v>
      </c>
      <c r="O690" s="1"/>
      <c r="P690" s="1"/>
      <c r="Q690" s="1"/>
      <c r="R690" s="1"/>
      <c r="S690" s="1"/>
    </row>
    <row r="691" spans="1:19" hidden="1" x14ac:dyDescent="0.4">
      <c r="A691" t="s">
        <v>1840</v>
      </c>
      <c r="B691" t="s">
        <v>729</v>
      </c>
      <c r="C691" s="131">
        <v>44293</v>
      </c>
      <c r="D691" t="s">
        <v>1841</v>
      </c>
      <c r="F691" t="s">
        <v>645</v>
      </c>
      <c r="H691">
        <v>15</v>
      </c>
      <c r="J691" s="1">
        <v>13958.09</v>
      </c>
      <c r="K691" s="1"/>
      <c r="L691" s="1">
        <v>13958.09</v>
      </c>
      <c r="M691" s="1">
        <v>872.38</v>
      </c>
      <c r="N691" s="1">
        <f t="shared" si="16"/>
        <v>930.53933333333339</v>
      </c>
      <c r="O691" s="1"/>
      <c r="P691" s="1"/>
      <c r="Q691" s="1"/>
      <c r="R691" s="1"/>
      <c r="S691" s="1"/>
    </row>
    <row r="692" spans="1:19" hidden="1" x14ac:dyDescent="0.4">
      <c r="A692" t="s">
        <v>1842</v>
      </c>
      <c r="B692" t="s">
        <v>729</v>
      </c>
      <c r="C692" s="131">
        <v>44378</v>
      </c>
      <c r="D692" t="s">
        <v>1843</v>
      </c>
      <c r="F692" t="s">
        <v>645</v>
      </c>
      <c r="H692">
        <v>45</v>
      </c>
      <c r="J692" s="1">
        <v>107295</v>
      </c>
      <c r="K692" s="1"/>
      <c r="L692" s="1">
        <v>107295</v>
      </c>
      <c r="M692" s="1">
        <v>6705.95</v>
      </c>
      <c r="N692" s="1">
        <f t="shared" si="16"/>
        <v>2384.3333333333335</v>
      </c>
      <c r="O692" s="1"/>
      <c r="P692" s="1"/>
      <c r="Q692" s="1"/>
      <c r="R692" s="1"/>
      <c r="S692" s="1"/>
    </row>
    <row r="693" spans="1:19" hidden="1" x14ac:dyDescent="0.4">
      <c r="A693" t="s">
        <v>1844</v>
      </c>
      <c r="B693" t="s">
        <v>729</v>
      </c>
      <c r="C693" s="131">
        <v>44448</v>
      </c>
      <c r="D693" t="s">
        <v>1845</v>
      </c>
      <c r="F693" t="s">
        <v>645</v>
      </c>
      <c r="H693">
        <v>15</v>
      </c>
      <c r="J693" s="1">
        <v>58421.73</v>
      </c>
      <c r="K693" s="1"/>
      <c r="L693" s="1">
        <v>58421.73</v>
      </c>
      <c r="M693" s="1">
        <v>3651.35</v>
      </c>
      <c r="N693" s="1">
        <f t="shared" si="16"/>
        <v>3894.7820000000002</v>
      </c>
      <c r="O693" s="1"/>
      <c r="P693" s="1"/>
      <c r="Q693" s="1"/>
      <c r="R693" s="1"/>
      <c r="S693" s="1"/>
    </row>
    <row r="694" spans="1:19" hidden="1" x14ac:dyDescent="0.4">
      <c r="A694" t="s">
        <v>1846</v>
      </c>
      <c r="B694" t="s">
        <v>729</v>
      </c>
      <c r="C694" s="131">
        <v>44592</v>
      </c>
      <c r="D694" t="s">
        <v>1847</v>
      </c>
      <c r="F694" t="s">
        <v>645</v>
      </c>
      <c r="H694">
        <v>45</v>
      </c>
      <c r="J694" s="1">
        <v>288.49</v>
      </c>
      <c r="K694" s="1"/>
      <c r="L694" s="1">
        <v>288.49</v>
      </c>
      <c r="M694" s="1">
        <v>10.82</v>
      </c>
      <c r="N694" s="1">
        <f t="shared" si="16"/>
        <v>6.4108888888888895</v>
      </c>
      <c r="O694" s="1"/>
      <c r="P694" s="1"/>
      <c r="Q694" s="1"/>
      <c r="R694" s="1"/>
      <c r="S694" s="1"/>
    </row>
    <row r="695" spans="1:19" hidden="1" x14ac:dyDescent="0.4">
      <c r="A695" t="s">
        <v>1848</v>
      </c>
      <c r="B695" t="s">
        <v>729</v>
      </c>
      <c r="C695" s="131">
        <v>44620</v>
      </c>
      <c r="D695" t="s">
        <v>1849</v>
      </c>
      <c r="F695" t="s">
        <v>645</v>
      </c>
      <c r="H695">
        <v>45</v>
      </c>
      <c r="J695" s="1">
        <v>2120.67</v>
      </c>
      <c r="K695" s="1"/>
      <c r="L695" s="1">
        <v>2120.67</v>
      </c>
      <c r="M695" s="1">
        <v>79.53</v>
      </c>
      <c r="N695" s="1">
        <f t="shared" si="16"/>
        <v>47.126000000000005</v>
      </c>
      <c r="O695" s="1"/>
      <c r="P695" s="1"/>
      <c r="Q695" s="1"/>
      <c r="R695" s="1"/>
      <c r="S695" s="1"/>
    </row>
    <row r="696" spans="1:19" hidden="1" x14ac:dyDescent="0.4">
      <c r="A696" t="s">
        <v>1850</v>
      </c>
      <c r="B696" t="s">
        <v>729</v>
      </c>
      <c r="C696" s="131">
        <v>44651</v>
      </c>
      <c r="D696" t="s">
        <v>1851</v>
      </c>
      <c r="F696" t="s">
        <v>645</v>
      </c>
      <c r="H696">
        <v>45</v>
      </c>
      <c r="J696" s="1">
        <v>3221.22</v>
      </c>
      <c r="K696" s="1"/>
      <c r="L696" s="1">
        <v>3221.22</v>
      </c>
      <c r="M696" s="1">
        <v>120.8</v>
      </c>
      <c r="N696" s="1">
        <f t="shared" si="16"/>
        <v>71.582666666666668</v>
      </c>
      <c r="O696" s="1"/>
      <c r="P696" s="1"/>
      <c r="Q696" s="1"/>
      <c r="R696" s="1"/>
      <c r="S696" s="1"/>
    </row>
    <row r="697" spans="1:19" hidden="1" x14ac:dyDescent="0.4">
      <c r="A697" t="s">
        <v>1852</v>
      </c>
      <c r="B697" t="s">
        <v>729</v>
      </c>
      <c r="C697" s="131">
        <v>44681</v>
      </c>
      <c r="D697" t="s">
        <v>1853</v>
      </c>
      <c r="F697" t="s">
        <v>645</v>
      </c>
      <c r="H697">
        <v>45</v>
      </c>
      <c r="J697" s="1">
        <v>4074.55</v>
      </c>
      <c r="K697" s="1"/>
      <c r="L697" s="1">
        <v>4074.55</v>
      </c>
      <c r="M697" s="1">
        <v>152.79</v>
      </c>
      <c r="N697" s="1">
        <f t="shared" si="16"/>
        <v>90.545555555555566</v>
      </c>
      <c r="O697" s="1"/>
      <c r="P697" s="1"/>
      <c r="Q697" s="1"/>
      <c r="R697" s="1"/>
      <c r="S697" s="1"/>
    </row>
    <row r="698" spans="1:19" hidden="1" x14ac:dyDescent="0.4">
      <c r="A698" t="s">
        <v>1854</v>
      </c>
      <c r="B698" t="s">
        <v>729</v>
      </c>
      <c r="C698" s="131">
        <v>44712</v>
      </c>
      <c r="D698" t="s">
        <v>1855</v>
      </c>
      <c r="F698" t="s">
        <v>645</v>
      </c>
      <c r="H698">
        <v>45</v>
      </c>
      <c r="J698" s="1">
        <v>2995.67</v>
      </c>
      <c r="K698" s="1"/>
      <c r="L698" s="1">
        <v>2995.67</v>
      </c>
      <c r="M698" s="1">
        <v>112.34</v>
      </c>
      <c r="N698" s="1">
        <f t="shared" si="16"/>
        <v>66.570444444444448</v>
      </c>
      <c r="O698" s="1"/>
      <c r="P698" s="1"/>
      <c r="Q698" s="1"/>
      <c r="R698" s="1"/>
      <c r="S698" s="1"/>
    </row>
    <row r="699" spans="1:19" hidden="1" x14ac:dyDescent="0.4">
      <c r="A699" t="s">
        <v>1856</v>
      </c>
      <c r="B699" t="s">
        <v>729</v>
      </c>
      <c r="C699" s="131">
        <v>44742</v>
      </c>
      <c r="D699" t="s">
        <v>1857</v>
      </c>
      <c r="F699" t="s">
        <v>645</v>
      </c>
      <c r="H699">
        <v>45</v>
      </c>
      <c r="J699" s="1">
        <v>5665.35</v>
      </c>
      <c r="K699" s="1"/>
      <c r="L699" s="1">
        <v>5665.35</v>
      </c>
      <c r="M699" s="1">
        <v>212.45</v>
      </c>
      <c r="N699" s="1">
        <f t="shared" si="16"/>
        <v>125.89666666666668</v>
      </c>
      <c r="O699" s="1"/>
      <c r="P699" s="1"/>
      <c r="Q699" s="1"/>
      <c r="R699" s="1"/>
      <c r="S699" s="1"/>
    </row>
    <row r="700" spans="1:19" hidden="1" x14ac:dyDescent="0.4">
      <c r="A700" t="s">
        <v>1858</v>
      </c>
      <c r="B700" t="s">
        <v>729</v>
      </c>
      <c r="C700" s="131">
        <v>44804</v>
      </c>
      <c r="D700" t="s">
        <v>1859</v>
      </c>
      <c r="F700" t="s">
        <v>645</v>
      </c>
      <c r="H700">
        <v>45</v>
      </c>
      <c r="J700" s="1">
        <v>2597.39</v>
      </c>
      <c r="K700" s="1"/>
      <c r="L700" s="1">
        <v>2597.39</v>
      </c>
      <c r="M700" s="1">
        <v>97.4</v>
      </c>
      <c r="N700" s="1">
        <f t="shared" si="16"/>
        <v>57.719777777777772</v>
      </c>
      <c r="O700" s="1"/>
      <c r="P700" s="1"/>
      <c r="Q700" s="1"/>
      <c r="R700" s="1"/>
      <c r="S700" s="1"/>
    </row>
    <row r="701" spans="1:19" hidden="1" x14ac:dyDescent="0.4">
      <c r="A701" t="s">
        <v>1860</v>
      </c>
      <c r="B701" t="s">
        <v>729</v>
      </c>
      <c r="C701" s="131">
        <v>44834</v>
      </c>
      <c r="D701" t="s">
        <v>1861</v>
      </c>
      <c r="F701" t="s">
        <v>645</v>
      </c>
      <c r="H701">
        <v>45</v>
      </c>
      <c r="J701" s="1">
        <v>2864.42</v>
      </c>
      <c r="K701" s="1"/>
      <c r="L701" s="1">
        <v>2864.42</v>
      </c>
      <c r="M701" s="1">
        <v>107.42</v>
      </c>
      <c r="N701" s="1">
        <f t="shared" si="16"/>
        <v>63.653777777777776</v>
      </c>
      <c r="O701" s="1"/>
      <c r="P701" s="1"/>
      <c r="Q701" s="1"/>
      <c r="R701" s="1"/>
      <c r="S701" s="1"/>
    </row>
    <row r="702" spans="1:19" hidden="1" x14ac:dyDescent="0.4">
      <c r="A702" t="s">
        <v>1862</v>
      </c>
      <c r="B702" t="s">
        <v>729</v>
      </c>
      <c r="C702" s="131">
        <v>44865</v>
      </c>
      <c r="D702" t="s">
        <v>1863</v>
      </c>
      <c r="F702" t="s">
        <v>645</v>
      </c>
      <c r="H702">
        <v>45</v>
      </c>
      <c r="J702" s="1">
        <v>3070.32</v>
      </c>
      <c r="K702" s="1"/>
      <c r="L702" s="1">
        <v>3070.32</v>
      </c>
      <c r="M702" s="1">
        <v>115.14</v>
      </c>
      <c r="N702" s="1">
        <f t="shared" si="16"/>
        <v>68.229333333333344</v>
      </c>
      <c r="O702" s="1"/>
      <c r="P702" s="1"/>
      <c r="Q702" s="1"/>
      <c r="R702" s="1"/>
      <c r="S702" s="1"/>
    </row>
    <row r="703" spans="1:19" hidden="1" x14ac:dyDescent="0.4">
      <c r="A703" t="s">
        <v>1864</v>
      </c>
      <c r="B703" t="s">
        <v>729</v>
      </c>
      <c r="C703" s="131">
        <v>44895</v>
      </c>
      <c r="D703" t="s">
        <v>1865</v>
      </c>
      <c r="F703" t="s">
        <v>645</v>
      </c>
      <c r="H703">
        <v>45</v>
      </c>
      <c r="J703" s="1">
        <v>2662.46</v>
      </c>
      <c r="K703" s="1"/>
      <c r="L703" s="1">
        <v>2662.46</v>
      </c>
      <c r="M703" s="1">
        <v>99.84</v>
      </c>
      <c r="N703" s="1">
        <f t="shared" si="16"/>
        <v>59.165777777777777</v>
      </c>
      <c r="O703" s="1"/>
      <c r="P703" s="1"/>
      <c r="Q703" s="1"/>
      <c r="R703" s="1"/>
      <c r="S703" s="1"/>
    </row>
    <row r="704" spans="1:19" hidden="1" x14ac:dyDescent="0.4">
      <c r="A704" t="s">
        <v>1866</v>
      </c>
      <c r="B704" t="s">
        <v>729</v>
      </c>
      <c r="C704" s="131">
        <v>44926</v>
      </c>
      <c r="D704" t="s">
        <v>1867</v>
      </c>
      <c r="F704" t="s">
        <v>645</v>
      </c>
      <c r="H704">
        <v>45</v>
      </c>
      <c r="J704" s="1">
        <v>1504.44</v>
      </c>
      <c r="K704" s="1"/>
      <c r="L704" s="1">
        <v>1504.44</v>
      </c>
      <c r="M704" s="1">
        <v>56.42</v>
      </c>
      <c r="N704" s="1">
        <f t="shared" si="16"/>
        <v>33.432000000000002</v>
      </c>
      <c r="O704" s="1"/>
      <c r="P704" s="1"/>
      <c r="Q704" s="1"/>
      <c r="R704" s="1"/>
      <c r="S704" s="1"/>
    </row>
    <row r="705" spans="1:19" hidden="1" x14ac:dyDescent="0.4">
      <c r="A705" t="s">
        <v>1868</v>
      </c>
      <c r="B705" t="s">
        <v>729</v>
      </c>
      <c r="C705" s="131">
        <v>44957</v>
      </c>
      <c r="D705" t="s">
        <v>1847</v>
      </c>
      <c r="F705" t="s">
        <v>645</v>
      </c>
      <c r="H705">
        <v>45</v>
      </c>
      <c r="J705" s="1">
        <v>1982.72</v>
      </c>
      <c r="K705" s="1"/>
      <c r="L705" s="1">
        <v>1982.72</v>
      </c>
      <c r="M705" s="1">
        <v>24.78</v>
      </c>
      <c r="N705" s="1">
        <f t="shared" si="16"/>
        <v>44.060444444444443</v>
      </c>
      <c r="O705" s="1"/>
      <c r="P705" s="1"/>
      <c r="Q705" s="1"/>
      <c r="R705" s="1"/>
      <c r="S705" s="1"/>
    </row>
    <row r="706" spans="1:19" hidden="1" x14ac:dyDescent="0.4">
      <c r="A706" t="s">
        <v>1869</v>
      </c>
      <c r="B706" t="s">
        <v>729</v>
      </c>
      <c r="C706" s="131">
        <v>44985</v>
      </c>
      <c r="D706" t="s">
        <v>1849</v>
      </c>
      <c r="F706" t="s">
        <v>645</v>
      </c>
      <c r="H706">
        <v>45</v>
      </c>
      <c r="J706" s="1">
        <v>2052.41</v>
      </c>
      <c r="K706" s="1"/>
      <c r="L706" s="1">
        <v>2052.41</v>
      </c>
      <c r="M706" s="1">
        <v>25.66</v>
      </c>
      <c r="N706" s="1">
        <f t="shared" si="16"/>
        <v>45.609111111111105</v>
      </c>
      <c r="O706" s="1"/>
      <c r="P706" s="1"/>
      <c r="Q706" s="1"/>
      <c r="R706" s="1"/>
      <c r="S706" s="1"/>
    </row>
    <row r="707" spans="1:19" hidden="1" x14ac:dyDescent="0.4">
      <c r="A707" t="s">
        <v>1870</v>
      </c>
      <c r="B707" t="s">
        <v>729</v>
      </c>
      <c r="C707" s="131">
        <v>45016</v>
      </c>
      <c r="D707" t="s">
        <v>1871</v>
      </c>
      <c r="F707" t="s">
        <v>645</v>
      </c>
      <c r="H707">
        <v>45</v>
      </c>
      <c r="J707" s="1">
        <v>3435.63</v>
      </c>
      <c r="K707" s="1"/>
      <c r="L707" s="1">
        <v>3435.63</v>
      </c>
      <c r="M707" s="1">
        <v>42.95</v>
      </c>
      <c r="N707" s="1">
        <f t="shared" si="16"/>
        <v>76.347333333333339</v>
      </c>
      <c r="O707" s="1"/>
      <c r="P707" s="1"/>
      <c r="Q707" s="1"/>
      <c r="R707" s="1"/>
      <c r="S707" s="1"/>
    </row>
    <row r="708" spans="1:19" hidden="1" x14ac:dyDescent="0.4">
      <c r="A708" t="s">
        <v>1872</v>
      </c>
      <c r="B708" t="s">
        <v>729</v>
      </c>
      <c r="C708" s="131">
        <v>45046</v>
      </c>
      <c r="D708" t="s">
        <v>1873</v>
      </c>
      <c r="F708" t="s">
        <v>645</v>
      </c>
      <c r="H708">
        <v>45</v>
      </c>
      <c r="J708" s="1">
        <v>6374.75</v>
      </c>
      <c r="K708" s="1"/>
      <c r="L708" s="1">
        <v>6374.75</v>
      </c>
      <c r="M708" s="1">
        <v>79.680000000000007</v>
      </c>
      <c r="N708" s="1">
        <f t="shared" si="16"/>
        <v>141.6611111111111</v>
      </c>
      <c r="O708" s="1"/>
      <c r="P708" s="1"/>
      <c r="Q708" s="1"/>
      <c r="R708" s="1"/>
      <c r="S708" s="1"/>
    </row>
    <row r="709" spans="1:19" hidden="1" x14ac:dyDescent="0.4">
      <c r="A709" t="s">
        <v>1874</v>
      </c>
      <c r="B709" t="s">
        <v>729</v>
      </c>
      <c r="C709" s="131">
        <v>45077</v>
      </c>
      <c r="D709" t="s">
        <v>1855</v>
      </c>
      <c r="F709" t="s">
        <v>645</v>
      </c>
      <c r="H709">
        <v>45</v>
      </c>
      <c r="J709" s="1">
        <v>2535.21</v>
      </c>
      <c r="K709" s="1"/>
      <c r="L709" s="1">
        <v>2535.21</v>
      </c>
      <c r="M709" s="1">
        <v>31.69</v>
      </c>
      <c r="N709" s="1">
        <f t="shared" ref="N709:N772" si="17">L709/H709</f>
        <v>56.338000000000001</v>
      </c>
      <c r="O709" s="1"/>
      <c r="P709" s="1"/>
      <c r="Q709" s="1"/>
      <c r="R709" s="1"/>
      <c r="S709" s="1"/>
    </row>
    <row r="710" spans="1:19" hidden="1" x14ac:dyDescent="0.4">
      <c r="A710" t="s">
        <v>1875</v>
      </c>
      <c r="B710" t="s">
        <v>729</v>
      </c>
      <c r="C710" s="131">
        <v>45107</v>
      </c>
      <c r="D710" t="s">
        <v>1876</v>
      </c>
      <c r="F710" t="s">
        <v>645</v>
      </c>
      <c r="H710">
        <v>45</v>
      </c>
      <c r="J710" s="1">
        <v>1883.24</v>
      </c>
      <c r="K710" s="1"/>
      <c r="L710" s="1">
        <v>1883.24</v>
      </c>
      <c r="M710" s="1">
        <v>23.54</v>
      </c>
      <c r="N710" s="1">
        <f t="shared" si="17"/>
        <v>41.849777777777781</v>
      </c>
      <c r="O710" s="1"/>
      <c r="P710" s="1"/>
      <c r="Q710" s="1"/>
      <c r="R710" s="1"/>
      <c r="S710" s="1"/>
    </row>
    <row r="711" spans="1:19" hidden="1" x14ac:dyDescent="0.4">
      <c r="A711" t="s">
        <v>1877</v>
      </c>
      <c r="B711" t="s">
        <v>729</v>
      </c>
      <c r="C711" s="131">
        <v>45138</v>
      </c>
      <c r="D711" t="s">
        <v>1878</v>
      </c>
      <c r="F711" t="s">
        <v>645</v>
      </c>
      <c r="H711">
        <v>45</v>
      </c>
      <c r="J711" s="1">
        <v>3538.83</v>
      </c>
      <c r="K711" s="1"/>
      <c r="L711" s="1">
        <v>3538.83</v>
      </c>
      <c r="M711" s="1">
        <v>44.24</v>
      </c>
      <c r="N711" s="1">
        <f t="shared" si="17"/>
        <v>78.640666666666661</v>
      </c>
      <c r="O711" s="1"/>
      <c r="P711" s="1"/>
      <c r="Q711" s="1"/>
      <c r="R711" s="1"/>
      <c r="S711" s="1"/>
    </row>
    <row r="712" spans="1:19" hidden="1" x14ac:dyDescent="0.4">
      <c r="A712" t="s">
        <v>1879</v>
      </c>
      <c r="B712" t="s">
        <v>729</v>
      </c>
      <c r="C712" s="131">
        <v>45169</v>
      </c>
      <c r="D712" t="s">
        <v>1880</v>
      </c>
      <c r="F712" t="s">
        <v>645</v>
      </c>
      <c r="H712">
        <v>45</v>
      </c>
      <c r="J712" s="1">
        <v>3739.41</v>
      </c>
      <c r="K712" s="1"/>
      <c r="L712" s="1">
        <v>3739.41</v>
      </c>
      <c r="M712" s="1">
        <v>46.74</v>
      </c>
      <c r="N712" s="1">
        <f t="shared" si="17"/>
        <v>83.097999999999999</v>
      </c>
      <c r="O712" s="1"/>
      <c r="P712" s="1"/>
      <c r="Q712" s="1"/>
      <c r="R712" s="1"/>
      <c r="S712" s="1"/>
    </row>
    <row r="713" spans="1:19" hidden="1" x14ac:dyDescent="0.4">
      <c r="A713" t="s">
        <v>1881</v>
      </c>
      <c r="B713" t="s">
        <v>729</v>
      </c>
      <c r="C713" s="131">
        <v>45199</v>
      </c>
      <c r="D713" t="s">
        <v>1882</v>
      </c>
      <c r="F713" t="s">
        <v>645</v>
      </c>
      <c r="H713">
        <v>45</v>
      </c>
      <c r="J713" s="1">
        <v>1949.02</v>
      </c>
      <c r="K713" s="1"/>
      <c r="L713" s="1">
        <v>1949.02</v>
      </c>
      <c r="M713" s="1">
        <v>24.36</v>
      </c>
      <c r="N713" s="1">
        <f t="shared" si="17"/>
        <v>43.311555555555557</v>
      </c>
      <c r="O713" s="1"/>
      <c r="P713" s="1"/>
      <c r="Q713" s="1"/>
      <c r="R713" s="1"/>
      <c r="S713" s="1"/>
    </row>
    <row r="714" spans="1:19" hidden="1" x14ac:dyDescent="0.4">
      <c r="A714" t="s">
        <v>1883</v>
      </c>
      <c r="B714" t="s">
        <v>729</v>
      </c>
      <c r="C714" s="131">
        <v>45230</v>
      </c>
      <c r="D714" t="s">
        <v>1863</v>
      </c>
      <c r="F714" t="s">
        <v>645</v>
      </c>
      <c r="H714">
        <v>45</v>
      </c>
      <c r="J714" s="1">
        <v>3898.25</v>
      </c>
      <c r="K714" s="1"/>
      <c r="L714" s="1">
        <v>3898.25</v>
      </c>
      <c r="M714" s="1">
        <v>48.73</v>
      </c>
      <c r="N714" s="1">
        <f t="shared" si="17"/>
        <v>86.62777777777778</v>
      </c>
      <c r="O714" s="1"/>
      <c r="P714" s="1"/>
      <c r="Q714" s="1"/>
      <c r="R714" s="1"/>
      <c r="S714" s="1"/>
    </row>
    <row r="715" spans="1:19" hidden="1" x14ac:dyDescent="0.4">
      <c r="A715" t="s">
        <v>1884</v>
      </c>
      <c r="B715" t="s">
        <v>729</v>
      </c>
      <c r="C715" s="131">
        <v>45260</v>
      </c>
      <c r="D715" t="s">
        <v>1865</v>
      </c>
      <c r="F715" t="s">
        <v>645</v>
      </c>
      <c r="H715">
        <v>45</v>
      </c>
      <c r="J715" s="1">
        <v>2242.9299999999998</v>
      </c>
      <c r="K715" s="1"/>
      <c r="L715" s="1">
        <v>2242.9299999999998</v>
      </c>
      <c r="M715" s="1">
        <v>28.04</v>
      </c>
      <c r="N715" s="1">
        <f t="shared" si="17"/>
        <v>49.842888888888886</v>
      </c>
      <c r="O715" s="1"/>
      <c r="P715" s="1"/>
      <c r="Q715" s="1"/>
      <c r="R715" s="1"/>
      <c r="S715" s="1"/>
    </row>
    <row r="716" spans="1:19" hidden="1" x14ac:dyDescent="0.4">
      <c r="A716" t="s">
        <v>1885</v>
      </c>
      <c r="B716" t="s">
        <v>729</v>
      </c>
      <c r="C716" s="131">
        <v>45291</v>
      </c>
      <c r="D716" t="s">
        <v>1867</v>
      </c>
      <c r="F716" t="s">
        <v>645</v>
      </c>
      <c r="H716">
        <v>45</v>
      </c>
      <c r="J716" s="1">
        <v>3054.13</v>
      </c>
      <c r="K716" s="1"/>
      <c r="L716" s="1">
        <v>3054.13</v>
      </c>
      <c r="M716" s="1">
        <v>38.18</v>
      </c>
      <c r="N716" s="1">
        <f t="shared" si="17"/>
        <v>67.869555555555564</v>
      </c>
      <c r="O716" s="1"/>
      <c r="P716" s="1"/>
      <c r="Q716" s="1"/>
      <c r="R716" s="1"/>
      <c r="S716" s="1"/>
    </row>
    <row r="717" spans="1:19" hidden="1" x14ac:dyDescent="0.4">
      <c r="A717" t="s">
        <v>1886</v>
      </c>
      <c r="B717" t="s">
        <v>729</v>
      </c>
      <c r="C717" s="131">
        <v>45108</v>
      </c>
      <c r="D717" t="s">
        <v>1887</v>
      </c>
      <c r="F717" t="s">
        <v>645</v>
      </c>
      <c r="H717">
        <v>45</v>
      </c>
      <c r="J717" s="1">
        <v>56000.68</v>
      </c>
      <c r="K717" s="1"/>
      <c r="L717" s="1">
        <v>56000.68</v>
      </c>
      <c r="M717" s="1">
        <v>700.01</v>
      </c>
      <c r="N717" s="1">
        <f t="shared" si="17"/>
        <v>1244.4595555555557</v>
      </c>
      <c r="O717" s="1"/>
      <c r="P717" s="1"/>
      <c r="Q717" s="1"/>
      <c r="R717" s="1"/>
      <c r="S717" s="1"/>
    </row>
    <row r="718" spans="1:19" hidden="1" x14ac:dyDescent="0.4">
      <c r="A718" t="s">
        <v>1888</v>
      </c>
      <c r="B718" t="s">
        <v>729</v>
      </c>
      <c r="C718" s="131">
        <v>45322</v>
      </c>
      <c r="D718" t="s">
        <v>1619</v>
      </c>
      <c r="F718" t="s">
        <v>645</v>
      </c>
      <c r="H718">
        <v>45</v>
      </c>
      <c r="J718" s="1">
        <v>695.54</v>
      </c>
      <c r="K718" s="1"/>
      <c r="L718" s="1">
        <v>695.54</v>
      </c>
      <c r="M718" s="1">
        <v>0</v>
      </c>
      <c r="N718" s="1">
        <f t="shared" si="17"/>
        <v>15.456444444444443</v>
      </c>
      <c r="O718" s="1"/>
      <c r="P718" s="1"/>
      <c r="Q718" s="1"/>
      <c r="R718" s="1"/>
      <c r="S718" s="1"/>
    </row>
    <row r="719" spans="1:19" hidden="1" x14ac:dyDescent="0.4">
      <c r="A719" t="s">
        <v>1889</v>
      </c>
      <c r="B719" t="s">
        <v>729</v>
      </c>
      <c r="C719" s="131">
        <v>45351</v>
      </c>
      <c r="D719" t="s">
        <v>1621</v>
      </c>
      <c r="F719" t="s">
        <v>645</v>
      </c>
      <c r="H719">
        <v>45</v>
      </c>
      <c r="J719" s="1">
        <v>962.18</v>
      </c>
      <c r="K719" s="1"/>
      <c r="L719" s="1">
        <v>962.18</v>
      </c>
      <c r="M719" s="1">
        <v>0</v>
      </c>
      <c r="N719" s="1">
        <f t="shared" si="17"/>
        <v>21.381777777777778</v>
      </c>
      <c r="O719" s="1"/>
      <c r="P719" s="1"/>
      <c r="Q719" s="1"/>
      <c r="R719" s="1"/>
      <c r="S719" s="1"/>
    </row>
    <row r="720" spans="1:19" hidden="1" x14ac:dyDescent="0.4">
      <c r="A720" t="s">
        <v>1890</v>
      </c>
      <c r="B720" t="s">
        <v>729</v>
      </c>
      <c r="C720" s="131">
        <v>45382</v>
      </c>
      <c r="D720" t="s">
        <v>1623</v>
      </c>
      <c r="F720" t="s">
        <v>645</v>
      </c>
      <c r="H720">
        <v>45</v>
      </c>
      <c r="J720" s="1">
        <v>6869.9</v>
      </c>
      <c r="K720" s="1"/>
      <c r="L720" s="1">
        <v>6869.9</v>
      </c>
      <c r="M720" s="1">
        <v>0</v>
      </c>
      <c r="N720" s="1">
        <f t="shared" si="17"/>
        <v>152.66444444444443</v>
      </c>
      <c r="O720" s="1"/>
      <c r="P720" s="1"/>
      <c r="Q720" s="1"/>
      <c r="R720" s="1"/>
      <c r="S720" s="1"/>
    </row>
    <row r="721" spans="1:19" hidden="1" x14ac:dyDescent="0.4">
      <c r="A721" t="s">
        <v>1891</v>
      </c>
      <c r="B721" t="s">
        <v>729</v>
      </c>
      <c r="C721" s="131">
        <v>45412</v>
      </c>
      <c r="D721" t="s">
        <v>1709</v>
      </c>
      <c r="F721" t="s">
        <v>645</v>
      </c>
      <c r="H721">
        <v>45</v>
      </c>
      <c r="J721" s="1">
        <v>4556.07</v>
      </c>
      <c r="K721" s="1"/>
      <c r="L721" s="1">
        <v>4556.07</v>
      </c>
      <c r="M721" s="1">
        <v>0</v>
      </c>
      <c r="N721" s="1">
        <f t="shared" si="17"/>
        <v>101.246</v>
      </c>
      <c r="O721" s="1"/>
      <c r="P721" s="1"/>
      <c r="Q721" s="1"/>
      <c r="R721" s="1"/>
      <c r="S721" s="1"/>
    </row>
    <row r="722" spans="1:19" hidden="1" x14ac:dyDescent="0.4">
      <c r="A722" t="s">
        <v>1892</v>
      </c>
      <c r="B722" t="s">
        <v>729</v>
      </c>
      <c r="C722" s="131">
        <v>45443</v>
      </c>
      <c r="D722" t="s">
        <v>1627</v>
      </c>
      <c r="F722" t="s">
        <v>645</v>
      </c>
      <c r="H722">
        <v>45</v>
      </c>
      <c r="J722" s="1">
        <v>6377.08</v>
      </c>
      <c r="K722" s="1"/>
      <c r="L722" s="1">
        <v>6377.08</v>
      </c>
      <c r="M722" s="1">
        <v>0</v>
      </c>
      <c r="N722" s="1">
        <f t="shared" si="17"/>
        <v>141.7128888888889</v>
      </c>
      <c r="O722" s="1"/>
      <c r="P722" s="1"/>
      <c r="Q722" s="1"/>
      <c r="R722" s="1"/>
      <c r="S722" s="1"/>
    </row>
    <row r="723" spans="1:19" hidden="1" x14ac:dyDescent="0.4">
      <c r="A723" t="s">
        <v>1893</v>
      </c>
      <c r="B723" t="s">
        <v>729</v>
      </c>
      <c r="C723" s="131">
        <v>45473</v>
      </c>
      <c r="D723" t="s">
        <v>1629</v>
      </c>
      <c r="F723" t="s">
        <v>645</v>
      </c>
      <c r="H723">
        <v>45</v>
      </c>
      <c r="J723" s="1">
        <v>3842.04</v>
      </c>
      <c r="K723" s="1"/>
      <c r="L723" s="1">
        <v>3842.04</v>
      </c>
      <c r="M723" s="1">
        <v>0</v>
      </c>
      <c r="N723" s="1">
        <f t="shared" si="17"/>
        <v>85.37866666666666</v>
      </c>
      <c r="O723" s="1"/>
      <c r="P723" s="1"/>
      <c r="Q723" s="1"/>
      <c r="R723" s="1"/>
      <c r="S723" s="1"/>
    </row>
    <row r="724" spans="1:19" hidden="1" x14ac:dyDescent="0.4">
      <c r="A724" t="s">
        <v>1894</v>
      </c>
      <c r="B724" t="s">
        <v>729</v>
      </c>
      <c r="C724" s="131">
        <v>45504</v>
      </c>
      <c r="D724" t="s">
        <v>1631</v>
      </c>
      <c r="F724" t="s">
        <v>645</v>
      </c>
      <c r="H724">
        <v>45</v>
      </c>
      <c r="J724" s="1">
        <v>4120.8100000000004</v>
      </c>
      <c r="K724" s="1"/>
      <c r="L724" s="1">
        <v>4120.8100000000004</v>
      </c>
      <c r="M724" s="1">
        <v>0</v>
      </c>
      <c r="N724" s="1">
        <f t="shared" si="17"/>
        <v>91.573555555555558</v>
      </c>
      <c r="O724" s="1"/>
      <c r="P724" s="1"/>
      <c r="Q724" s="1"/>
      <c r="R724" s="1"/>
      <c r="S724" s="1"/>
    </row>
    <row r="725" spans="1:19" hidden="1" x14ac:dyDescent="0.4">
      <c r="A725" t="s">
        <v>1895</v>
      </c>
      <c r="B725" t="s">
        <v>729</v>
      </c>
      <c r="C725" s="131">
        <v>45535</v>
      </c>
      <c r="D725" t="s">
        <v>1633</v>
      </c>
      <c r="F725" t="s">
        <v>645</v>
      </c>
      <c r="H725">
        <v>45</v>
      </c>
      <c r="J725" s="1">
        <v>2250.9499999999998</v>
      </c>
      <c r="K725" s="1"/>
      <c r="L725" s="1">
        <v>2250.9499999999998</v>
      </c>
      <c r="M725" s="1">
        <v>0</v>
      </c>
      <c r="N725" s="1">
        <f t="shared" si="17"/>
        <v>50.021111111111104</v>
      </c>
      <c r="O725" s="1"/>
      <c r="P725" s="1"/>
      <c r="Q725" s="1"/>
      <c r="R725" s="1"/>
      <c r="S725" s="1"/>
    </row>
    <row r="726" spans="1:19" hidden="1" x14ac:dyDescent="0.4">
      <c r="A726" t="s">
        <v>1896</v>
      </c>
      <c r="B726" t="s">
        <v>729</v>
      </c>
      <c r="C726" s="131">
        <v>45565</v>
      </c>
      <c r="D726" t="s">
        <v>1651</v>
      </c>
      <c r="F726" t="s">
        <v>645</v>
      </c>
      <c r="H726">
        <v>45</v>
      </c>
      <c r="J726" s="1">
        <v>1174.1300000000001</v>
      </c>
      <c r="K726" s="1"/>
      <c r="L726" s="1">
        <v>1174.1300000000001</v>
      </c>
      <c r="M726" s="1">
        <v>0</v>
      </c>
      <c r="N726" s="1">
        <f t="shared" si="17"/>
        <v>26.091777777777779</v>
      </c>
      <c r="O726" s="1"/>
      <c r="P726" s="1"/>
      <c r="Q726" s="1"/>
      <c r="R726" s="1"/>
      <c r="S726" s="1"/>
    </row>
    <row r="727" spans="1:19" hidden="1" x14ac:dyDescent="0.4">
      <c r="A727" t="s">
        <v>1897</v>
      </c>
      <c r="B727" t="s">
        <v>729</v>
      </c>
      <c r="C727" s="131">
        <v>45596</v>
      </c>
      <c r="D727" t="s">
        <v>1637</v>
      </c>
      <c r="F727" t="s">
        <v>645</v>
      </c>
      <c r="H727">
        <v>45</v>
      </c>
      <c r="J727" s="1">
        <v>5245.45</v>
      </c>
      <c r="K727" s="1"/>
      <c r="L727" s="1">
        <v>5245.45</v>
      </c>
      <c r="M727" s="1">
        <v>0</v>
      </c>
      <c r="N727" s="1">
        <f t="shared" si="17"/>
        <v>116.56555555555555</v>
      </c>
      <c r="O727" s="1"/>
      <c r="P727" s="1"/>
      <c r="Q727" s="1"/>
      <c r="R727" s="1"/>
      <c r="S727" s="1"/>
    </row>
    <row r="728" spans="1:19" hidden="1" x14ac:dyDescent="0.4">
      <c r="A728" t="s">
        <v>1898</v>
      </c>
      <c r="B728" t="s">
        <v>729</v>
      </c>
      <c r="C728" s="131">
        <v>45626</v>
      </c>
      <c r="D728" t="s">
        <v>1639</v>
      </c>
      <c r="F728" t="s">
        <v>645</v>
      </c>
      <c r="H728">
        <v>45</v>
      </c>
      <c r="J728" s="1">
        <v>2168.52</v>
      </c>
      <c r="K728" s="1"/>
      <c r="L728" s="1">
        <v>2168.52</v>
      </c>
      <c r="M728" s="1">
        <v>0</v>
      </c>
      <c r="N728" s="1">
        <f t="shared" si="17"/>
        <v>48.18933333333333</v>
      </c>
      <c r="O728" s="1"/>
      <c r="P728" s="1"/>
      <c r="Q728" s="1"/>
      <c r="R728" s="1"/>
      <c r="S728" s="1"/>
    </row>
    <row r="729" spans="1:19" hidden="1" x14ac:dyDescent="0.4">
      <c r="A729" t="s">
        <v>1899</v>
      </c>
      <c r="B729" t="s">
        <v>729</v>
      </c>
      <c r="C729" s="131">
        <v>45657</v>
      </c>
      <c r="D729" t="s">
        <v>1641</v>
      </c>
      <c r="F729" t="s">
        <v>645</v>
      </c>
      <c r="H729">
        <v>45</v>
      </c>
      <c r="J729" s="1">
        <v>1553.02</v>
      </c>
      <c r="K729" s="1"/>
      <c r="L729" s="1">
        <v>1553.02</v>
      </c>
      <c r="M729" s="1">
        <v>0</v>
      </c>
      <c r="N729" s="1">
        <f t="shared" si="17"/>
        <v>34.511555555555553</v>
      </c>
      <c r="O729" s="1"/>
      <c r="P729" s="1"/>
      <c r="Q729" s="1"/>
      <c r="R729" s="1"/>
      <c r="S729" s="1"/>
    </row>
    <row r="730" spans="1:19" hidden="1" x14ac:dyDescent="0.4">
      <c r="A730" t="s">
        <v>1900</v>
      </c>
      <c r="B730" t="s">
        <v>729</v>
      </c>
      <c r="C730" s="131">
        <v>43809</v>
      </c>
      <c r="D730" t="s">
        <v>730</v>
      </c>
      <c r="F730" t="s">
        <v>645</v>
      </c>
      <c r="H730">
        <v>15</v>
      </c>
      <c r="J730" s="1">
        <v>379085.21</v>
      </c>
      <c r="K730" s="1"/>
      <c r="L730" s="1">
        <v>379085.21</v>
      </c>
      <c r="M730" s="1">
        <v>42647.09</v>
      </c>
      <c r="N730" s="1">
        <f t="shared" si="17"/>
        <v>25272.347333333335</v>
      </c>
      <c r="O730" s="1"/>
      <c r="P730" s="1"/>
      <c r="Q730" s="1"/>
      <c r="R730" s="1"/>
      <c r="S730" s="1"/>
    </row>
    <row r="731" spans="1:19" hidden="1" x14ac:dyDescent="0.4">
      <c r="A731" t="s">
        <v>1901</v>
      </c>
      <c r="B731" t="s">
        <v>729</v>
      </c>
      <c r="C731" s="131">
        <v>42185</v>
      </c>
      <c r="D731" t="s">
        <v>1902</v>
      </c>
      <c r="F731" t="s">
        <v>645</v>
      </c>
      <c r="H731">
        <v>45</v>
      </c>
      <c r="J731" s="1">
        <v>1958.34</v>
      </c>
      <c r="K731" s="1"/>
      <c r="L731" s="1">
        <v>1958.34</v>
      </c>
      <c r="M731" s="1">
        <v>416.16</v>
      </c>
      <c r="N731" s="1">
        <f t="shared" si="17"/>
        <v>43.518666666666668</v>
      </c>
      <c r="O731" s="1"/>
      <c r="P731" s="1"/>
      <c r="Q731" s="1"/>
      <c r="R731" s="1"/>
      <c r="S731" s="1"/>
    </row>
    <row r="732" spans="1:19" hidden="1" x14ac:dyDescent="0.4">
      <c r="A732" t="s">
        <v>1903</v>
      </c>
      <c r="B732" t="s">
        <v>1904</v>
      </c>
      <c r="C732" s="131">
        <v>37741</v>
      </c>
      <c r="D732" t="s">
        <v>1905</v>
      </c>
      <c r="F732" t="s">
        <v>645</v>
      </c>
      <c r="H732">
        <v>45</v>
      </c>
      <c r="J732" s="1">
        <v>8094.01</v>
      </c>
      <c r="K732" s="1"/>
      <c r="L732" s="1">
        <v>8094.01</v>
      </c>
      <c r="M732" s="1">
        <v>4183.38</v>
      </c>
      <c r="N732" s="1">
        <f t="shared" si="17"/>
        <v>179.86688888888889</v>
      </c>
      <c r="O732" s="1"/>
      <c r="P732" s="1"/>
      <c r="Q732" s="1"/>
      <c r="R732" s="1"/>
      <c r="S732" s="1"/>
    </row>
    <row r="733" spans="1:19" hidden="1" x14ac:dyDescent="0.4">
      <c r="A733" t="s">
        <v>1906</v>
      </c>
      <c r="B733" t="s">
        <v>1904</v>
      </c>
      <c r="C733" s="131">
        <v>31229</v>
      </c>
      <c r="D733" t="s">
        <v>1907</v>
      </c>
      <c r="F733" t="s">
        <v>645</v>
      </c>
      <c r="H733">
        <v>45</v>
      </c>
      <c r="J733" s="1">
        <v>71860</v>
      </c>
      <c r="K733" s="1"/>
      <c r="L733" s="1">
        <v>71860</v>
      </c>
      <c r="M733" s="1">
        <v>69165.25</v>
      </c>
      <c r="N733" s="1">
        <f t="shared" si="17"/>
        <v>1596.8888888888889</v>
      </c>
      <c r="O733" s="1"/>
      <c r="P733" s="1"/>
      <c r="Q733" s="1"/>
      <c r="R733" s="1"/>
      <c r="S733" s="1"/>
    </row>
    <row r="734" spans="1:19" hidden="1" x14ac:dyDescent="0.4">
      <c r="A734" t="s">
        <v>1908</v>
      </c>
      <c r="B734" t="s">
        <v>1904</v>
      </c>
      <c r="C734" s="131">
        <v>31229</v>
      </c>
      <c r="D734" t="s">
        <v>1757</v>
      </c>
      <c r="F734" t="s">
        <v>645</v>
      </c>
      <c r="H734">
        <v>15</v>
      </c>
      <c r="J734" s="1">
        <v>96100</v>
      </c>
      <c r="K734" s="1"/>
      <c r="L734" s="1">
        <v>96100</v>
      </c>
      <c r="M734" s="1">
        <v>92496.25</v>
      </c>
      <c r="N734" s="1">
        <f t="shared" si="17"/>
        <v>6406.666666666667</v>
      </c>
      <c r="O734" s="1"/>
      <c r="P734" s="1"/>
      <c r="Q734" s="1"/>
      <c r="R734" s="1"/>
      <c r="S734" s="1"/>
    </row>
    <row r="735" spans="1:19" hidden="1" x14ac:dyDescent="0.4">
      <c r="A735" t="s">
        <v>1909</v>
      </c>
      <c r="B735" t="s">
        <v>1904</v>
      </c>
      <c r="C735" s="131">
        <v>31343</v>
      </c>
      <c r="D735" t="s">
        <v>1910</v>
      </c>
      <c r="F735" t="s">
        <v>645</v>
      </c>
      <c r="H735">
        <v>45</v>
      </c>
      <c r="J735" s="1">
        <v>14000</v>
      </c>
      <c r="K735" s="1"/>
      <c r="L735" s="1">
        <v>14000</v>
      </c>
      <c r="M735" s="1">
        <v>13387.5</v>
      </c>
      <c r="N735" s="1">
        <f t="shared" si="17"/>
        <v>311.11111111111109</v>
      </c>
      <c r="O735" s="1"/>
      <c r="P735" s="1"/>
      <c r="Q735" s="1"/>
      <c r="R735" s="1"/>
      <c r="S735" s="1"/>
    </row>
    <row r="736" spans="1:19" hidden="1" x14ac:dyDescent="0.4">
      <c r="A736" t="s">
        <v>1911</v>
      </c>
      <c r="B736" t="s">
        <v>1904</v>
      </c>
      <c r="C736" s="131">
        <v>31503</v>
      </c>
      <c r="D736" t="s">
        <v>1912</v>
      </c>
      <c r="F736" t="s">
        <v>645</v>
      </c>
      <c r="H736">
        <v>45</v>
      </c>
      <c r="J736" s="1">
        <v>1989.24</v>
      </c>
      <c r="K736" s="1"/>
      <c r="L736" s="1">
        <v>1989.24</v>
      </c>
      <c r="M736" s="1">
        <v>1877.31</v>
      </c>
      <c r="N736" s="1">
        <f t="shared" si="17"/>
        <v>44.205333333333336</v>
      </c>
      <c r="O736" s="1"/>
      <c r="P736" s="1"/>
      <c r="Q736" s="1"/>
      <c r="R736" s="1"/>
      <c r="S736" s="1"/>
    </row>
    <row r="737" spans="1:19" hidden="1" x14ac:dyDescent="0.4">
      <c r="A737" t="s">
        <v>1913</v>
      </c>
      <c r="B737" t="s">
        <v>1904</v>
      </c>
      <c r="C737" s="131">
        <v>31594</v>
      </c>
      <c r="D737" t="s">
        <v>1757</v>
      </c>
      <c r="F737" t="s">
        <v>645</v>
      </c>
      <c r="H737">
        <v>45</v>
      </c>
      <c r="J737" s="1">
        <v>4888.17</v>
      </c>
      <c r="K737" s="1"/>
      <c r="L737" s="1">
        <v>4888.17</v>
      </c>
      <c r="M737" s="1">
        <v>4582.53</v>
      </c>
      <c r="N737" s="1">
        <f t="shared" si="17"/>
        <v>108.626</v>
      </c>
      <c r="O737" s="1"/>
      <c r="P737" s="1"/>
      <c r="Q737" s="1"/>
      <c r="R737" s="1"/>
      <c r="S737" s="1"/>
    </row>
    <row r="738" spans="1:19" hidden="1" x14ac:dyDescent="0.4">
      <c r="A738" t="s">
        <v>1914</v>
      </c>
      <c r="B738" t="s">
        <v>1904</v>
      </c>
      <c r="C738" s="131">
        <v>31867</v>
      </c>
      <c r="D738" t="s">
        <v>1915</v>
      </c>
      <c r="F738" t="s">
        <v>645</v>
      </c>
      <c r="H738">
        <v>45</v>
      </c>
      <c r="J738" s="1">
        <v>453.72</v>
      </c>
      <c r="K738" s="1"/>
      <c r="L738" s="1">
        <v>453.72</v>
      </c>
      <c r="M738" s="1">
        <v>417.69</v>
      </c>
      <c r="N738" s="1">
        <f t="shared" si="17"/>
        <v>10.082666666666666</v>
      </c>
      <c r="O738" s="1"/>
      <c r="P738" s="1"/>
      <c r="Q738" s="1"/>
      <c r="R738" s="1"/>
      <c r="S738" s="1"/>
    </row>
    <row r="739" spans="1:19" hidden="1" x14ac:dyDescent="0.4">
      <c r="A739" t="s">
        <v>1916</v>
      </c>
      <c r="B739" t="s">
        <v>1904</v>
      </c>
      <c r="C739" s="131">
        <v>31836</v>
      </c>
      <c r="D739" t="s">
        <v>1917</v>
      </c>
      <c r="F739" t="s">
        <v>645</v>
      </c>
      <c r="H739">
        <v>45</v>
      </c>
      <c r="J739" s="1">
        <v>691.17</v>
      </c>
      <c r="K739" s="1"/>
      <c r="L739" s="1">
        <v>691.17</v>
      </c>
      <c r="M739" s="1">
        <v>637.91999999999996</v>
      </c>
      <c r="N739" s="1">
        <f t="shared" si="17"/>
        <v>15.359333333333332</v>
      </c>
      <c r="O739" s="1"/>
      <c r="P739" s="1"/>
      <c r="Q739" s="1"/>
      <c r="R739" s="1"/>
      <c r="S739" s="1"/>
    </row>
    <row r="740" spans="1:19" hidden="1" x14ac:dyDescent="0.4">
      <c r="A740" t="s">
        <v>1918</v>
      </c>
      <c r="B740" t="s">
        <v>1904</v>
      </c>
      <c r="C740" s="131">
        <v>31867</v>
      </c>
      <c r="D740" t="s">
        <v>1915</v>
      </c>
      <c r="F740" t="s">
        <v>645</v>
      </c>
      <c r="H740">
        <v>45</v>
      </c>
      <c r="J740" s="1">
        <v>535.16999999999996</v>
      </c>
      <c r="K740" s="1"/>
      <c r="L740" s="1">
        <v>535.16999999999996</v>
      </c>
      <c r="M740" s="1">
        <v>492.83</v>
      </c>
      <c r="N740" s="1">
        <f t="shared" si="17"/>
        <v>11.892666666666665</v>
      </c>
      <c r="O740" s="1"/>
      <c r="P740" s="1"/>
      <c r="Q740" s="1"/>
      <c r="R740" s="1"/>
      <c r="S740" s="1"/>
    </row>
    <row r="741" spans="1:19" hidden="1" x14ac:dyDescent="0.4">
      <c r="A741" t="s">
        <v>1919</v>
      </c>
      <c r="B741" t="s">
        <v>1904</v>
      </c>
      <c r="C741" s="131">
        <v>31897</v>
      </c>
      <c r="D741" t="s">
        <v>1915</v>
      </c>
      <c r="F741" t="s">
        <v>645</v>
      </c>
      <c r="H741">
        <v>45</v>
      </c>
      <c r="J741" s="1">
        <v>1123.31</v>
      </c>
      <c r="K741" s="1"/>
      <c r="L741" s="1">
        <v>1123.31</v>
      </c>
      <c r="M741" s="1">
        <v>1031.94</v>
      </c>
      <c r="N741" s="1">
        <f t="shared" si="17"/>
        <v>24.962444444444444</v>
      </c>
      <c r="O741" s="1"/>
      <c r="P741" s="1"/>
      <c r="Q741" s="1"/>
      <c r="R741" s="1"/>
      <c r="S741" s="1"/>
    </row>
    <row r="742" spans="1:19" hidden="1" x14ac:dyDescent="0.4">
      <c r="A742" t="s">
        <v>1920</v>
      </c>
      <c r="B742" t="s">
        <v>1904</v>
      </c>
      <c r="C742" s="131">
        <v>31836</v>
      </c>
      <c r="D742" t="s">
        <v>1915</v>
      </c>
      <c r="F742" t="s">
        <v>645</v>
      </c>
      <c r="H742">
        <v>45</v>
      </c>
      <c r="J742" s="1">
        <v>140.78</v>
      </c>
      <c r="K742" s="1"/>
      <c r="L742" s="1">
        <v>140.78</v>
      </c>
      <c r="M742" s="1">
        <v>129.94999999999999</v>
      </c>
      <c r="N742" s="1">
        <f t="shared" si="17"/>
        <v>3.1284444444444444</v>
      </c>
      <c r="O742" s="1"/>
      <c r="P742" s="1"/>
      <c r="Q742" s="1"/>
      <c r="R742" s="1"/>
      <c r="S742" s="1"/>
    </row>
    <row r="743" spans="1:19" hidden="1" x14ac:dyDescent="0.4">
      <c r="A743" t="s">
        <v>1921</v>
      </c>
      <c r="B743" t="s">
        <v>1904</v>
      </c>
      <c r="C743" s="131">
        <v>31867</v>
      </c>
      <c r="D743" t="s">
        <v>1915</v>
      </c>
      <c r="F743" t="s">
        <v>645</v>
      </c>
      <c r="H743">
        <v>45</v>
      </c>
      <c r="J743" s="1">
        <v>446.36</v>
      </c>
      <c r="K743" s="1"/>
      <c r="L743" s="1">
        <v>446.36</v>
      </c>
      <c r="M743" s="1">
        <v>411.06</v>
      </c>
      <c r="N743" s="1">
        <f t="shared" si="17"/>
        <v>9.9191111111111105</v>
      </c>
      <c r="O743" s="1"/>
      <c r="P743" s="1"/>
      <c r="Q743" s="1"/>
      <c r="R743" s="1"/>
      <c r="S743" s="1"/>
    </row>
    <row r="744" spans="1:19" hidden="1" x14ac:dyDescent="0.4">
      <c r="A744" t="s">
        <v>1922</v>
      </c>
      <c r="B744" t="s">
        <v>1904</v>
      </c>
      <c r="C744" s="131">
        <v>31867</v>
      </c>
      <c r="D744" t="s">
        <v>1915</v>
      </c>
      <c r="F744" t="s">
        <v>645</v>
      </c>
      <c r="H744">
        <v>45</v>
      </c>
      <c r="J744" s="1">
        <v>338.7</v>
      </c>
      <c r="K744" s="1"/>
      <c r="L744" s="1">
        <v>338.7</v>
      </c>
      <c r="M744" s="1">
        <v>311.98</v>
      </c>
      <c r="N744" s="1">
        <f t="shared" si="17"/>
        <v>7.5266666666666664</v>
      </c>
      <c r="O744" s="1"/>
      <c r="P744" s="1"/>
      <c r="Q744" s="1"/>
      <c r="R744" s="1"/>
      <c r="S744" s="1"/>
    </row>
    <row r="745" spans="1:19" hidden="1" x14ac:dyDescent="0.4">
      <c r="A745" t="s">
        <v>1923</v>
      </c>
      <c r="B745" t="s">
        <v>1904</v>
      </c>
      <c r="C745" s="131">
        <v>31897</v>
      </c>
      <c r="D745" t="s">
        <v>1915</v>
      </c>
      <c r="F745" t="s">
        <v>645</v>
      </c>
      <c r="H745">
        <v>45</v>
      </c>
      <c r="J745" s="1">
        <v>947.13</v>
      </c>
      <c r="K745" s="1"/>
      <c r="L745" s="1">
        <v>947.13</v>
      </c>
      <c r="M745" s="1">
        <v>870.24</v>
      </c>
      <c r="N745" s="1">
        <f t="shared" si="17"/>
        <v>21.047333333333334</v>
      </c>
      <c r="O745" s="1"/>
      <c r="P745" s="1"/>
      <c r="Q745" s="1"/>
      <c r="R745" s="1"/>
      <c r="S745" s="1"/>
    </row>
    <row r="746" spans="1:19" hidden="1" x14ac:dyDescent="0.4">
      <c r="A746" t="s">
        <v>1924</v>
      </c>
      <c r="B746" t="s">
        <v>1904</v>
      </c>
      <c r="C746" s="131">
        <v>31928</v>
      </c>
      <c r="D746" t="s">
        <v>1915</v>
      </c>
      <c r="F746" t="s">
        <v>645</v>
      </c>
      <c r="H746">
        <v>45</v>
      </c>
      <c r="J746" s="1">
        <v>882.36</v>
      </c>
      <c r="K746" s="1"/>
      <c r="L746" s="1">
        <v>882.36</v>
      </c>
      <c r="M746" s="1">
        <v>808.87</v>
      </c>
      <c r="N746" s="1">
        <f t="shared" si="17"/>
        <v>19.608000000000001</v>
      </c>
      <c r="O746" s="1"/>
      <c r="P746" s="1"/>
      <c r="Q746" s="1"/>
      <c r="R746" s="1"/>
      <c r="S746" s="1"/>
    </row>
    <row r="747" spans="1:19" hidden="1" x14ac:dyDescent="0.4">
      <c r="A747" t="s">
        <v>1925</v>
      </c>
      <c r="B747" t="s">
        <v>1904</v>
      </c>
      <c r="C747" s="131">
        <v>31958</v>
      </c>
      <c r="D747" t="s">
        <v>1915</v>
      </c>
      <c r="F747" t="s">
        <v>645</v>
      </c>
      <c r="H747">
        <v>45</v>
      </c>
      <c r="J747" s="1">
        <v>1254.92</v>
      </c>
      <c r="K747" s="1"/>
      <c r="L747" s="1">
        <v>1254.92</v>
      </c>
      <c r="M747" s="1">
        <v>1147.6199999999999</v>
      </c>
      <c r="N747" s="1">
        <f t="shared" si="17"/>
        <v>27.887111111111114</v>
      </c>
      <c r="O747" s="1"/>
      <c r="P747" s="1"/>
      <c r="Q747" s="1"/>
      <c r="R747" s="1"/>
      <c r="S747" s="1"/>
    </row>
    <row r="748" spans="1:19" hidden="1" x14ac:dyDescent="0.4">
      <c r="A748" t="s">
        <v>1926</v>
      </c>
      <c r="B748" t="s">
        <v>1904</v>
      </c>
      <c r="C748" s="131">
        <v>31958</v>
      </c>
      <c r="D748" t="s">
        <v>1915</v>
      </c>
      <c r="F748" t="s">
        <v>645</v>
      </c>
      <c r="H748">
        <v>45</v>
      </c>
      <c r="J748" s="1">
        <v>1103.1600000000001</v>
      </c>
      <c r="K748" s="1"/>
      <c r="L748" s="1">
        <v>1103.1600000000001</v>
      </c>
      <c r="M748" s="1">
        <v>1008.97</v>
      </c>
      <c r="N748" s="1">
        <f t="shared" si="17"/>
        <v>24.514666666666667</v>
      </c>
      <c r="O748" s="1"/>
      <c r="P748" s="1"/>
      <c r="Q748" s="1"/>
      <c r="R748" s="1"/>
      <c r="S748" s="1"/>
    </row>
    <row r="749" spans="1:19" hidden="1" x14ac:dyDescent="0.4">
      <c r="A749" t="s">
        <v>1927</v>
      </c>
      <c r="B749" t="s">
        <v>1904</v>
      </c>
      <c r="C749" s="131">
        <v>31958</v>
      </c>
      <c r="D749" t="s">
        <v>1915</v>
      </c>
      <c r="F749" t="s">
        <v>645</v>
      </c>
      <c r="H749">
        <v>45</v>
      </c>
      <c r="J749" s="1">
        <v>1306.98</v>
      </c>
      <c r="K749" s="1"/>
      <c r="L749" s="1">
        <v>1306.98</v>
      </c>
      <c r="M749" s="1">
        <v>1195.21</v>
      </c>
      <c r="N749" s="1">
        <f t="shared" si="17"/>
        <v>29.044</v>
      </c>
      <c r="O749" s="1"/>
      <c r="P749" s="1"/>
      <c r="Q749" s="1"/>
      <c r="R749" s="1"/>
      <c r="S749" s="1"/>
    </row>
    <row r="750" spans="1:19" hidden="1" x14ac:dyDescent="0.4">
      <c r="A750" t="s">
        <v>1928</v>
      </c>
      <c r="B750" t="s">
        <v>1904</v>
      </c>
      <c r="C750" s="131">
        <v>31989</v>
      </c>
      <c r="D750" t="s">
        <v>1915</v>
      </c>
      <c r="F750" t="s">
        <v>645</v>
      </c>
      <c r="H750">
        <v>45</v>
      </c>
      <c r="J750" s="1">
        <v>2139.96</v>
      </c>
      <c r="K750" s="1"/>
      <c r="L750" s="1">
        <v>2139.96</v>
      </c>
      <c r="M750" s="1">
        <v>1952.75</v>
      </c>
      <c r="N750" s="1">
        <f t="shared" si="17"/>
        <v>47.55466666666667</v>
      </c>
      <c r="O750" s="1"/>
      <c r="P750" s="1"/>
      <c r="Q750" s="1"/>
      <c r="R750" s="1"/>
      <c r="S750" s="1"/>
    </row>
    <row r="751" spans="1:19" hidden="1" x14ac:dyDescent="0.4">
      <c r="A751" t="s">
        <v>1929</v>
      </c>
      <c r="B751" t="s">
        <v>1904</v>
      </c>
      <c r="C751" s="131">
        <v>31989</v>
      </c>
      <c r="D751" t="s">
        <v>1915</v>
      </c>
      <c r="F751" t="s">
        <v>645</v>
      </c>
      <c r="H751">
        <v>45</v>
      </c>
      <c r="J751" s="1">
        <v>829.47</v>
      </c>
      <c r="K751" s="1"/>
      <c r="L751" s="1">
        <v>829.47</v>
      </c>
      <c r="M751" s="1">
        <v>757.01</v>
      </c>
      <c r="N751" s="1">
        <f t="shared" si="17"/>
        <v>18.432666666666666</v>
      </c>
      <c r="O751" s="1"/>
      <c r="P751" s="1"/>
      <c r="Q751" s="1"/>
      <c r="R751" s="1"/>
      <c r="S751" s="1"/>
    </row>
    <row r="752" spans="1:19" hidden="1" x14ac:dyDescent="0.4">
      <c r="A752" t="s">
        <v>1930</v>
      </c>
      <c r="B752" t="s">
        <v>1904</v>
      </c>
      <c r="C752" s="131">
        <v>31989</v>
      </c>
      <c r="D752" t="s">
        <v>1915</v>
      </c>
      <c r="F752" t="s">
        <v>645</v>
      </c>
      <c r="H752">
        <v>45</v>
      </c>
      <c r="J752" s="1">
        <v>788.78</v>
      </c>
      <c r="K752" s="1"/>
      <c r="L752" s="1">
        <v>788.78</v>
      </c>
      <c r="M752" s="1">
        <v>719.78</v>
      </c>
      <c r="N752" s="1">
        <f t="shared" si="17"/>
        <v>17.528444444444442</v>
      </c>
      <c r="O752" s="1"/>
      <c r="P752" s="1"/>
      <c r="Q752" s="1"/>
      <c r="R752" s="1"/>
      <c r="S752" s="1"/>
    </row>
    <row r="753" spans="1:19" hidden="1" x14ac:dyDescent="0.4">
      <c r="A753" t="s">
        <v>1931</v>
      </c>
      <c r="B753" t="s">
        <v>1904</v>
      </c>
      <c r="C753" s="131">
        <v>32020</v>
      </c>
      <c r="D753" t="s">
        <v>1915</v>
      </c>
      <c r="F753" t="s">
        <v>645</v>
      </c>
      <c r="H753">
        <v>45</v>
      </c>
      <c r="J753" s="1">
        <v>631.94000000000005</v>
      </c>
      <c r="K753" s="1"/>
      <c r="L753" s="1">
        <v>631.94000000000005</v>
      </c>
      <c r="M753" s="1">
        <v>575.38</v>
      </c>
      <c r="N753" s="1">
        <f t="shared" si="17"/>
        <v>14.043111111111113</v>
      </c>
      <c r="O753" s="1"/>
      <c r="P753" s="1"/>
      <c r="Q753" s="1"/>
      <c r="R753" s="1"/>
      <c r="S753" s="1"/>
    </row>
    <row r="754" spans="1:19" hidden="1" x14ac:dyDescent="0.4">
      <c r="A754" t="s">
        <v>1932</v>
      </c>
      <c r="B754" t="s">
        <v>1904</v>
      </c>
      <c r="C754" s="131">
        <v>32020</v>
      </c>
      <c r="D754" t="s">
        <v>1915</v>
      </c>
      <c r="F754" t="s">
        <v>645</v>
      </c>
      <c r="H754">
        <v>45</v>
      </c>
      <c r="J754" s="1">
        <v>1514.43</v>
      </c>
      <c r="K754" s="1"/>
      <c r="L754" s="1">
        <v>1514.43</v>
      </c>
      <c r="M754" s="1">
        <v>1378.74</v>
      </c>
      <c r="N754" s="1">
        <f t="shared" si="17"/>
        <v>33.654000000000003</v>
      </c>
      <c r="O754" s="1"/>
      <c r="P754" s="1"/>
      <c r="Q754" s="1"/>
      <c r="R754" s="1"/>
      <c r="S754" s="1"/>
    </row>
    <row r="755" spans="1:19" hidden="1" x14ac:dyDescent="0.4">
      <c r="A755" t="s">
        <v>1933</v>
      </c>
      <c r="B755" t="s">
        <v>1904</v>
      </c>
      <c r="C755" s="131">
        <v>32020</v>
      </c>
      <c r="D755" t="s">
        <v>1915</v>
      </c>
      <c r="F755" t="s">
        <v>645</v>
      </c>
      <c r="H755">
        <v>45</v>
      </c>
      <c r="J755" s="1">
        <v>329.78</v>
      </c>
      <c r="K755" s="1"/>
      <c r="L755" s="1">
        <v>329.78</v>
      </c>
      <c r="M755" s="1">
        <v>300.11</v>
      </c>
      <c r="N755" s="1">
        <f t="shared" si="17"/>
        <v>7.3284444444444441</v>
      </c>
      <c r="O755" s="1"/>
      <c r="P755" s="1"/>
      <c r="Q755" s="1"/>
      <c r="R755" s="1"/>
      <c r="S755" s="1"/>
    </row>
    <row r="756" spans="1:19" hidden="1" x14ac:dyDescent="0.4">
      <c r="A756" t="s">
        <v>1934</v>
      </c>
      <c r="B756" t="s">
        <v>1904</v>
      </c>
      <c r="C756" s="131">
        <v>32050</v>
      </c>
      <c r="D756" t="s">
        <v>1915</v>
      </c>
      <c r="F756" t="s">
        <v>645</v>
      </c>
      <c r="H756">
        <v>45</v>
      </c>
      <c r="J756" s="1">
        <v>296.64999999999998</v>
      </c>
      <c r="K756" s="1"/>
      <c r="L756" s="1">
        <v>296.64999999999998</v>
      </c>
      <c r="M756" s="1">
        <v>269.58999999999997</v>
      </c>
      <c r="N756" s="1">
        <f t="shared" si="17"/>
        <v>6.5922222222222215</v>
      </c>
      <c r="O756" s="1"/>
      <c r="P756" s="1"/>
      <c r="Q756" s="1"/>
      <c r="R756" s="1"/>
      <c r="S756" s="1"/>
    </row>
    <row r="757" spans="1:19" hidden="1" x14ac:dyDescent="0.4">
      <c r="A757" t="s">
        <v>1935</v>
      </c>
      <c r="B757" t="s">
        <v>1904</v>
      </c>
      <c r="C757" s="131">
        <v>32050</v>
      </c>
      <c r="D757" t="s">
        <v>1915</v>
      </c>
      <c r="F757" t="s">
        <v>645</v>
      </c>
      <c r="H757">
        <v>45</v>
      </c>
      <c r="J757" s="1">
        <v>852.79</v>
      </c>
      <c r="K757" s="1"/>
      <c r="L757" s="1">
        <v>852.79</v>
      </c>
      <c r="M757" s="1">
        <v>774.63</v>
      </c>
      <c r="N757" s="1">
        <f t="shared" si="17"/>
        <v>18.950888888888887</v>
      </c>
      <c r="O757" s="1"/>
      <c r="P757" s="1"/>
      <c r="Q757" s="1"/>
      <c r="R757" s="1"/>
      <c r="S757" s="1"/>
    </row>
    <row r="758" spans="1:19" hidden="1" x14ac:dyDescent="0.4">
      <c r="A758" t="s">
        <v>1936</v>
      </c>
      <c r="B758" t="s">
        <v>1904</v>
      </c>
      <c r="C758" s="131">
        <v>32081</v>
      </c>
      <c r="D758" t="s">
        <v>1915</v>
      </c>
      <c r="F758" t="s">
        <v>645</v>
      </c>
      <c r="H758">
        <v>45</v>
      </c>
      <c r="J758" s="1">
        <v>2634.59</v>
      </c>
      <c r="K758" s="1"/>
      <c r="L758" s="1">
        <v>2634.59</v>
      </c>
      <c r="M758" s="1">
        <v>2387.4699999999998</v>
      </c>
      <c r="N758" s="1">
        <f t="shared" si="17"/>
        <v>58.546444444444447</v>
      </c>
      <c r="O758" s="1"/>
      <c r="P758" s="1"/>
      <c r="Q758" s="1"/>
      <c r="R758" s="1"/>
      <c r="S758" s="1"/>
    </row>
    <row r="759" spans="1:19" hidden="1" x14ac:dyDescent="0.4">
      <c r="A759" t="s">
        <v>1937</v>
      </c>
      <c r="B759" t="s">
        <v>1904</v>
      </c>
      <c r="C759" s="131">
        <v>32081</v>
      </c>
      <c r="D759" t="s">
        <v>1915</v>
      </c>
      <c r="F759" t="s">
        <v>645</v>
      </c>
      <c r="H759">
        <v>45</v>
      </c>
      <c r="J759" s="1">
        <v>2091.9299999999998</v>
      </c>
      <c r="K759" s="1"/>
      <c r="L759" s="1">
        <v>2091.9299999999998</v>
      </c>
      <c r="M759" s="1">
        <v>1895.87</v>
      </c>
      <c r="N759" s="1">
        <f t="shared" si="17"/>
        <v>46.487333333333332</v>
      </c>
      <c r="O759" s="1"/>
      <c r="P759" s="1"/>
      <c r="Q759" s="1"/>
      <c r="R759" s="1"/>
      <c r="S759" s="1"/>
    </row>
    <row r="760" spans="1:19" hidden="1" x14ac:dyDescent="0.4">
      <c r="A760" t="s">
        <v>1938</v>
      </c>
      <c r="B760" t="s">
        <v>1904</v>
      </c>
      <c r="C760" s="131">
        <v>32050</v>
      </c>
      <c r="D760" t="s">
        <v>1915</v>
      </c>
      <c r="F760" t="s">
        <v>645</v>
      </c>
      <c r="H760">
        <v>45</v>
      </c>
      <c r="J760" s="1">
        <v>3321.78</v>
      </c>
      <c r="K760" s="1"/>
      <c r="L760" s="1">
        <v>3321.78</v>
      </c>
      <c r="M760" s="1">
        <v>3017.15</v>
      </c>
      <c r="N760" s="1">
        <f t="shared" si="17"/>
        <v>73.817333333333337</v>
      </c>
      <c r="O760" s="1"/>
      <c r="P760" s="1"/>
      <c r="Q760" s="1"/>
      <c r="R760" s="1"/>
      <c r="S760" s="1"/>
    </row>
    <row r="761" spans="1:19" hidden="1" x14ac:dyDescent="0.4">
      <c r="A761" t="s">
        <v>1939</v>
      </c>
      <c r="B761" t="s">
        <v>1904</v>
      </c>
      <c r="C761" s="131">
        <v>32081</v>
      </c>
      <c r="D761" t="s">
        <v>1915</v>
      </c>
      <c r="F761" t="s">
        <v>645</v>
      </c>
      <c r="H761">
        <v>45</v>
      </c>
      <c r="J761" s="1">
        <v>257.77</v>
      </c>
      <c r="K761" s="1"/>
      <c r="L761" s="1">
        <v>257.77</v>
      </c>
      <c r="M761" s="1">
        <v>233.47</v>
      </c>
      <c r="N761" s="1">
        <f t="shared" si="17"/>
        <v>5.7282222222222217</v>
      </c>
      <c r="O761" s="1"/>
      <c r="P761" s="1"/>
      <c r="Q761" s="1"/>
      <c r="R761" s="1"/>
      <c r="S761" s="1"/>
    </row>
    <row r="762" spans="1:19" hidden="1" x14ac:dyDescent="0.4">
      <c r="A762" t="s">
        <v>1940</v>
      </c>
      <c r="B762" t="s">
        <v>1904</v>
      </c>
      <c r="C762" s="131">
        <v>32111</v>
      </c>
      <c r="D762" t="s">
        <v>1915</v>
      </c>
      <c r="F762" t="s">
        <v>645</v>
      </c>
      <c r="H762">
        <v>45</v>
      </c>
      <c r="J762" s="1">
        <v>1044.47</v>
      </c>
      <c r="K762" s="1"/>
      <c r="L762" s="1">
        <v>1044.47</v>
      </c>
      <c r="M762" s="1">
        <v>944.31</v>
      </c>
      <c r="N762" s="1">
        <f t="shared" si="17"/>
        <v>23.210444444444445</v>
      </c>
      <c r="O762" s="1"/>
      <c r="P762" s="1"/>
      <c r="Q762" s="1"/>
      <c r="R762" s="1"/>
      <c r="S762" s="1"/>
    </row>
    <row r="763" spans="1:19" hidden="1" x14ac:dyDescent="0.4">
      <c r="A763" t="s">
        <v>1941</v>
      </c>
      <c r="B763" t="s">
        <v>1904</v>
      </c>
      <c r="C763" s="131">
        <v>32081</v>
      </c>
      <c r="D763" t="s">
        <v>1915</v>
      </c>
      <c r="F763" t="s">
        <v>645</v>
      </c>
      <c r="H763">
        <v>45</v>
      </c>
      <c r="J763" s="1">
        <v>953.86</v>
      </c>
      <c r="K763" s="1"/>
      <c r="L763" s="1">
        <v>953.86</v>
      </c>
      <c r="M763" s="1">
        <v>864.56</v>
      </c>
      <c r="N763" s="1">
        <f t="shared" si="17"/>
        <v>21.196888888888889</v>
      </c>
      <c r="O763" s="1"/>
      <c r="P763" s="1"/>
      <c r="Q763" s="1"/>
      <c r="R763" s="1"/>
      <c r="S763" s="1"/>
    </row>
    <row r="764" spans="1:19" hidden="1" x14ac:dyDescent="0.4">
      <c r="A764" t="s">
        <v>1942</v>
      </c>
      <c r="B764" t="s">
        <v>1904</v>
      </c>
      <c r="C764" s="131">
        <v>32111</v>
      </c>
      <c r="D764" t="s">
        <v>1915</v>
      </c>
      <c r="F764" t="s">
        <v>645</v>
      </c>
      <c r="H764">
        <v>45</v>
      </c>
      <c r="J764" s="1">
        <v>669.05</v>
      </c>
      <c r="K764" s="1"/>
      <c r="L764" s="1">
        <v>669.05</v>
      </c>
      <c r="M764" s="1">
        <v>605.07000000000005</v>
      </c>
      <c r="N764" s="1">
        <f t="shared" si="17"/>
        <v>14.867777777777777</v>
      </c>
      <c r="O764" s="1"/>
      <c r="P764" s="1"/>
      <c r="Q764" s="1"/>
      <c r="R764" s="1"/>
      <c r="S764" s="1"/>
    </row>
    <row r="765" spans="1:19" hidden="1" x14ac:dyDescent="0.4">
      <c r="A765" t="s">
        <v>1943</v>
      </c>
      <c r="B765" t="s">
        <v>1904</v>
      </c>
      <c r="C765" s="131">
        <v>32111</v>
      </c>
      <c r="D765" t="s">
        <v>1915</v>
      </c>
      <c r="F765" t="s">
        <v>645</v>
      </c>
      <c r="H765">
        <v>45</v>
      </c>
      <c r="J765" s="1">
        <v>409.52</v>
      </c>
      <c r="K765" s="1"/>
      <c r="L765" s="1">
        <v>409.52</v>
      </c>
      <c r="M765" s="1">
        <v>370.35</v>
      </c>
      <c r="N765" s="1">
        <f t="shared" si="17"/>
        <v>9.1004444444444434</v>
      </c>
      <c r="O765" s="1"/>
      <c r="P765" s="1"/>
      <c r="Q765" s="1"/>
      <c r="R765" s="1"/>
      <c r="S765" s="1"/>
    </row>
    <row r="766" spans="1:19" hidden="1" x14ac:dyDescent="0.4">
      <c r="A766" t="s">
        <v>1944</v>
      </c>
      <c r="B766" t="s">
        <v>1904</v>
      </c>
      <c r="C766" s="131">
        <v>32111</v>
      </c>
      <c r="D766" t="s">
        <v>1945</v>
      </c>
      <c r="F766" t="s">
        <v>645</v>
      </c>
      <c r="H766">
        <v>45</v>
      </c>
      <c r="J766" s="1">
        <v>937.78</v>
      </c>
      <c r="K766" s="1"/>
      <c r="L766" s="1">
        <v>937.78</v>
      </c>
      <c r="M766" s="1">
        <v>847.78</v>
      </c>
      <c r="N766" s="1">
        <f t="shared" si="17"/>
        <v>20.839555555555556</v>
      </c>
      <c r="O766" s="1"/>
      <c r="P766" s="1"/>
      <c r="Q766" s="1"/>
      <c r="R766" s="1"/>
      <c r="S766" s="1"/>
    </row>
    <row r="767" spans="1:19" hidden="1" x14ac:dyDescent="0.4">
      <c r="A767" t="s">
        <v>1946</v>
      </c>
      <c r="B767" t="s">
        <v>1904</v>
      </c>
      <c r="C767" s="131">
        <v>32063</v>
      </c>
      <c r="D767" t="s">
        <v>1947</v>
      </c>
      <c r="F767" t="s">
        <v>645</v>
      </c>
      <c r="H767">
        <v>45</v>
      </c>
      <c r="J767" s="1">
        <v>117956.88</v>
      </c>
      <c r="K767" s="1"/>
      <c r="L767" s="1">
        <v>117956.88</v>
      </c>
      <c r="M767" s="1">
        <v>106898.35</v>
      </c>
      <c r="N767" s="1">
        <f t="shared" si="17"/>
        <v>2621.2640000000001</v>
      </c>
      <c r="O767" s="1"/>
      <c r="P767" s="1"/>
      <c r="Q767" s="1"/>
      <c r="R767" s="1"/>
      <c r="S767" s="1"/>
    </row>
    <row r="768" spans="1:19" hidden="1" x14ac:dyDescent="0.4">
      <c r="A768" t="s">
        <v>1948</v>
      </c>
      <c r="B768" t="s">
        <v>1904</v>
      </c>
      <c r="C768" s="131">
        <v>32119</v>
      </c>
      <c r="D768" t="s">
        <v>1949</v>
      </c>
      <c r="F768" t="s">
        <v>645</v>
      </c>
      <c r="H768">
        <v>45</v>
      </c>
      <c r="J768" s="1">
        <v>8233.83</v>
      </c>
      <c r="K768" s="1"/>
      <c r="L768" s="1">
        <v>8233.83</v>
      </c>
      <c r="M768" s="1">
        <v>7427.73</v>
      </c>
      <c r="N768" s="1">
        <f t="shared" si="17"/>
        <v>182.97399999999999</v>
      </c>
      <c r="O768" s="1"/>
      <c r="P768" s="1"/>
      <c r="Q768" s="1"/>
      <c r="R768" s="1"/>
      <c r="S768" s="1"/>
    </row>
    <row r="769" spans="1:19" hidden="1" x14ac:dyDescent="0.4">
      <c r="A769" t="s">
        <v>1950</v>
      </c>
      <c r="B769" t="s">
        <v>1904</v>
      </c>
      <c r="C769" s="131">
        <v>32050</v>
      </c>
      <c r="D769" t="s">
        <v>1951</v>
      </c>
      <c r="F769" t="s">
        <v>645</v>
      </c>
      <c r="H769">
        <v>45</v>
      </c>
      <c r="J769" s="1">
        <v>744</v>
      </c>
      <c r="K769" s="1"/>
      <c r="L769" s="1">
        <v>744</v>
      </c>
      <c r="M769" s="1">
        <v>675.8</v>
      </c>
      <c r="N769" s="1">
        <f t="shared" si="17"/>
        <v>16.533333333333335</v>
      </c>
      <c r="O769" s="1"/>
      <c r="P769" s="1"/>
      <c r="Q769" s="1"/>
      <c r="R769" s="1"/>
      <c r="S769" s="1"/>
    </row>
    <row r="770" spans="1:19" hidden="1" x14ac:dyDescent="0.4">
      <c r="A770" t="s">
        <v>1952</v>
      </c>
      <c r="B770" t="s">
        <v>1904</v>
      </c>
      <c r="C770" s="131">
        <v>32081</v>
      </c>
      <c r="D770" t="s">
        <v>1953</v>
      </c>
      <c r="F770" t="s">
        <v>645</v>
      </c>
      <c r="H770">
        <v>45</v>
      </c>
      <c r="J770" s="1">
        <v>1720.66</v>
      </c>
      <c r="K770" s="1"/>
      <c r="L770" s="1">
        <v>1720.66</v>
      </c>
      <c r="M770" s="1">
        <v>1559.47</v>
      </c>
      <c r="N770" s="1">
        <f t="shared" si="17"/>
        <v>38.236888888888892</v>
      </c>
      <c r="O770" s="35"/>
    </row>
    <row r="771" spans="1:19" hidden="1" x14ac:dyDescent="0.4">
      <c r="A771" t="s">
        <v>1954</v>
      </c>
      <c r="B771" t="s">
        <v>1904</v>
      </c>
      <c r="C771" s="131">
        <v>32111</v>
      </c>
      <c r="D771" t="s">
        <v>1757</v>
      </c>
      <c r="F771" t="s">
        <v>645</v>
      </c>
      <c r="H771">
        <v>45</v>
      </c>
      <c r="J771" s="1">
        <v>930</v>
      </c>
      <c r="K771" s="1"/>
      <c r="L771" s="1">
        <v>930</v>
      </c>
      <c r="M771" s="1">
        <v>840.88</v>
      </c>
      <c r="N771" s="1">
        <f t="shared" si="17"/>
        <v>20.666666666666668</v>
      </c>
      <c r="O771" s="1"/>
      <c r="R771" s="35"/>
    </row>
    <row r="772" spans="1:19" hidden="1" x14ac:dyDescent="0.4">
      <c r="A772" t="s">
        <v>1955</v>
      </c>
      <c r="B772" t="s">
        <v>1904</v>
      </c>
      <c r="C772" s="131">
        <v>32142</v>
      </c>
      <c r="D772" t="s">
        <v>1915</v>
      </c>
      <c r="F772" t="s">
        <v>645</v>
      </c>
      <c r="H772">
        <v>45</v>
      </c>
      <c r="J772" s="1">
        <v>318.93</v>
      </c>
      <c r="K772" s="1"/>
      <c r="L772" s="1">
        <v>318.93</v>
      </c>
      <c r="M772" s="1">
        <v>287.58</v>
      </c>
      <c r="N772" s="1">
        <f t="shared" si="17"/>
        <v>7.0873333333333335</v>
      </c>
      <c r="O772" s="1"/>
      <c r="P772" s="1"/>
      <c r="Q772" s="1"/>
    </row>
    <row r="773" spans="1:19" hidden="1" x14ac:dyDescent="0.4">
      <c r="A773" t="s">
        <v>1956</v>
      </c>
      <c r="B773" t="s">
        <v>1904</v>
      </c>
      <c r="C773" s="131">
        <v>32142</v>
      </c>
      <c r="D773" t="s">
        <v>1915</v>
      </c>
      <c r="F773" t="s">
        <v>645</v>
      </c>
      <c r="H773">
        <v>45</v>
      </c>
      <c r="J773" s="1">
        <v>830.66</v>
      </c>
      <c r="K773" s="1"/>
      <c r="L773" s="1">
        <v>830.66</v>
      </c>
      <c r="M773" s="1">
        <v>749.45</v>
      </c>
      <c r="N773" s="1">
        <f t="shared" ref="N773:N836" si="18">L773/H773</f>
        <v>18.45911111111111</v>
      </c>
    </row>
    <row r="774" spans="1:19" hidden="1" x14ac:dyDescent="0.4">
      <c r="A774" t="s">
        <v>1957</v>
      </c>
      <c r="B774" t="s">
        <v>1904</v>
      </c>
      <c r="C774" s="131">
        <v>32142</v>
      </c>
      <c r="D774" t="s">
        <v>1915</v>
      </c>
      <c r="F774" t="s">
        <v>645</v>
      </c>
      <c r="H774">
        <v>45</v>
      </c>
      <c r="J774" s="1">
        <v>1527.9</v>
      </c>
      <c r="K774" s="1"/>
      <c r="L774" s="1">
        <v>1527.9</v>
      </c>
      <c r="M774" s="1">
        <v>1378.38</v>
      </c>
      <c r="N774" s="1">
        <f t="shared" si="18"/>
        <v>33.953333333333333</v>
      </c>
      <c r="O774" s="1"/>
      <c r="P774" s="1"/>
      <c r="Q774" s="1"/>
    </row>
    <row r="775" spans="1:19" hidden="1" x14ac:dyDescent="0.4">
      <c r="A775" t="s">
        <v>1958</v>
      </c>
      <c r="B775" t="s">
        <v>1904</v>
      </c>
      <c r="C775" s="131">
        <v>32142</v>
      </c>
      <c r="D775" t="s">
        <v>1959</v>
      </c>
      <c r="F775" t="s">
        <v>645</v>
      </c>
      <c r="H775">
        <v>45</v>
      </c>
      <c r="J775" s="1">
        <v>2093.08</v>
      </c>
      <c r="K775" s="1"/>
      <c r="L775" s="1">
        <v>2093.08</v>
      </c>
      <c r="M775" s="1">
        <v>1888.24</v>
      </c>
      <c r="N775" s="1">
        <f t="shared" si="18"/>
        <v>46.512888888888888</v>
      </c>
      <c r="Q775" s="35"/>
    </row>
    <row r="776" spans="1:19" hidden="1" x14ac:dyDescent="0.4">
      <c r="A776" t="s">
        <v>1960</v>
      </c>
      <c r="B776" t="s">
        <v>1904</v>
      </c>
      <c r="C776" s="131">
        <v>32409</v>
      </c>
      <c r="D776" t="s">
        <v>1961</v>
      </c>
      <c r="F776" t="s">
        <v>645</v>
      </c>
      <c r="H776">
        <v>45</v>
      </c>
      <c r="J776" s="1">
        <v>77592.960000000006</v>
      </c>
      <c r="K776" s="1"/>
      <c r="L776" s="1">
        <v>77592.960000000006</v>
      </c>
      <c r="M776" s="1">
        <v>68540.31</v>
      </c>
      <c r="N776" s="1">
        <f t="shared" si="18"/>
        <v>1724.2880000000002</v>
      </c>
    </row>
    <row r="777" spans="1:19" hidden="1" x14ac:dyDescent="0.4">
      <c r="A777" t="s">
        <v>1962</v>
      </c>
      <c r="B777" t="s">
        <v>1904</v>
      </c>
      <c r="C777" s="131">
        <v>32873</v>
      </c>
      <c r="D777" t="s">
        <v>1961</v>
      </c>
      <c r="F777" t="s">
        <v>645</v>
      </c>
      <c r="H777">
        <v>45</v>
      </c>
      <c r="J777" s="1">
        <v>140168.5</v>
      </c>
      <c r="K777" s="1"/>
      <c r="L777" s="1">
        <v>140168.5</v>
      </c>
      <c r="M777" s="1">
        <v>119435.16</v>
      </c>
      <c r="N777" s="1">
        <f t="shared" si="18"/>
        <v>3114.8555555555554</v>
      </c>
    </row>
    <row r="778" spans="1:19" hidden="1" x14ac:dyDescent="0.4">
      <c r="A778" t="s">
        <v>1963</v>
      </c>
      <c r="B778" t="s">
        <v>1904</v>
      </c>
      <c r="C778" s="131">
        <v>32873</v>
      </c>
      <c r="D778" t="s">
        <v>1961</v>
      </c>
      <c r="F778" t="s">
        <v>645</v>
      </c>
      <c r="H778">
        <v>45</v>
      </c>
      <c r="J778" s="1">
        <v>156610.12</v>
      </c>
      <c r="K778" s="1"/>
      <c r="L778" s="1">
        <v>156610.12</v>
      </c>
      <c r="M778" s="1">
        <v>133444.76999999999</v>
      </c>
      <c r="N778" s="1">
        <f t="shared" si="18"/>
        <v>3480.2248888888889</v>
      </c>
    </row>
    <row r="779" spans="1:19" hidden="1" x14ac:dyDescent="0.4">
      <c r="A779" t="s">
        <v>1964</v>
      </c>
      <c r="B779" t="s">
        <v>1904</v>
      </c>
      <c r="C779" s="131">
        <v>32689</v>
      </c>
      <c r="D779" t="s">
        <v>1965</v>
      </c>
      <c r="F779" t="s">
        <v>645</v>
      </c>
      <c r="H779">
        <v>45</v>
      </c>
      <c r="J779" s="1">
        <v>70393.17</v>
      </c>
      <c r="K779" s="1"/>
      <c r="L779" s="1">
        <v>70393.17</v>
      </c>
      <c r="M779" s="1">
        <v>60860.79</v>
      </c>
      <c r="N779" s="1">
        <f t="shared" si="18"/>
        <v>1564.2926666666667</v>
      </c>
    </row>
    <row r="780" spans="1:19" hidden="1" x14ac:dyDescent="0.4">
      <c r="A780" t="s">
        <v>1966</v>
      </c>
      <c r="B780" t="s">
        <v>1904</v>
      </c>
      <c r="C780" s="131">
        <v>33054</v>
      </c>
      <c r="D780" t="s">
        <v>1967</v>
      </c>
      <c r="F780" t="s">
        <v>645</v>
      </c>
      <c r="H780">
        <v>45</v>
      </c>
      <c r="J780" s="1">
        <v>61159.02</v>
      </c>
      <c r="K780" s="1"/>
      <c r="L780" s="1">
        <v>61159.02</v>
      </c>
      <c r="M780" s="1">
        <v>51348.23</v>
      </c>
      <c r="N780" s="1">
        <f t="shared" si="18"/>
        <v>1359.0893333333333</v>
      </c>
    </row>
    <row r="781" spans="1:19" hidden="1" x14ac:dyDescent="0.4">
      <c r="A781" t="s">
        <v>1968</v>
      </c>
      <c r="B781" t="s">
        <v>1904</v>
      </c>
      <c r="C781" s="131">
        <v>33238</v>
      </c>
      <c r="D781" t="s">
        <v>1961</v>
      </c>
      <c r="F781" t="s">
        <v>645</v>
      </c>
      <c r="H781">
        <v>45</v>
      </c>
      <c r="J781" s="1">
        <v>181044.61</v>
      </c>
      <c r="K781" s="1"/>
      <c r="L781" s="1">
        <v>181044.61</v>
      </c>
      <c r="M781" s="1">
        <v>149739.10999999999</v>
      </c>
      <c r="N781" s="1">
        <f t="shared" si="18"/>
        <v>4023.2135555555551</v>
      </c>
    </row>
    <row r="782" spans="1:19" hidden="1" x14ac:dyDescent="0.4">
      <c r="A782" t="s">
        <v>1969</v>
      </c>
      <c r="B782" t="s">
        <v>1904</v>
      </c>
      <c r="C782" s="131">
        <v>33419</v>
      </c>
      <c r="D782" t="s">
        <v>1970</v>
      </c>
      <c r="F782" t="s">
        <v>645</v>
      </c>
      <c r="H782">
        <v>45</v>
      </c>
      <c r="J782" s="1">
        <v>55441.74</v>
      </c>
      <c r="K782" s="1"/>
      <c r="L782" s="1">
        <v>55441.74</v>
      </c>
      <c r="M782" s="1">
        <v>45161.81</v>
      </c>
      <c r="N782" s="1">
        <f t="shared" si="18"/>
        <v>1232.0386666666666</v>
      </c>
    </row>
    <row r="783" spans="1:19" hidden="1" x14ac:dyDescent="0.4">
      <c r="A783" t="s">
        <v>1971</v>
      </c>
      <c r="B783" t="s">
        <v>1904</v>
      </c>
      <c r="C783" s="131">
        <v>33785</v>
      </c>
      <c r="D783" t="s">
        <v>1972</v>
      </c>
      <c r="F783" t="s">
        <v>645</v>
      </c>
      <c r="H783">
        <v>45</v>
      </c>
      <c r="J783" s="1">
        <v>67384.28</v>
      </c>
      <c r="K783" s="1"/>
      <c r="L783" s="1">
        <v>67384.28</v>
      </c>
      <c r="M783" s="1">
        <v>53205.599999999999</v>
      </c>
      <c r="N783" s="1">
        <f t="shared" si="18"/>
        <v>1497.4284444444445</v>
      </c>
    </row>
    <row r="784" spans="1:19" hidden="1" x14ac:dyDescent="0.4">
      <c r="A784" t="s">
        <v>1973</v>
      </c>
      <c r="B784" t="s">
        <v>1904</v>
      </c>
      <c r="C784" s="131">
        <v>33756</v>
      </c>
      <c r="D784" t="s">
        <v>1961</v>
      </c>
      <c r="F784" t="s">
        <v>645</v>
      </c>
      <c r="H784">
        <v>45</v>
      </c>
      <c r="J784" s="1">
        <v>126156.86</v>
      </c>
      <c r="K784" s="1"/>
      <c r="L784" s="1">
        <v>126156.86</v>
      </c>
      <c r="M784" s="1">
        <v>99611.31</v>
      </c>
      <c r="N784" s="1">
        <f t="shared" si="18"/>
        <v>2803.4857777777779</v>
      </c>
    </row>
    <row r="785" spans="1:14" hidden="1" x14ac:dyDescent="0.4">
      <c r="A785" t="s">
        <v>1974</v>
      </c>
      <c r="B785" t="s">
        <v>1904</v>
      </c>
      <c r="C785" s="131">
        <v>34150</v>
      </c>
      <c r="D785" t="s">
        <v>1975</v>
      </c>
      <c r="F785" t="s">
        <v>645</v>
      </c>
      <c r="H785">
        <v>45</v>
      </c>
      <c r="J785" s="1">
        <v>67697.19</v>
      </c>
      <c r="K785" s="1"/>
      <c r="L785" s="1">
        <v>67697.19</v>
      </c>
      <c r="M785" s="1">
        <v>51619.11</v>
      </c>
      <c r="N785" s="1">
        <f t="shared" si="18"/>
        <v>1504.3820000000001</v>
      </c>
    </row>
    <row r="786" spans="1:14" hidden="1" x14ac:dyDescent="0.4">
      <c r="A786" t="s">
        <v>1976</v>
      </c>
      <c r="B786" t="s">
        <v>1904</v>
      </c>
      <c r="C786" s="131">
        <v>34349</v>
      </c>
      <c r="D786" t="s">
        <v>1977</v>
      </c>
      <c r="F786" t="s">
        <v>645</v>
      </c>
      <c r="H786">
        <v>45</v>
      </c>
      <c r="J786" s="1">
        <v>2438</v>
      </c>
      <c r="K786" s="1"/>
      <c r="L786" s="1">
        <v>2438</v>
      </c>
      <c r="M786" s="1">
        <v>1828.5</v>
      </c>
      <c r="N786" s="1">
        <f t="shared" si="18"/>
        <v>54.177777777777777</v>
      </c>
    </row>
    <row r="787" spans="1:14" hidden="1" x14ac:dyDescent="0.4">
      <c r="A787" t="s">
        <v>1978</v>
      </c>
      <c r="B787" t="s">
        <v>1904</v>
      </c>
      <c r="C787" s="131">
        <v>34380</v>
      </c>
      <c r="D787" t="s">
        <v>1979</v>
      </c>
      <c r="F787" t="s">
        <v>645</v>
      </c>
      <c r="H787">
        <v>45</v>
      </c>
      <c r="J787" s="1">
        <v>5220</v>
      </c>
      <c r="K787" s="1"/>
      <c r="L787" s="1">
        <v>5220</v>
      </c>
      <c r="M787" s="1">
        <v>3893.25</v>
      </c>
      <c r="N787" s="1">
        <f t="shared" si="18"/>
        <v>116</v>
      </c>
    </row>
    <row r="788" spans="1:14" hidden="1" x14ac:dyDescent="0.4">
      <c r="A788" t="s">
        <v>1980</v>
      </c>
      <c r="B788" t="s">
        <v>1904</v>
      </c>
      <c r="C788" s="131">
        <v>34408</v>
      </c>
      <c r="D788" t="s">
        <v>1981</v>
      </c>
      <c r="F788" t="s">
        <v>645</v>
      </c>
      <c r="H788">
        <v>45</v>
      </c>
      <c r="J788" s="1">
        <v>5590</v>
      </c>
      <c r="K788" s="1"/>
      <c r="L788" s="1">
        <v>5590</v>
      </c>
      <c r="M788" s="1">
        <v>4169.21</v>
      </c>
      <c r="N788" s="1">
        <f t="shared" si="18"/>
        <v>124.22222222222223</v>
      </c>
    </row>
    <row r="789" spans="1:14" hidden="1" x14ac:dyDescent="0.4">
      <c r="A789" t="s">
        <v>1982</v>
      </c>
      <c r="B789" t="s">
        <v>1904</v>
      </c>
      <c r="C789" s="131">
        <v>34439</v>
      </c>
      <c r="D789" t="s">
        <v>1983</v>
      </c>
      <c r="F789" t="s">
        <v>645</v>
      </c>
      <c r="H789">
        <v>45</v>
      </c>
      <c r="J789" s="1">
        <v>9976</v>
      </c>
      <c r="K789" s="1"/>
      <c r="L789" s="1">
        <v>9976</v>
      </c>
      <c r="M789" s="1">
        <v>7419.65</v>
      </c>
      <c r="N789" s="1">
        <f t="shared" si="18"/>
        <v>221.6888888888889</v>
      </c>
    </row>
    <row r="790" spans="1:14" hidden="1" x14ac:dyDescent="0.4">
      <c r="A790" t="s">
        <v>1984</v>
      </c>
      <c r="B790" t="s">
        <v>1904</v>
      </c>
      <c r="C790" s="131">
        <v>34463</v>
      </c>
      <c r="D790" t="s">
        <v>1961</v>
      </c>
      <c r="F790" t="s">
        <v>645</v>
      </c>
      <c r="H790">
        <v>45</v>
      </c>
      <c r="J790" s="1">
        <v>101349.92</v>
      </c>
      <c r="K790" s="1"/>
      <c r="L790" s="1">
        <v>101349.92</v>
      </c>
      <c r="M790" s="1">
        <v>75167.92</v>
      </c>
      <c r="N790" s="1">
        <f t="shared" si="18"/>
        <v>2252.2204444444442</v>
      </c>
    </row>
    <row r="791" spans="1:14" hidden="1" x14ac:dyDescent="0.4">
      <c r="A791" t="s">
        <v>1985</v>
      </c>
      <c r="B791" t="s">
        <v>1904</v>
      </c>
      <c r="C791" s="131">
        <v>34469</v>
      </c>
      <c r="D791" t="s">
        <v>1986</v>
      </c>
      <c r="F791" t="s">
        <v>645</v>
      </c>
      <c r="H791">
        <v>45</v>
      </c>
      <c r="J791" s="1">
        <v>9380</v>
      </c>
      <c r="K791" s="1"/>
      <c r="L791" s="1">
        <v>9380</v>
      </c>
      <c r="M791" s="1">
        <v>6956.83</v>
      </c>
      <c r="N791" s="1">
        <f t="shared" si="18"/>
        <v>208.44444444444446</v>
      </c>
    </row>
    <row r="792" spans="1:14" hidden="1" x14ac:dyDescent="0.4">
      <c r="A792" t="s">
        <v>1987</v>
      </c>
      <c r="B792" t="s">
        <v>1904</v>
      </c>
      <c r="C792" s="131">
        <v>34500</v>
      </c>
      <c r="D792" t="s">
        <v>1988</v>
      </c>
      <c r="F792" t="s">
        <v>645</v>
      </c>
      <c r="H792">
        <v>45</v>
      </c>
      <c r="J792" s="1">
        <v>15360</v>
      </c>
      <c r="K792" s="1"/>
      <c r="L792" s="1">
        <v>15360</v>
      </c>
      <c r="M792" s="1">
        <v>11360</v>
      </c>
      <c r="N792" s="1">
        <f t="shared" si="18"/>
        <v>341.33333333333331</v>
      </c>
    </row>
    <row r="793" spans="1:14" hidden="1" x14ac:dyDescent="0.4">
      <c r="A793" t="s">
        <v>1989</v>
      </c>
      <c r="B793" t="s">
        <v>1904</v>
      </c>
      <c r="C793" s="131">
        <v>34530</v>
      </c>
      <c r="D793" t="s">
        <v>1990</v>
      </c>
      <c r="F793" t="s">
        <v>645</v>
      </c>
      <c r="H793">
        <v>45</v>
      </c>
      <c r="J793" s="1">
        <v>5715</v>
      </c>
      <c r="K793" s="1"/>
      <c r="L793" s="1">
        <v>5715</v>
      </c>
      <c r="M793" s="1">
        <v>4214.9399999999996</v>
      </c>
      <c r="N793" s="1">
        <f t="shared" si="18"/>
        <v>127</v>
      </c>
    </row>
    <row r="794" spans="1:14" hidden="1" x14ac:dyDescent="0.4">
      <c r="A794" t="s">
        <v>1991</v>
      </c>
      <c r="B794" t="s">
        <v>1904</v>
      </c>
      <c r="C794" s="131">
        <v>34561</v>
      </c>
      <c r="D794" t="s">
        <v>1992</v>
      </c>
      <c r="F794" t="s">
        <v>645</v>
      </c>
      <c r="H794">
        <v>45</v>
      </c>
      <c r="J794" s="1">
        <v>8970</v>
      </c>
      <c r="K794" s="1"/>
      <c r="L794" s="1">
        <v>8970</v>
      </c>
      <c r="M794" s="1">
        <v>6596.69</v>
      </c>
      <c r="N794" s="1">
        <f t="shared" si="18"/>
        <v>199.33333333333334</v>
      </c>
    </row>
    <row r="795" spans="1:14" hidden="1" x14ac:dyDescent="0.4">
      <c r="A795" t="s">
        <v>1993</v>
      </c>
      <c r="B795" t="s">
        <v>1904</v>
      </c>
      <c r="C795" s="131">
        <v>34592</v>
      </c>
      <c r="D795" t="s">
        <v>1994</v>
      </c>
      <c r="F795" t="s">
        <v>645</v>
      </c>
      <c r="H795">
        <v>45</v>
      </c>
      <c r="J795" s="1">
        <v>7405</v>
      </c>
      <c r="K795" s="1"/>
      <c r="L795" s="1">
        <v>7405</v>
      </c>
      <c r="M795" s="1">
        <v>5430.46</v>
      </c>
      <c r="N795" s="1">
        <f t="shared" si="18"/>
        <v>164.55555555555554</v>
      </c>
    </row>
    <row r="796" spans="1:14" hidden="1" x14ac:dyDescent="0.4">
      <c r="A796" t="s">
        <v>1995</v>
      </c>
      <c r="B796" t="s">
        <v>1904</v>
      </c>
      <c r="C796" s="131">
        <v>34622</v>
      </c>
      <c r="D796" t="s">
        <v>1996</v>
      </c>
      <c r="F796" t="s">
        <v>645</v>
      </c>
      <c r="H796">
        <v>45</v>
      </c>
      <c r="J796" s="1">
        <v>7980</v>
      </c>
      <c r="K796" s="1"/>
      <c r="L796" s="1">
        <v>7980</v>
      </c>
      <c r="M796" s="1">
        <v>5835.38</v>
      </c>
      <c r="N796" s="1">
        <f t="shared" si="18"/>
        <v>177.33333333333334</v>
      </c>
    </row>
    <row r="797" spans="1:14" hidden="1" x14ac:dyDescent="0.4">
      <c r="A797" t="s">
        <v>1997</v>
      </c>
      <c r="B797" t="s">
        <v>1904</v>
      </c>
      <c r="C797" s="131">
        <v>34653</v>
      </c>
      <c r="D797" t="s">
        <v>1998</v>
      </c>
      <c r="F797" t="s">
        <v>645</v>
      </c>
      <c r="H797">
        <v>45</v>
      </c>
      <c r="J797" s="1">
        <v>7952</v>
      </c>
      <c r="K797" s="1"/>
      <c r="L797" s="1">
        <v>7952</v>
      </c>
      <c r="M797" s="1">
        <v>5798.33</v>
      </c>
      <c r="N797" s="1">
        <f t="shared" si="18"/>
        <v>176.71111111111111</v>
      </c>
    </row>
    <row r="798" spans="1:14" hidden="1" x14ac:dyDescent="0.4">
      <c r="A798" t="s">
        <v>1999</v>
      </c>
      <c r="B798" t="s">
        <v>1904</v>
      </c>
      <c r="C798" s="131">
        <v>34683</v>
      </c>
      <c r="D798" t="s">
        <v>2000</v>
      </c>
      <c r="F798" t="s">
        <v>645</v>
      </c>
      <c r="H798">
        <v>45</v>
      </c>
      <c r="J798" s="1">
        <v>7097.91</v>
      </c>
      <c r="K798" s="1"/>
      <c r="L798" s="1">
        <v>7097.91</v>
      </c>
      <c r="M798" s="1">
        <v>5160.84</v>
      </c>
      <c r="N798" s="1">
        <f t="shared" si="18"/>
        <v>157.73133333333334</v>
      </c>
    </row>
    <row r="799" spans="1:14" hidden="1" x14ac:dyDescent="0.4">
      <c r="A799" t="s">
        <v>2001</v>
      </c>
      <c r="B799" t="s">
        <v>1904</v>
      </c>
      <c r="C799" s="131">
        <v>34500</v>
      </c>
      <c r="D799" t="s">
        <v>1988</v>
      </c>
      <c r="F799" t="s">
        <v>645</v>
      </c>
      <c r="H799">
        <v>45</v>
      </c>
      <c r="J799" s="1">
        <v>6236</v>
      </c>
      <c r="K799" s="1"/>
      <c r="L799" s="1">
        <v>6236</v>
      </c>
      <c r="M799" s="1">
        <v>4612.04</v>
      </c>
      <c r="N799" s="1">
        <f t="shared" si="18"/>
        <v>138.57777777777778</v>
      </c>
    </row>
    <row r="800" spans="1:14" hidden="1" x14ac:dyDescent="0.4">
      <c r="A800" t="s">
        <v>2002</v>
      </c>
      <c r="B800" t="s">
        <v>1904</v>
      </c>
      <c r="C800" s="131">
        <v>34730</v>
      </c>
      <c r="D800" t="s">
        <v>1912</v>
      </c>
      <c r="F800" t="s">
        <v>645</v>
      </c>
      <c r="H800">
        <v>45</v>
      </c>
      <c r="J800" s="1">
        <v>6634.8</v>
      </c>
      <c r="K800" s="1"/>
      <c r="L800" s="1">
        <v>6634.8</v>
      </c>
      <c r="M800" s="1">
        <v>4810.2299999999996</v>
      </c>
      <c r="N800" s="1">
        <f t="shared" si="18"/>
        <v>147.44</v>
      </c>
    </row>
    <row r="801" spans="1:14" hidden="1" x14ac:dyDescent="0.4">
      <c r="A801" t="s">
        <v>2003</v>
      </c>
      <c r="B801" t="s">
        <v>1904</v>
      </c>
      <c r="C801" s="131">
        <v>34731</v>
      </c>
      <c r="D801" t="s">
        <v>1912</v>
      </c>
      <c r="F801" t="s">
        <v>645</v>
      </c>
      <c r="H801">
        <v>45</v>
      </c>
      <c r="J801" s="1">
        <v>3285</v>
      </c>
      <c r="K801" s="1"/>
      <c r="L801" s="1">
        <v>3285</v>
      </c>
      <c r="M801" s="1">
        <v>2374.91</v>
      </c>
      <c r="N801" s="1">
        <f t="shared" si="18"/>
        <v>73</v>
      </c>
    </row>
    <row r="802" spans="1:14" hidden="1" x14ac:dyDescent="0.4">
      <c r="A802" t="s">
        <v>2004</v>
      </c>
      <c r="B802" t="s">
        <v>1904</v>
      </c>
      <c r="C802" s="131">
        <v>34789</v>
      </c>
      <c r="D802" t="s">
        <v>2005</v>
      </c>
      <c r="F802" t="s">
        <v>645</v>
      </c>
      <c r="H802">
        <v>45</v>
      </c>
      <c r="J802" s="1">
        <v>6410</v>
      </c>
      <c r="K802" s="1"/>
      <c r="L802" s="1">
        <v>6410</v>
      </c>
      <c r="M802" s="1">
        <v>4620.54</v>
      </c>
      <c r="N802" s="1">
        <f t="shared" si="18"/>
        <v>142.44444444444446</v>
      </c>
    </row>
    <row r="803" spans="1:14" hidden="1" x14ac:dyDescent="0.4">
      <c r="A803" t="s">
        <v>2006</v>
      </c>
      <c r="B803" t="s">
        <v>1904</v>
      </c>
      <c r="C803" s="131">
        <v>34790</v>
      </c>
      <c r="D803" t="s">
        <v>2007</v>
      </c>
      <c r="F803" t="s">
        <v>645</v>
      </c>
      <c r="H803">
        <v>45</v>
      </c>
      <c r="J803" s="1">
        <v>7049.31</v>
      </c>
      <c r="K803" s="1"/>
      <c r="L803" s="1">
        <v>7049.31</v>
      </c>
      <c r="M803" s="1">
        <v>5066.6099999999997</v>
      </c>
      <c r="N803" s="1">
        <f t="shared" si="18"/>
        <v>156.65133333333335</v>
      </c>
    </row>
    <row r="804" spans="1:14" hidden="1" x14ac:dyDescent="0.4">
      <c r="A804" t="s">
        <v>2008</v>
      </c>
      <c r="B804" t="s">
        <v>1904</v>
      </c>
      <c r="C804" s="131">
        <v>34820</v>
      </c>
      <c r="D804" t="s">
        <v>2009</v>
      </c>
      <c r="F804" t="s">
        <v>645</v>
      </c>
      <c r="H804">
        <v>45</v>
      </c>
      <c r="J804" s="1">
        <v>8188</v>
      </c>
      <c r="K804" s="1"/>
      <c r="L804" s="1">
        <v>8188</v>
      </c>
      <c r="M804" s="1">
        <v>5868.07</v>
      </c>
      <c r="N804" s="1">
        <f t="shared" si="18"/>
        <v>181.95555555555555</v>
      </c>
    </row>
    <row r="805" spans="1:14" hidden="1" x14ac:dyDescent="0.4">
      <c r="A805" t="s">
        <v>2010</v>
      </c>
      <c r="B805" t="s">
        <v>1904</v>
      </c>
      <c r="C805" s="131">
        <v>34851</v>
      </c>
      <c r="D805" t="s">
        <v>2011</v>
      </c>
      <c r="F805" t="s">
        <v>645</v>
      </c>
      <c r="H805">
        <v>45</v>
      </c>
      <c r="J805" s="1">
        <v>9823.1</v>
      </c>
      <c r="K805" s="1"/>
      <c r="L805" s="1">
        <v>9823.1</v>
      </c>
      <c r="M805" s="1">
        <v>7019.49</v>
      </c>
      <c r="N805" s="1">
        <f t="shared" si="18"/>
        <v>218.29111111111112</v>
      </c>
    </row>
    <row r="806" spans="1:14" hidden="1" x14ac:dyDescent="0.4">
      <c r="A806" t="s">
        <v>2012</v>
      </c>
      <c r="B806" t="s">
        <v>1904</v>
      </c>
      <c r="C806" s="131">
        <v>34881</v>
      </c>
      <c r="D806" t="s">
        <v>2013</v>
      </c>
      <c r="F806" t="s">
        <v>645</v>
      </c>
      <c r="H806">
        <v>45</v>
      </c>
      <c r="J806" s="1">
        <v>4956.5</v>
      </c>
      <c r="K806" s="1"/>
      <c r="L806" s="1">
        <v>4956.5</v>
      </c>
      <c r="M806" s="1">
        <v>3531.44</v>
      </c>
      <c r="N806" s="1">
        <f t="shared" si="18"/>
        <v>110.14444444444445</v>
      </c>
    </row>
    <row r="807" spans="1:14" hidden="1" x14ac:dyDescent="0.4">
      <c r="A807" t="s">
        <v>2014</v>
      </c>
      <c r="B807" t="s">
        <v>1904</v>
      </c>
      <c r="C807" s="131">
        <v>34912</v>
      </c>
      <c r="D807" t="s">
        <v>2015</v>
      </c>
      <c r="F807" t="s">
        <v>645</v>
      </c>
      <c r="H807">
        <v>45</v>
      </c>
      <c r="J807" s="1">
        <v>5451</v>
      </c>
      <c r="K807" s="1"/>
      <c r="L807" s="1">
        <v>5451</v>
      </c>
      <c r="M807" s="1">
        <v>3872.61</v>
      </c>
      <c r="N807" s="1">
        <f t="shared" si="18"/>
        <v>121.13333333333334</v>
      </c>
    </row>
    <row r="808" spans="1:14" hidden="1" x14ac:dyDescent="0.4">
      <c r="A808" t="s">
        <v>2016</v>
      </c>
      <c r="B808" t="s">
        <v>1904</v>
      </c>
      <c r="C808" s="131">
        <v>34943</v>
      </c>
      <c r="D808" t="s">
        <v>2017</v>
      </c>
      <c r="F808" t="s">
        <v>645</v>
      </c>
      <c r="H808">
        <v>45</v>
      </c>
      <c r="J808" s="1">
        <v>4381.5</v>
      </c>
      <c r="K808" s="1"/>
      <c r="L808" s="1">
        <v>4381.5</v>
      </c>
      <c r="M808" s="1">
        <v>3103.63</v>
      </c>
      <c r="N808" s="1">
        <f t="shared" si="18"/>
        <v>97.36666666666666</v>
      </c>
    </row>
    <row r="809" spans="1:14" hidden="1" x14ac:dyDescent="0.4">
      <c r="A809" t="s">
        <v>2018</v>
      </c>
      <c r="B809" t="s">
        <v>1904</v>
      </c>
      <c r="C809" s="131">
        <v>34973</v>
      </c>
      <c r="D809" t="s">
        <v>2019</v>
      </c>
      <c r="F809" t="s">
        <v>645</v>
      </c>
      <c r="H809">
        <v>45</v>
      </c>
      <c r="J809" s="1">
        <v>8280</v>
      </c>
      <c r="K809" s="1"/>
      <c r="L809" s="1">
        <v>8280</v>
      </c>
      <c r="M809" s="1">
        <v>5847.75</v>
      </c>
      <c r="N809" s="1">
        <f t="shared" si="18"/>
        <v>184</v>
      </c>
    </row>
    <row r="810" spans="1:14" hidden="1" x14ac:dyDescent="0.4">
      <c r="A810" t="s">
        <v>2020</v>
      </c>
      <c r="B810" t="s">
        <v>1904</v>
      </c>
      <c r="C810" s="131">
        <v>35004</v>
      </c>
      <c r="D810" t="s">
        <v>2021</v>
      </c>
      <c r="F810" t="s">
        <v>645</v>
      </c>
      <c r="H810">
        <v>45</v>
      </c>
      <c r="J810" s="1">
        <v>6141</v>
      </c>
      <c r="K810" s="1"/>
      <c r="L810" s="1">
        <v>6141</v>
      </c>
      <c r="M810" s="1">
        <v>4324.42</v>
      </c>
      <c r="N810" s="1">
        <f t="shared" si="18"/>
        <v>136.46666666666667</v>
      </c>
    </row>
    <row r="811" spans="1:14" hidden="1" x14ac:dyDescent="0.4">
      <c r="A811" t="s">
        <v>2022</v>
      </c>
      <c r="B811" t="s">
        <v>1904</v>
      </c>
      <c r="C811" s="131">
        <v>35034</v>
      </c>
      <c r="D811" t="s">
        <v>2023</v>
      </c>
      <c r="F811" t="s">
        <v>645</v>
      </c>
      <c r="H811">
        <v>45</v>
      </c>
      <c r="J811" s="1">
        <v>2346</v>
      </c>
      <c r="K811" s="1"/>
      <c r="L811" s="1">
        <v>2346</v>
      </c>
      <c r="M811" s="1">
        <v>1647.09</v>
      </c>
      <c r="N811" s="1">
        <f t="shared" si="18"/>
        <v>52.133333333333333</v>
      </c>
    </row>
    <row r="812" spans="1:14" hidden="1" x14ac:dyDescent="0.4">
      <c r="A812" t="s">
        <v>2024</v>
      </c>
      <c r="B812" t="s">
        <v>1904</v>
      </c>
      <c r="C812" s="131">
        <v>35059</v>
      </c>
      <c r="D812" t="s">
        <v>755</v>
      </c>
      <c r="F812" t="s">
        <v>645</v>
      </c>
      <c r="H812">
        <v>45</v>
      </c>
      <c r="J812" s="1">
        <v>191972.32</v>
      </c>
      <c r="K812" s="1"/>
      <c r="L812" s="1">
        <v>191972.32</v>
      </c>
      <c r="M812" s="1">
        <v>134780.62</v>
      </c>
      <c r="N812" s="1">
        <f t="shared" si="18"/>
        <v>4266.0515555555558</v>
      </c>
    </row>
    <row r="813" spans="1:14" hidden="1" x14ac:dyDescent="0.4">
      <c r="A813" t="s">
        <v>2025</v>
      </c>
      <c r="B813" t="s">
        <v>1904</v>
      </c>
      <c r="C813" s="131">
        <v>35059</v>
      </c>
      <c r="D813" t="s">
        <v>757</v>
      </c>
      <c r="F813" t="s">
        <v>645</v>
      </c>
      <c r="H813">
        <v>45</v>
      </c>
      <c r="J813" s="1">
        <v>102461.34</v>
      </c>
      <c r="K813" s="1"/>
      <c r="L813" s="1">
        <v>102461.34</v>
      </c>
      <c r="M813" s="1">
        <v>71936.3</v>
      </c>
      <c r="N813" s="1">
        <f t="shared" si="18"/>
        <v>2276.9186666666665</v>
      </c>
    </row>
    <row r="814" spans="1:14" hidden="1" x14ac:dyDescent="0.4">
      <c r="A814" t="s">
        <v>2026</v>
      </c>
      <c r="B814" t="s">
        <v>1904</v>
      </c>
      <c r="C814" s="131">
        <v>35095</v>
      </c>
      <c r="D814" t="s">
        <v>2027</v>
      </c>
      <c r="F814" t="s">
        <v>645</v>
      </c>
      <c r="H814">
        <v>45</v>
      </c>
      <c r="J814" s="1">
        <v>1854.12</v>
      </c>
      <c r="K814" s="1"/>
      <c r="L814" s="1">
        <v>1854.12</v>
      </c>
      <c r="M814" s="1">
        <v>1297.8</v>
      </c>
      <c r="N814" s="1">
        <f t="shared" si="18"/>
        <v>41.202666666666666</v>
      </c>
    </row>
    <row r="815" spans="1:14" hidden="1" x14ac:dyDescent="0.4">
      <c r="A815" t="s">
        <v>2028</v>
      </c>
      <c r="B815" t="s">
        <v>1904</v>
      </c>
      <c r="C815" s="131">
        <v>35123</v>
      </c>
      <c r="D815" t="s">
        <v>2029</v>
      </c>
      <c r="F815" t="s">
        <v>645</v>
      </c>
      <c r="H815">
        <v>45</v>
      </c>
      <c r="J815" s="1">
        <v>4879.9799999999996</v>
      </c>
      <c r="K815" s="1"/>
      <c r="L815" s="1">
        <v>4879.9799999999996</v>
      </c>
      <c r="M815" s="1">
        <v>3405.83</v>
      </c>
      <c r="N815" s="1">
        <f t="shared" si="18"/>
        <v>108.44399999999999</v>
      </c>
    </row>
    <row r="816" spans="1:14" hidden="1" x14ac:dyDescent="0.4">
      <c r="A816" t="s">
        <v>2030</v>
      </c>
      <c r="B816" t="s">
        <v>1904</v>
      </c>
      <c r="C816" s="131">
        <v>35155</v>
      </c>
      <c r="D816" t="s">
        <v>2031</v>
      </c>
      <c r="F816" t="s">
        <v>645</v>
      </c>
      <c r="H816">
        <v>45</v>
      </c>
      <c r="J816" s="1">
        <v>5954.94</v>
      </c>
      <c r="K816" s="1"/>
      <c r="L816" s="1">
        <v>5954.94</v>
      </c>
      <c r="M816" s="1">
        <v>4143.55</v>
      </c>
      <c r="N816" s="1">
        <f t="shared" si="18"/>
        <v>132.33199999999999</v>
      </c>
    </row>
    <row r="817" spans="1:14" hidden="1" x14ac:dyDescent="0.4">
      <c r="A817" t="s">
        <v>2032</v>
      </c>
      <c r="B817" t="s">
        <v>1904</v>
      </c>
      <c r="C817" s="131">
        <v>35156</v>
      </c>
      <c r="D817" t="s">
        <v>2033</v>
      </c>
      <c r="F817" t="s">
        <v>645</v>
      </c>
      <c r="H817">
        <v>45</v>
      </c>
      <c r="J817" s="1">
        <v>5073.3599999999997</v>
      </c>
      <c r="K817" s="1"/>
      <c r="L817" s="1">
        <v>5073.3599999999997</v>
      </c>
      <c r="M817" s="1">
        <v>3519.53</v>
      </c>
      <c r="N817" s="1">
        <f t="shared" si="18"/>
        <v>112.74133333333333</v>
      </c>
    </row>
    <row r="818" spans="1:14" hidden="1" x14ac:dyDescent="0.4">
      <c r="A818" t="s">
        <v>2034</v>
      </c>
      <c r="B818" t="s">
        <v>1904</v>
      </c>
      <c r="C818" s="131">
        <v>35186</v>
      </c>
      <c r="D818" t="s">
        <v>2035</v>
      </c>
      <c r="F818" t="s">
        <v>645</v>
      </c>
      <c r="H818">
        <v>45</v>
      </c>
      <c r="J818" s="1">
        <v>6031.35</v>
      </c>
      <c r="K818" s="1"/>
      <c r="L818" s="1">
        <v>6031.35</v>
      </c>
      <c r="M818" s="1">
        <v>4171.58</v>
      </c>
      <c r="N818" s="1">
        <f t="shared" si="18"/>
        <v>134.03</v>
      </c>
    </row>
    <row r="819" spans="1:14" hidden="1" x14ac:dyDescent="0.4">
      <c r="A819" t="s">
        <v>2036</v>
      </c>
      <c r="B819" t="s">
        <v>1904</v>
      </c>
      <c r="C819" s="131">
        <v>35217</v>
      </c>
      <c r="D819" t="s">
        <v>2037</v>
      </c>
      <c r="F819" t="s">
        <v>645</v>
      </c>
      <c r="H819">
        <v>45</v>
      </c>
      <c r="J819" s="1">
        <v>9202.86</v>
      </c>
      <c r="K819" s="1"/>
      <c r="L819" s="1">
        <v>9202.86</v>
      </c>
      <c r="M819" s="1">
        <v>6346.1</v>
      </c>
      <c r="N819" s="1">
        <f t="shared" si="18"/>
        <v>204.50800000000001</v>
      </c>
    </row>
    <row r="820" spans="1:14" hidden="1" x14ac:dyDescent="0.4">
      <c r="A820" t="s">
        <v>2038</v>
      </c>
      <c r="B820" t="s">
        <v>1904</v>
      </c>
      <c r="C820" s="131">
        <v>35247</v>
      </c>
      <c r="D820" t="s">
        <v>2039</v>
      </c>
      <c r="F820" t="s">
        <v>645</v>
      </c>
      <c r="H820">
        <v>45</v>
      </c>
      <c r="J820" s="1">
        <v>6896.6</v>
      </c>
      <c r="K820" s="1"/>
      <c r="L820" s="1">
        <v>6896.6</v>
      </c>
      <c r="M820" s="1">
        <v>4741.54</v>
      </c>
      <c r="N820" s="1">
        <f t="shared" si="18"/>
        <v>153.25777777777779</v>
      </c>
    </row>
    <row r="821" spans="1:14" hidden="1" x14ac:dyDescent="0.4">
      <c r="A821" t="s">
        <v>2040</v>
      </c>
      <c r="B821" t="s">
        <v>1904</v>
      </c>
      <c r="C821" s="131">
        <v>35278</v>
      </c>
      <c r="D821" t="s">
        <v>2041</v>
      </c>
      <c r="F821" t="s">
        <v>645</v>
      </c>
      <c r="H821">
        <v>45</v>
      </c>
      <c r="J821" s="1">
        <v>6594.16</v>
      </c>
      <c r="K821" s="1"/>
      <c r="L821" s="1">
        <v>6594.16</v>
      </c>
      <c r="M821" s="1">
        <v>4519.6400000000003</v>
      </c>
      <c r="N821" s="1">
        <f t="shared" si="18"/>
        <v>146.53688888888888</v>
      </c>
    </row>
    <row r="822" spans="1:14" hidden="1" x14ac:dyDescent="0.4">
      <c r="A822" t="s">
        <v>2042</v>
      </c>
      <c r="B822" t="s">
        <v>1904</v>
      </c>
      <c r="C822" s="131">
        <v>35309</v>
      </c>
      <c r="D822" t="s">
        <v>2043</v>
      </c>
      <c r="F822" t="s">
        <v>645</v>
      </c>
      <c r="H822">
        <v>45</v>
      </c>
      <c r="J822" s="1">
        <v>5995.99</v>
      </c>
      <c r="K822" s="1"/>
      <c r="L822" s="1">
        <v>5995.99</v>
      </c>
      <c r="M822" s="1">
        <v>4097.2700000000004</v>
      </c>
      <c r="N822" s="1">
        <f t="shared" si="18"/>
        <v>133.24422222222222</v>
      </c>
    </row>
    <row r="823" spans="1:14" hidden="1" x14ac:dyDescent="0.4">
      <c r="A823" t="s">
        <v>2044</v>
      </c>
      <c r="B823" t="s">
        <v>1904</v>
      </c>
      <c r="C823" s="131">
        <v>35339</v>
      </c>
      <c r="D823" t="s">
        <v>2045</v>
      </c>
      <c r="F823" t="s">
        <v>645</v>
      </c>
      <c r="H823">
        <v>45</v>
      </c>
      <c r="J823" s="1">
        <v>10689.93</v>
      </c>
      <c r="K823" s="1"/>
      <c r="L823" s="1">
        <v>10689.93</v>
      </c>
      <c r="M823" s="1">
        <v>7282.56</v>
      </c>
      <c r="N823" s="1">
        <f t="shared" si="18"/>
        <v>237.554</v>
      </c>
    </row>
    <row r="824" spans="1:14" hidden="1" x14ac:dyDescent="0.4">
      <c r="A824" t="s">
        <v>2046</v>
      </c>
      <c r="B824" t="s">
        <v>1904</v>
      </c>
      <c r="C824" s="131">
        <v>35370</v>
      </c>
      <c r="D824" t="s">
        <v>2047</v>
      </c>
      <c r="F824" t="s">
        <v>645</v>
      </c>
      <c r="H824">
        <v>45</v>
      </c>
      <c r="J824" s="1">
        <v>4756.82</v>
      </c>
      <c r="K824" s="1"/>
      <c r="L824" s="1">
        <v>4756.82</v>
      </c>
      <c r="M824" s="1">
        <v>3230.66</v>
      </c>
      <c r="N824" s="1">
        <f t="shared" si="18"/>
        <v>105.7071111111111</v>
      </c>
    </row>
    <row r="825" spans="1:14" hidden="1" x14ac:dyDescent="0.4">
      <c r="A825" t="s">
        <v>2048</v>
      </c>
      <c r="B825" t="s">
        <v>1904</v>
      </c>
      <c r="C825" s="131">
        <v>35400</v>
      </c>
      <c r="D825" t="s">
        <v>2049</v>
      </c>
      <c r="F825" t="s">
        <v>645</v>
      </c>
      <c r="H825">
        <v>45</v>
      </c>
      <c r="J825" s="1">
        <v>4766.8900000000003</v>
      </c>
      <c r="K825" s="1"/>
      <c r="L825" s="1">
        <v>4766.8900000000003</v>
      </c>
      <c r="M825" s="1">
        <v>3227.52</v>
      </c>
      <c r="N825" s="1">
        <f t="shared" si="18"/>
        <v>105.9308888888889</v>
      </c>
    </row>
    <row r="826" spans="1:14" hidden="1" x14ac:dyDescent="0.4">
      <c r="A826" t="s">
        <v>2050</v>
      </c>
      <c r="B826" t="s">
        <v>1904</v>
      </c>
      <c r="C826" s="131">
        <v>35431</v>
      </c>
      <c r="D826" t="s">
        <v>1961</v>
      </c>
      <c r="F826" t="s">
        <v>645</v>
      </c>
      <c r="H826">
        <v>45</v>
      </c>
      <c r="J826" s="1">
        <v>2720.02</v>
      </c>
      <c r="K826" s="1"/>
      <c r="L826" s="1">
        <v>2720.02</v>
      </c>
      <c r="M826" s="1">
        <v>1836</v>
      </c>
      <c r="N826" s="1">
        <f t="shared" si="18"/>
        <v>60.44488888888889</v>
      </c>
    </row>
    <row r="827" spans="1:14" hidden="1" x14ac:dyDescent="0.4">
      <c r="A827" t="s">
        <v>2051</v>
      </c>
      <c r="B827" t="s">
        <v>1904</v>
      </c>
      <c r="C827" s="131">
        <v>35462</v>
      </c>
      <c r="D827" t="s">
        <v>2052</v>
      </c>
      <c r="F827" t="s">
        <v>645</v>
      </c>
      <c r="H827">
        <v>45</v>
      </c>
      <c r="J827" s="1">
        <v>3152.92</v>
      </c>
      <c r="K827" s="1"/>
      <c r="L827" s="1">
        <v>3152.92</v>
      </c>
      <c r="M827" s="1">
        <v>2121.5700000000002</v>
      </c>
      <c r="N827" s="1">
        <f t="shared" si="18"/>
        <v>70.064888888888888</v>
      </c>
    </row>
    <row r="828" spans="1:14" hidden="1" x14ac:dyDescent="0.4">
      <c r="A828" t="s">
        <v>2053</v>
      </c>
      <c r="B828" t="s">
        <v>1904</v>
      </c>
      <c r="C828" s="131">
        <v>35490</v>
      </c>
      <c r="D828" t="s">
        <v>1961</v>
      </c>
      <c r="F828" t="s">
        <v>645</v>
      </c>
      <c r="H828">
        <v>45</v>
      </c>
      <c r="J828" s="1">
        <v>3241.61</v>
      </c>
      <c r="K828" s="1"/>
      <c r="L828" s="1">
        <v>3241.61</v>
      </c>
      <c r="M828" s="1">
        <v>2174.5700000000002</v>
      </c>
      <c r="N828" s="1">
        <f t="shared" si="18"/>
        <v>72.035777777777781</v>
      </c>
    </row>
    <row r="829" spans="1:14" hidden="1" x14ac:dyDescent="0.4">
      <c r="A829" t="s">
        <v>2054</v>
      </c>
      <c r="B829" t="s">
        <v>1904</v>
      </c>
      <c r="C829" s="131">
        <v>35521</v>
      </c>
      <c r="D829" t="s">
        <v>2055</v>
      </c>
      <c r="F829" t="s">
        <v>645</v>
      </c>
      <c r="H829">
        <v>45</v>
      </c>
      <c r="J829" s="1">
        <v>3445.04</v>
      </c>
      <c r="K829" s="1"/>
      <c r="L829" s="1">
        <v>3445.04</v>
      </c>
      <c r="M829" s="1">
        <v>2303.98</v>
      </c>
      <c r="N829" s="1">
        <f t="shared" si="18"/>
        <v>76.556444444444438</v>
      </c>
    </row>
    <row r="830" spans="1:14" hidden="1" x14ac:dyDescent="0.4">
      <c r="A830" t="s">
        <v>2056</v>
      </c>
      <c r="B830" t="s">
        <v>1904</v>
      </c>
      <c r="C830" s="131">
        <v>35551</v>
      </c>
      <c r="D830" t="s">
        <v>1961</v>
      </c>
      <c r="F830" t="s">
        <v>645</v>
      </c>
      <c r="H830">
        <v>45</v>
      </c>
      <c r="J830" s="1">
        <v>4515.3900000000003</v>
      </c>
      <c r="K830" s="1"/>
      <c r="L830" s="1">
        <v>4515.3900000000003</v>
      </c>
      <c r="M830" s="1">
        <v>3010.13</v>
      </c>
      <c r="N830" s="1">
        <f t="shared" si="18"/>
        <v>100.34200000000001</v>
      </c>
    </row>
    <row r="831" spans="1:14" hidden="1" x14ac:dyDescent="0.4">
      <c r="A831" t="s">
        <v>2057</v>
      </c>
      <c r="B831" t="s">
        <v>1904</v>
      </c>
      <c r="C831" s="131">
        <v>35582</v>
      </c>
      <c r="D831" t="s">
        <v>1961</v>
      </c>
      <c r="F831" t="s">
        <v>645</v>
      </c>
      <c r="H831">
        <v>45</v>
      </c>
      <c r="J831" s="1">
        <v>4541.58</v>
      </c>
      <c r="K831" s="1"/>
      <c r="L831" s="1">
        <v>4541.58</v>
      </c>
      <c r="M831" s="1">
        <v>3018.27</v>
      </c>
      <c r="N831" s="1">
        <f t="shared" si="18"/>
        <v>100.92399999999999</v>
      </c>
    </row>
    <row r="832" spans="1:14" hidden="1" x14ac:dyDescent="0.4">
      <c r="A832" t="s">
        <v>2058</v>
      </c>
      <c r="B832" t="s">
        <v>1904</v>
      </c>
      <c r="C832" s="131">
        <v>35612</v>
      </c>
      <c r="D832" t="s">
        <v>1961</v>
      </c>
      <c r="F832" t="s">
        <v>645</v>
      </c>
      <c r="H832">
        <v>45</v>
      </c>
      <c r="J832" s="1">
        <v>4469.43</v>
      </c>
      <c r="K832" s="1"/>
      <c r="L832" s="1">
        <v>4469.43</v>
      </c>
      <c r="M832" s="1">
        <v>2961.11</v>
      </c>
      <c r="N832" s="1">
        <f t="shared" si="18"/>
        <v>99.320666666666668</v>
      </c>
    </row>
    <row r="833" spans="1:14" hidden="1" x14ac:dyDescent="0.4">
      <c r="A833" t="s">
        <v>2059</v>
      </c>
      <c r="B833" t="s">
        <v>1904</v>
      </c>
      <c r="C833" s="131">
        <v>35643</v>
      </c>
      <c r="D833" t="s">
        <v>1961</v>
      </c>
      <c r="F833" t="s">
        <v>645</v>
      </c>
      <c r="H833">
        <v>45</v>
      </c>
      <c r="J833" s="1">
        <v>3028.07</v>
      </c>
      <c r="K833" s="1"/>
      <c r="L833" s="1">
        <v>3028.07</v>
      </c>
      <c r="M833" s="1">
        <v>1999.74</v>
      </c>
      <c r="N833" s="1">
        <f t="shared" si="18"/>
        <v>67.290444444444447</v>
      </c>
    </row>
    <row r="834" spans="1:14" hidden="1" x14ac:dyDescent="0.4">
      <c r="A834" t="s">
        <v>2060</v>
      </c>
      <c r="B834" t="s">
        <v>1904</v>
      </c>
      <c r="C834" s="131">
        <v>35674</v>
      </c>
      <c r="D834" t="s">
        <v>2061</v>
      </c>
      <c r="F834" t="s">
        <v>645</v>
      </c>
      <c r="H834">
        <v>45</v>
      </c>
      <c r="J834" s="1">
        <v>3230.71</v>
      </c>
      <c r="K834" s="1"/>
      <c r="L834" s="1">
        <v>3230.71</v>
      </c>
      <c r="M834" s="1">
        <v>2126.94</v>
      </c>
      <c r="N834" s="1">
        <f t="shared" si="18"/>
        <v>71.793555555555557</v>
      </c>
    </row>
    <row r="835" spans="1:14" hidden="1" x14ac:dyDescent="0.4">
      <c r="A835" t="s">
        <v>2062</v>
      </c>
      <c r="B835" t="s">
        <v>1904</v>
      </c>
      <c r="C835" s="131">
        <v>35674</v>
      </c>
      <c r="D835" t="s">
        <v>1961</v>
      </c>
      <c r="F835" t="s">
        <v>645</v>
      </c>
      <c r="H835">
        <v>45</v>
      </c>
      <c r="J835" s="1">
        <v>187250.11</v>
      </c>
      <c r="K835" s="1"/>
      <c r="L835" s="1">
        <v>187250.11</v>
      </c>
      <c r="M835" s="1">
        <v>123272.92</v>
      </c>
      <c r="N835" s="1">
        <f t="shared" si="18"/>
        <v>4161.1135555555556</v>
      </c>
    </row>
    <row r="836" spans="1:14" hidden="1" x14ac:dyDescent="0.4">
      <c r="A836" t="s">
        <v>2063</v>
      </c>
      <c r="B836" t="s">
        <v>1904</v>
      </c>
      <c r="C836" s="131">
        <v>35704</v>
      </c>
      <c r="D836" t="s">
        <v>2055</v>
      </c>
      <c r="F836" t="s">
        <v>645</v>
      </c>
      <c r="H836">
        <v>45</v>
      </c>
      <c r="J836" s="1">
        <v>9228.7099999999991</v>
      </c>
      <c r="K836" s="1"/>
      <c r="L836" s="1">
        <v>9228.7099999999991</v>
      </c>
      <c r="M836" s="1">
        <v>6056.4</v>
      </c>
      <c r="N836" s="1">
        <f t="shared" si="18"/>
        <v>205.08244444444443</v>
      </c>
    </row>
    <row r="837" spans="1:14" hidden="1" x14ac:dyDescent="0.4">
      <c r="A837" t="s">
        <v>2064</v>
      </c>
      <c r="B837" t="s">
        <v>1904</v>
      </c>
      <c r="C837" s="131">
        <v>35735</v>
      </c>
      <c r="D837" t="s">
        <v>1961</v>
      </c>
      <c r="F837" t="s">
        <v>645</v>
      </c>
      <c r="H837">
        <v>45</v>
      </c>
      <c r="J837" s="1">
        <v>6326.76</v>
      </c>
      <c r="K837" s="1"/>
      <c r="L837" s="1">
        <v>6326.76</v>
      </c>
      <c r="M837" s="1">
        <v>4138.78</v>
      </c>
      <c r="N837" s="1">
        <f t="shared" ref="N837:N900" si="19">L837/H837</f>
        <v>140.59466666666668</v>
      </c>
    </row>
    <row r="838" spans="1:14" hidden="1" x14ac:dyDescent="0.4">
      <c r="A838" t="s">
        <v>2065</v>
      </c>
      <c r="B838" t="s">
        <v>1904</v>
      </c>
      <c r="C838" s="131">
        <v>35765</v>
      </c>
      <c r="D838" t="s">
        <v>1961</v>
      </c>
      <c r="F838" t="s">
        <v>645</v>
      </c>
      <c r="H838">
        <v>45</v>
      </c>
      <c r="J838" s="1">
        <v>3597.28</v>
      </c>
      <c r="K838" s="1"/>
      <c r="L838" s="1">
        <v>3597.28</v>
      </c>
      <c r="M838" s="1">
        <v>2345.67</v>
      </c>
      <c r="N838" s="1">
        <f t="shared" si="19"/>
        <v>79.939555555555557</v>
      </c>
    </row>
    <row r="839" spans="1:14" hidden="1" x14ac:dyDescent="0.4">
      <c r="A839" t="s">
        <v>2066</v>
      </c>
      <c r="B839" t="s">
        <v>1904</v>
      </c>
      <c r="C839" s="131">
        <v>35765</v>
      </c>
      <c r="D839" t="s">
        <v>760</v>
      </c>
      <c r="F839" t="s">
        <v>645</v>
      </c>
      <c r="H839">
        <v>45</v>
      </c>
      <c r="J839" s="1">
        <v>137762.96</v>
      </c>
      <c r="K839" s="1"/>
      <c r="L839" s="1">
        <v>137762.96</v>
      </c>
      <c r="M839" s="1">
        <v>89832.83</v>
      </c>
      <c r="N839" s="1">
        <f t="shared" si="19"/>
        <v>3061.3991111111109</v>
      </c>
    </row>
    <row r="840" spans="1:14" hidden="1" x14ac:dyDescent="0.4">
      <c r="A840" t="s">
        <v>2067</v>
      </c>
      <c r="B840" t="s">
        <v>1904</v>
      </c>
      <c r="C840" s="131">
        <v>35826</v>
      </c>
      <c r="D840" t="s">
        <v>2068</v>
      </c>
      <c r="F840" t="s">
        <v>645</v>
      </c>
      <c r="H840">
        <v>45</v>
      </c>
      <c r="J840" s="1">
        <v>830.33</v>
      </c>
      <c r="K840" s="1"/>
      <c r="L840" s="1">
        <v>830.33</v>
      </c>
      <c r="M840" s="1">
        <v>538.04999999999995</v>
      </c>
      <c r="N840" s="1">
        <f t="shared" si="19"/>
        <v>18.451777777777778</v>
      </c>
    </row>
    <row r="841" spans="1:14" hidden="1" x14ac:dyDescent="0.4">
      <c r="A841" t="s">
        <v>2069</v>
      </c>
      <c r="B841" t="s">
        <v>1904</v>
      </c>
      <c r="C841" s="131">
        <v>35854</v>
      </c>
      <c r="D841" t="s">
        <v>2070</v>
      </c>
      <c r="F841" t="s">
        <v>645</v>
      </c>
      <c r="H841">
        <v>45</v>
      </c>
      <c r="J841" s="1">
        <v>3587.57</v>
      </c>
      <c r="K841" s="1"/>
      <c r="L841" s="1">
        <v>3587.57</v>
      </c>
      <c r="M841" s="1">
        <v>2317.69</v>
      </c>
      <c r="N841" s="1">
        <f t="shared" si="19"/>
        <v>79.723777777777784</v>
      </c>
    </row>
    <row r="842" spans="1:14" hidden="1" x14ac:dyDescent="0.4">
      <c r="A842" t="s">
        <v>2071</v>
      </c>
      <c r="B842" t="s">
        <v>1904</v>
      </c>
      <c r="C842" s="131">
        <v>35885</v>
      </c>
      <c r="D842" t="s">
        <v>2072</v>
      </c>
      <c r="F842" t="s">
        <v>645</v>
      </c>
      <c r="H842">
        <v>45</v>
      </c>
      <c r="J842" s="1">
        <v>9775.59</v>
      </c>
      <c r="K842" s="1"/>
      <c r="L842" s="1">
        <v>9775.59</v>
      </c>
      <c r="M842" s="1">
        <v>6294.55</v>
      </c>
      <c r="N842" s="1">
        <f t="shared" si="19"/>
        <v>217.23533333333333</v>
      </c>
    </row>
    <row r="843" spans="1:14" hidden="1" x14ac:dyDescent="0.4">
      <c r="A843" t="s">
        <v>2073</v>
      </c>
      <c r="B843" t="s">
        <v>1904</v>
      </c>
      <c r="C843" s="131">
        <v>35864</v>
      </c>
      <c r="D843" t="s">
        <v>2074</v>
      </c>
      <c r="F843" t="s">
        <v>645</v>
      </c>
      <c r="H843">
        <v>45</v>
      </c>
      <c r="J843" s="1">
        <v>2500</v>
      </c>
      <c r="K843" s="1"/>
      <c r="L843" s="1">
        <v>2500</v>
      </c>
      <c r="M843" s="1">
        <v>1613.36</v>
      </c>
      <c r="N843" s="1">
        <f t="shared" si="19"/>
        <v>55.555555555555557</v>
      </c>
    </row>
    <row r="844" spans="1:14" hidden="1" x14ac:dyDescent="0.4">
      <c r="A844" t="s">
        <v>2075</v>
      </c>
      <c r="B844" t="s">
        <v>1904</v>
      </c>
      <c r="C844" s="131">
        <v>35886</v>
      </c>
      <c r="D844" t="s">
        <v>2076</v>
      </c>
      <c r="F844" t="s">
        <v>645</v>
      </c>
      <c r="H844">
        <v>45</v>
      </c>
      <c r="J844" s="1">
        <v>7167.77</v>
      </c>
      <c r="K844" s="1"/>
      <c r="L844" s="1">
        <v>7167.77</v>
      </c>
      <c r="M844" s="1">
        <v>4614.76</v>
      </c>
      <c r="N844" s="1">
        <f t="shared" si="19"/>
        <v>159.2837777777778</v>
      </c>
    </row>
    <row r="845" spans="1:14" hidden="1" x14ac:dyDescent="0.4">
      <c r="A845" t="s">
        <v>2077</v>
      </c>
      <c r="B845" t="s">
        <v>1904</v>
      </c>
      <c r="C845" s="131">
        <v>35946</v>
      </c>
      <c r="D845" t="s">
        <v>2078</v>
      </c>
      <c r="F845" t="s">
        <v>645</v>
      </c>
      <c r="H845">
        <v>45</v>
      </c>
      <c r="J845" s="1">
        <v>3766.83</v>
      </c>
      <c r="K845" s="1"/>
      <c r="L845" s="1">
        <v>3766.83</v>
      </c>
      <c r="M845" s="1">
        <v>2409.7199999999998</v>
      </c>
      <c r="N845" s="1">
        <f t="shared" si="19"/>
        <v>83.707333333333338</v>
      </c>
    </row>
    <row r="846" spans="1:14" hidden="1" x14ac:dyDescent="0.4">
      <c r="A846" t="s">
        <v>2079</v>
      </c>
      <c r="B846" t="s">
        <v>1904</v>
      </c>
      <c r="C846" s="131">
        <v>35947</v>
      </c>
      <c r="D846" t="s">
        <v>2080</v>
      </c>
      <c r="F846" t="s">
        <v>645</v>
      </c>
      <c r="H846">
        <v>45</v>
      </c>
      <c r="J846" s="1">
        <v>5808.23</v>
      </c>
      <c r="K846" s="1"/>
      <c r="L846" s="1">
        <v>5808.23</v>
      </c>
      <c r="M846" s="1">
        <v>3715.38</v>
      </c>
      <c r="N846" s="1">
        <f t="shared" si="19"/>
        <v>129.07177777777775</v>
      </c>
    </row>
    <row r="847" spans="1:14" hidden="1" x14ac:dyDescent="0.4">
      <c r="A847" t="s">
        <v>2081</v>
      </c>
      <c r="B847" t="s">
        <v>1904</v>
      </c>
      <c r="C847" s="131">
        <v>35977</v>
      </c>
      <c r="D847" t="s">
        <v>2082</v>
      </c>
      <c r="F847" t="s">
        <v>645</v>
      </c>
      <c r="H847">
        <v>45</v>
      </c>
      <c r="J847" s="1">
        <v>7470.82</v>
      </c>
      <c r="K847" s="1"/>
      <c r="L847" s="1">
        <v>7470.82</v>
      </c>
      <c r="M847" s="1">
        <v>4763.3999999999996</v>
      </c>
      <c r="N847" s="1">
        <f t="shared" si="19"/>
        <v>166.01822222222222</v>
      </c>
    </row>
    <row r="848" spans="1:14" hidden="1" x14ac:dyDescent="0.4">
      <c r="A848" t="s">
        <v>2083</v>
      </c>
      <c r="B848" t="s">
        <v>1904</v>
      </c>
      <c r="C848" s="131">
        <v>36008</v>
      </c>
      <c r="D848" t="s">
        <v>2084</v>
      </c>
      <c r="F848" t="s">
        <v>645</v>
      </c>
      <c r="H848">
        <v>45</v>
      </c>
      <c r="J848" s="1">
        <v>6759.77</v>
      </c>
      <c r="K848" s="1"/>
      <c r="L848" s="1">
        <v>6759.77</v>
      </c>
      <c r="M848" s="1">
        <v>4295.59</v>
      </c>
      <c r="N848" s="1">
        <f t="shared" si="19"/>
        <v>150.21711111111111</v>
      </c>
    </row>
    <row r="849" spans="1:14" hidden="1" x14ac:dyDescent="0.4">
      <c r="A849" t="s">
        <v>2085</v>
      </c>
      <c r="B849" t="s">
        <v>1904</v>
      </c>
      <c r="C849" s="131">
        <v>36039</v>
      </c>
      <c r="D849" t="s">
        <v>2086</v>
      </c>
      <c r="F849" t="s">
        <v>645</v>
      </c>
      <c r="H849">
        <v>45</v>
      </c>
      <c r="J849" s="1">
        <v>5672.96</v>
      </c>
      <c r="K849" s="1"/>
      <c r="L849" s="1">
        <v>5672.96</v>
      </c>
      <c r="M849" s="1">
        <v>3592.9</v>
      </c>
      <c r="N849" s="1">
        <f t="shared" si="19"/>
        <v>126.06577777777778</v>
      </c>
    </row>
    <row r="850" spans="1:14" hidden="1" x14ac:dyDescent="0.4">
      <c r="A850" t="s">
        <v>2087</v>
      </c>
      <c r="B850" t="s">
        <v>1904</v>
      </c>
      <c r="C850" s="131">
        <v>36069</v>
      </c>
      <c r="D850" t="s">
        <v>2088</v>
      </c>
      <c r="F850" t="s">
        <v>645</v>
      </c>
      <c r="H850">
        <v>45</v>
      </c>
      <c r="J850" s="1">
        <v>7659.23</v>
      </c>
      <c r="K850" s="1"/>
      <c r="L850" s="1">
        <v>7659.23</v>
      </c>
      <c r="M850" s="1">
        <v>4835.26</v>
      </c>
      <c r="N850" s="1">
        <f t="shared" si="19"/>
        <v>170.20511111111111</v>
      </c>
    </row>
    <row r="851" spans="1:14" hidden="1" x14ac:dyDescent="0.4">
      <c r="A851" t="s">
        <v>2089</v>
      </c>
      <c r="B851" t="s">
        <v>1904</v>
      </c>
      <c r="C851" s="131">
        <v>36129</v>
      </c>
      <c r="D851" t="s">
        <v>2090</v>
      </c>
      <c r="F851" t="s">
        <v>645</v>
      </c>
      <c r="H851">
        <v>45</v>
      </c>
      <c r="J851" s="1">
        <v>6732.59</v>
      </c>
      <c r="K851" s="1"/>
      <c r="L851" s="1">
        <v>6732.59</v>
      </c>
      <c r="M851" s="1">
        <v>4222.51</v>
      </c>
      <c r="N851" s="1">
        <f t="shared" si="19"/>
        <v>149.61311111111112</v>
      </c>
    </row>
    <row r="852" spans="1:14" hidden="1" x14ac:dyDescent="0.4">
      <c r="A852" t="s">
        <v>2091</v>
      </c>
      <c r="B852" t="s">
        <v>1904</v>
      </c>
      <c r="C852" s="131">
        <v>36161</v>
      </c>
      <c r="D852" t="s">
        <v>2092</v>
      </c>
      <c r="F852" t="s">
        <v>645</v>
      </c>
      <c r="H852">
        <v>45</v>
      </c>
      <c r="J852" s="1">
        <v>3996.08</v>
      </c>
      <c r="K852" s="1"/>
      <c r="L852" s="1">
        <v>3996.08</v>
      </c>
      <c r="M852" s="1">
        <v>2497.5</v>
      </c>
      <c r="N852" s="1">
        <f t="shared" si="19"/>
        <v>88.801777777777772</v>
      </c>
    </row>
    <row r="853" spans="1:14" hidden="1" x14ac:dyDescent="0.4">
      <c r="A853" t="s">
        <v>2093</v>
      </c>
      <c r="B853" t="s">
        <v>1904</v>
      </c>
      <c r="C853" s="131">
        <v>36192</v>
      </c>
      <c r="D853" t="s">
        <v>2092</v>
      </c>
      <c r="F853" t="s">
        <v>645</v>
      </c>
      <c r="H853">
        <v>45</v>
      </c>
      <c r="J853" s="1">
        <v>3269.12</v>
      </c>
      <c r="K853" s="1"/>
      <c r="L853" s="1">
        <v>3269.12</v>
      </c>
      <c r="M853" s="1">
        <v>2036.31</v>
      </c>
      <c r="N853" s="1">
        <f t="shared" si="19"/>
        <v>72.647111111111116</v>
      </c>
    </row>
    <row r="854" spans="1:14" hidden="1" x14ac:dyDescent="0.4">
      <c r="A854" t="s">
        <v>2094</v>
      </c>
      <c r="B854" t="s">
        <v>1904</v>
      </c>
      <c r="C854" s="131">
        <v>36220</v>
      </c>
      <c r="D854" t="s">
        <v>2092</v>
      </c>
      <c r="F854" t="s">
        <v>645</v>
      </c>
      <c r="H854">
        <v>45</v>
      </c>
      <c r="J854" s="1">
        <v>4712.53</v>
      </c>
      <c r="K854" s="1"/>
      <c r="L854" s="1">
        <v>4712.53</v>
      </c>
      <c r="M854" s="1">
        <v>2926.21</v>
      </c>
      <c r="N854" s="1">
        <f t="shared" si="19"/>
        <v>104.72288888888889</v>
      </c>
    </row>
    <row r="855" spans="1:14" hidden="1" x14ac:dyDescent="0.4">
      <c r="A855" t="s">
        <v>2095</v>
      </c>
      <c r="B855" t="s">
        <v>1904</v>
      </c>
      <c r="C855" s="131">
        <v>36251</v>
      </c>
      <c r="D855" t="s">
        <v>2092</v>
      </c>
      <c r="F855" t="s">
        <v>645</v>
      </c>
      <c r="H855">
        <v>45</v>
      </c>
      <c r="J855" s="1">
        <v>7185.59</v>
      </c>
      <c r="K855" s="1"/>
      <c r="L855" s="1">
        <v>7185.59</v>
      </c>
      <c r="M855" s="1">
        <v>4446.71</v>
      </c>
      <c r="N855" s="1">
        <f t="shared" si="19"/>
        <v>159.67977777777779</v>
      </c>
    </row>
    <row r="856" spans="1:14" hidden="1" x14ac:dyDescent="0.4">
      <c r="A856" t="s">
        <v>2096</v>
      </c>
      <c r="B856" t="s">
        <v>1904</v>
      </c>
      <c r="C856" s="131">
        <v>36281</v>
      </c>
      <c r="D856" t="s">
        <v>2092</v>
      </c>
      <c r="F856" t="s">
        <v>645</v>
      </c>
      <c r="H856">
        <v>45</v>
      </c>
      <c r="J856" s="1">
        <v>4577.54</v>
      </c>
      <c r="K856" s="1"/>
      <c r="L856" s="1">
        <v>4577.54</v>
      </c>
      <c r="M856" s="1">
        <v>2823.37</v>
      </c>
      <c r="N856" s="1">
        <f t="shared" si="19"/>
        <v>101.72311111111111</v>
      </c>
    </row>
    <row r="857" spans="1:14" hidden="1" x14ac:dyDescent="0.4">
      <c r="A857" t="s">
        <v>2097</v>
      </c>
      <c r="B857" t="s">
        <v>1904</v>
      </c>
      <c r="C857" s="131">
        <v>36312</v>
      </c>
      <c r="D857" t="s">
        <v>2092</v>
      </c>
      <c r="F857" t="s">
        <v>645</v>
      </c>
      <c r="H857">
        <v>45</v>
      </c>
      <c r="J857" s="1">
        <v>4133.08</v>
      </c>
      <c r="K857" s="1"/>
      <c r="L857" s="1">
        <v>4133.08</v>
      </c>
      <c r="M857" s="1">
        <v>2540.5</v>
      </c>
      <c r="N857" s="1">
        <f t="shared" si="19"/>
        <v>91.846222222222224</v>
      </c>
    </row>
    <row r="858" spans="1:14" hidden="1" x14ac:dyDescent="0.4">
      <c r="A858" t="s">
        <v>2098</v>
      </c>
      <c r="B858" t="s">
        <v>1904</v>
      </c>
      <c r="C858" s="131">
        <v>36342</v>
      </c>
      <c r="D858" t="s">
        <v>2092</v>
      </c>
      <c r="F858" t="s">
        <v>645</v>
      </c>
      <c r="H858">
        <v>45</v>
      </c>
      <c r="J858" s="1">
        <v>5648.25</v>
      </c>
      <c r="K858" s="1"/>
      <c r="L858" s="1">
        <v>5648.25</v>
      </c>
      <c r="M858" s="1">
        <v>3460.22</v>
      </c>
      <c r="N858" s="1">
        <f t="shared" si="19"/>
        <v>125.51666666666667</v>
      </c>
    </row>
    <row r="859" spans="1:14" hidden="1" x14ac:dyDescent="0.4">
      <c r="A859" t="s">
        <v>2099</v>
      </c>
      <c r="B859" t="s">
        <v>1904</v>
      </c>
      <c r="C859" s="131">
        <v>36373</v>
      </c>
      <c r="D859" t="s">
        <v>2092</v>
      </c>
      <c r="F859" t="s">
        <v>645</v>
      </c>
      <c r="H859">
        <v>45</v>
      </c>
      <c r="J859" s="1">
        <v>6363.25</v>
      </c>
      <c r="K859" s="1"/>
      <c r="L859" s="1">
        <v>6363.25</v>
      </c>
      <c r="M859" s="1">
        <v>3884.6</v>
      </c>
      <c r="N859" s="1">
        <f t="shared" si="19"/>
        <v>141.40555555555557</v>
      </c>
    </row>
    <row r="860" spans="1:14" hidden="1" x14ac:dyDescent="0.4">
      <c r="A860" t="s">
        <v>2100</v>
      </c>
      <c r="B860" t="s">
        <v>1904</v>
      </c>
      <c r="C860" s="131">
        <v>36404</v>
      </c>
      <c r="D860" t="s">
        <v>2092</v>
      </c>
      <c r="F860" t="s">
        <v>645</v>
      </c>
      <c r="H860">
        <v>45</v>
      </c>
      <c r="J860" s="1">
        <v>10067.39</v>
      </c>
      <c r="K860" s="1"/>
      <c r="L860" s="1">
        <v>10067.39</v>
      </c>
      <c r="M860" s="1">
        <v>6124.44</v>
      </c>
      <c r="N860" s="1">
        <f t="shared" si="19"/>
        <v>223.71977777777778</v>
      </c>
    </row>
    <row r="861" spans="1:14" hidden="1" x14ac:dyDescent="0.4">
      <c r="A861" t="s">
        <v>2101</v>
      </c>
      <c r="B861" t="s">
        <v>1904</v>
      </c>
      <c r="C861" s="131">
        <v>36434</v>
      </c>
      <c r="D861" t="s">
        <v>2102</v>
      </c>
      <c r="F861" t="s">
        <v>645</v>
      </c>
      <c r="H861">
        <v>45</v>
      </c>
      <c r="J861" s="1">
        <v>4315.4799999999996</v>
      </c>
      <c r="K861" s="1"/>
      <c r="L861" s="1">
        <v>4315.4799999999996</v>
      </c>
      <c r="M861" s="1">
        <v>2616.5500000000002</v>
      </c>
      <c r="N861" s="1">
        <f t="shared" si="19"/>
        <v>95.899555555555551</v>
      </c>
    </row>
    <row r="862" spans="1:14" hidden="1" x14ac:dyDescent="0.4">
      <c r="A862" t="s">
        <v>2103</v>
      </c>
      <c r="B862" t="s">
        <v>1904</v>
      </c>
      <c r="C862" s="131">
        <v>36465</v>
      </c>
      <c r="D862" t="s">
        <v>2104</v>
      </c>
      <c r="F862" t="s">
        <v>645</v>
      </c>
      <c r="H862">
        <v>45</v>
      </c>
      <c r="J862" s="1">
        <v>5183.04</v>
      </c>
      <c r="K862" s="1"/>
      <c r="L862" s="1">
        <v>5183.04</v>
      </c>
      <c r="M862" s="1">
        <v>3131.58</v>
      </c>
      <c r="N862" s="1">
        <f t="shared" si="19"/>
        <v>115.17866666666667</v>
      </c>
    </row>
    <row r="863" spans="1:14" hidden="1" x14ac:dyDescent="0.4">
      <c r="A863" t="s">
        <v>2105</v>
      </c>
      <c r="B863" t="s">
        <v>1904</v>
      </c>
      <c r="C863" s="131">
        <v>36495</v>
      </c>
      <c r="D863" t="s">
        <v>2106</v>
      </c>
      <c r="F863" t="s">
        <v>645</v>
      </c>
      <c r="H863">
        <v>45</v>
      </c>
      <c r="J863" s="1">
        <v>3185.72</v>
      </c>
      <c r="K863" s="1"/>
      <c r="L863" s="1">
        <v>3185.72</v>
      </c>
      <c r="M863" s="1">
        <v>1918.12</v>
      </c>
      <c r="N863" s="1">
        <f t="shared" si="19"/>
        <v>70.793777777777777</v>
      </c>
    </row>
    <row r="864" spans="1:14" hidden="1" x14ac:dyDescent="0.4">
      <c r="A864" t="s">
        <v>2107</v>
      </c>
      <c r="B864" t="s">
        <v>1904</v>
      </c>
      <c r="C864" s="131">
        <v>36526</v>
      </c>
      <c r="D864" t="s">
        <v>2108</v>
      </c>
      <c r="F864" t="s">
        <v>645</v>
      </c>
      <c r="H864">
        <v>45</v>
      </c>
      <c r="J864" s="1">
        <v>2482.5100000000002</v>
      </c>
      <c r="K864" s="1"/>
      <c r="L864" s="1">
        <v>2482.5100000000002</v>
      </c>
      <c r="M864" s="1">
        <v>1489.44</v>
      </c>
      <c r="N864" s="1">
        <f t="shared" si="19"/>
        <v>55.166888888888892</v>
      </c>
    </row>
    <row r="865" spans="1:14" hidden="1" x14ac:dyDescent="0.4">
      <c r="A865" t="s">
        <v>2109</v>
      </c>
      <c r="B865" t="s">
        <v>1904</v>
      </c>
      <c r="C865" s="131">
        <v>36557</v>
      </c>
      <c r="D865" t="s">
        <v>2108</v>
      </c>
      <c r="F865" t="s">
        <v>645</v>
      </c>
      <c r="H865">
        <v>45</v>
      </c>
      <c r="J865" s="1">
        <v>7476.62</v>
      </c>
      <c r="K865" s="1"/>
      <c r="L865" s="1">
        <v>7476.62</v>
      </c>
      <c r="M865" s="1">
        <v>4470.24</v>
      </c>
      <c r="N865" s="1">
        <f t="shared" si="19"/>
        <v>166.14711111111112</v>
      </c>
    </row>
    <row r="866" spans="1:14" hidden="1" x14ac:dyDescent="0.4">
      <c r="A866" t="s">
        <v>2110</v>
      </c>
      <c r="B866" t="s">
        <v>1904</v>
      </c>
      <c r="C866" s="131">
        <v>36586</v>
      </c>
      <c r="D866" t="s">
        <v>2108</v>
      </c>
      <c r="F866" t="s">
        <v>645</v>
      </c>
      <c r="H866">
        <v>45</v>
      </c>
      <c r="J866" s="1">
        <v>7741.23</v>
      </c>
      <c r="K866" s="1"/>
      <c r="L866" s="1">
        <v>7741.23</v>
      </c>
      <c r="M866" s="1">
        <v>4612.99</v>
      </c>
      <c r="N866" s="1">
        <f t="shared" si="19"/>
        <v>172.02733333333333</v>
      </c>
    </row>
    <row r="867" spans="1:14" hidden="1" x14ac:dyDescent="0.4">
      <c r="A867" t="s">
        <v>2111</v>
      </c>
      <c r="B867" t="s">
        <v>1904</v>
      </c>
      <c r="C867" s="131">
        <v>36617</v>
      </c>
      <c r="D867" t="s">
        <v>2108</v>
      </c>
      <c r="F867" t="s">
        <v>645</v>
      </c>
      <c r="H867">
        <v>45</v>
      </c>
      <c r="J867" s="1">
        <v>7931.8</v>
      </c>
      <c r="K867" s="1"/>
      <c r="L867" s="1">
        <v>7931.8</v>
      </c>
      <c r="M867" s="1">
        <v>4709.8900000000003</v>
      </c>
      <c r="N867" s="1">
        <f t="shared" si="19"/>
        <v>176.26222222222222</v>
      </c>
    </row>
    <row r="868" spans="1:14" hidden="1" x14ac:dyDescent="0.4">
      <c r="A868" t="s">
        <v>2112</v>
      </c>
      <c r="B868" t="s">
        <v>1904</v>
      </c>
      <c r="C868" s="131">
        <v>36647</v>
      </c>
      <c r="D868" t="s">
        <v>2108</v>
      </c>
      <c r="F868" t="s">
        <v>645</v>
      </c>
      <c r="H868">
        <v>45</v>
      </c>
      <c r="J868" s="1">
        <v>5927.46</v>
      </c>
      <c r="K868" s="1"/>
      <c r="L868" s="1">
        <v>5927.46</v>
      </c>
      <c r="M868" s="1">
        <v>3507.57</v>
      </c>
      <c r="N868" s="1">
        <f t="shared" si="19"/>
        <v>131.72133333333335</v>
      </c>
    </row>
    <row r="869" spans="1:14" hidden="1" x14ac:dyDescent="0.4">
      <c r="A869" t="s">
        <v>2113</v>
      </c>
      <c r="B869" t="s">
        <v>1904</v>
      </c>
      <c r="C869" s="131">
        <v>36678</v>
      </c>
      <c r="D869" t="s">
        <v>2108</v>
      </c>
      <c r="F869" t="s">
        <v>645</v>
      </c>
      <c r="H869">
        <v>45</v>
      </c>
      <c r="J869" s="1">
        <v>8389.93</v>
      </c>
      <c r="K869" s="1"/>
      <c r="L869" s="1">
        <v>8389.93</v>
      </c>
      <c r="M869" s="1">
        <v>4946.8900000000003</v>
      </c>
      <c r="N869" s="1">
        <f t="shared" si="19"/>
        <v>186.44288888888889</v>
      </c>
    </row>
    <row r="870" spans="1:14" hidden="1" x14ac:dyDescent="0.4">
      <c r="A870" t="s">
        <v>2114</v>
      </c>
      <c r="B870" t="s">
        <v>1904</v>
      </c>
      <c r="C870" s="131">
        <v>36708</v>
      </c>
      <c r="D870" t="s">
        <v>2108</v>
      </c>
      <c r="F870" t="s">
        <v>645</v>
      </c>
      <c r="H870">
        <v>45</v>
      </c>
      <c r="J870" s="1">
        <v>8250.52</v>
      </c>
      <c r="K870" s="1"/>
      <c r="L870" s="1">
        <v>8250.52</v>
      </c>
      <c r="M870" s="1">
        <v>4847.68</v>
      </c>
      <c r="N870" s="1">
        <f t="shared" si="19"/>
        <v>183.3448888888889</v>
      </c>
    </row>
    <row r="871" spans="1:14" hidden="1" x14ac:dyDescent="0.4">
      <c r="A871" t="s">
        <v>2115</v>
      </c>
      <c r="B871" t="s">
        <v>1904</v>
      </c>
      <c r="C871" s="131">
        <v>36739</v>
      </c>
      <c r="D871" t="s">
        <v>2108</v>
      </c>
      <c r="F871" t="s">
        <v>645</v>
      </c>
      <c r="H871">
        <v>45</v>
      </c>
      <c r="J871" s="1">
        <v>9531.02</v>
      </c>
      <c r="K871" s="1"/>
      <c r="L871" s="1">
        <v>9531.02</v>
      </c>
      <c r="M871" s="1">
        <v>5580.05</v>
      </c>
      <c r="N871" s="1">
        <f t="shared" si="19"/>
        <v>211.80044444444445</v>
      </c>
    </row>
    <row r="872" spans="1:14" hidden="1" x14ac:dyDescent="0.4">
      <c r="A872" t="s">
        <v>2116</v>
      </c>
      <c r="B872" t="s">
        <v>1904</v>
      </c>
      <c r="C872" s="131">
        <v>36770</v>
      </c>
      <c r="D872" t="s">
        <v>2108</v>
      </c>
      <c r="F872" t="s">
        <v>645</v>
      </c>
      <c r="H872">
        <v>45</v>
      </c>
      <c r="J872" s="1">
        <v>13165.97</v>
      </c>
      <c r="K872" s="1"/>
      <c r="L872" s="1">
        <v>13165.97</v>
      </c>
      <c r="M872" s="1">
        <v>7680.17</v>
      </c>
      <c r="N872" s="1">
        <f t="shared" si="19"/>
        <v>292.57711111111109</v>
      </c>
    </row>
    <row r="873" spans="1:14" hidden="1" x14ac:dyDescent="0.4">
      <c r="A873" t="s">
        <v>2117</v>
      </c>
      <c r="B873" t="s">
        <v>1904</v>
      </c>
      <c r="C873" s="131">
        <v>36800</v>
      </c>
      <c r="D873" t="s">
        <v>2108</v>
      </c>
      <c r="F873" t="s">
        <v>645</v>
      </c>
      <c r="H873">
        <v>45</v>
      </c>
      <c r="J873" s="1">
        <v>10523.55</v>
      </c>
      <c r="K873" s="1"/>
      <c r="L873" s="1">
        <v>10523.55</v>
      </c>
      <c r="M873" s="1">
        <v>6117.2</v>
      </c>
      <c r="N873" s="1">
        <f t="shared" si="19"/>
        <v>233.85666666666665</v>
      </c>
    </row>
    <row r="874" spans="1:14" hidden="1" x14ac:dyDescent="0.4">
      <c r="A874" t="s">
        <v>2118</v>
      </c>
      <c r="B874" t="s">
        <v>1904</v>
      </c>
      <c r="C874" s="131">
        <v>36831</v>
      </c>
      <c r="D874" t="s">
        <v>2108</v>
      </c>
      <c r="F874" t="s">
        <v>645</v>
      </c>
      <c r="H874">
        <v>45</v>
      </c>
      <c r="J874" s="1">
        <v>7756.67</v>
      </c>
      <c r="K874" s="1"/>
      <c r="L874" s="1">
        <v>7756.67</v>
      </c>
      <c r="M874" s="1">
        <v>4492.4799999999996</v>
      </c>
      <c r="N874" s="1">
        <f t="shared" si="19"/>
        <v>172.37044444444444</v>
      </c>
    </row>
    <row r="875" spans="1:14" hidden="1" x14ac:dyDescent="0.4">
      <c r="A875" t="s">
        <v>2119</v>
      </c>
      <c r="B875" t="s">
        <v>1904</v>
      </c>
      <c r="C875" s="131">
        <v>36861</v>
      </c>
      <c r="D875" t="s">
        <v>2092</v>
      </c>
      <c r="F875" t="s">
        <v>645</v>
      </c>
      <c r="H875">
        <v>45</v>
      </c>
      <c r="J875" s="1">
        <v>5759.58</v>
      </c>
      <c r="K875" s="1"/>
      <c r="L875" s="1">
        <v>5759.58</v>
      </c>
      <c r="M875" s="1">
        <v>3323.97</v>
      </c>
      <c r="N875" s="1">
        <f t="shared" si="19"/>
        <v>127.99066666666667</v>
      </c>
    </row>
    <row r="876" spans="1:14" hidden="1" x14ac:dyDescent="0.4">
      <c r="A876" t="s">
        <v>2120</v>
      </c>
      <c r="B876" t="s">
        <v>1904</v>
      </c>
      <c r="C876" s="131">
        <v>36892</v>
      </c>
      <c r="D876" t="s">
        <v>2121</v>
      </c>
      <c r="F876" t="s">
        <v>645</v>
      </c>
      <c r="H876">
        <v>45</v>
      </c>
      <c r="J876" s="1">
        <v>6207.69</v>
      </c>
      <c r="K876" s="1"/>
      <c r="L876" s="1">
        <v>6207.69</v>
      </c>
      <c r="M876" s="1">
        <v>3569.37</v>
      </c>
      <c r="N876" s="1">
        <f t="shared" si="19"/>
        <v>137.94866666666667</v>
      </c>
    </row>
    <row r="877" spans="1:14" hidden="1" x14ac:dyDescent="0.4">
      <c r="A877" t="s">
        <v>2122</v>
      </c>
      <c r="B877" t="s">
        <v>1904</v>
      </c>
      <c r="C877" s="131">
        <v>36923</v>
      </c>
      <c r="D877" t="s">
        <v>2121</v>
      </c>
      <c r="F877" t="s">
        <v>645</v>
      </c>
      <c r="H877">
        <v>45</v>
      </c>
      <c r="J877" s="1">
        <v>7892.4</v>
      </c>
      <c r="K877" s="1"/>
      <c r="L877" s="1">
        <v>7892.4</v>
      </c>
      <c r="M877" s="1">
        <v>4521.37</v>
      </c>
      <c r="N877" s="1">
        <f t="shared" si="19"/>
        <v>175.38666666666666</v>
      </c>
    </row>
    <row r="878" spans="1:14" hidden="1" x14ac:dyDescent="0.4">
      <c r="A878" t="s">
        <v>2123</v>
      </c>
      <c r="B878" t="s">
        <v>1904</v>
      </c>
      <c r="C878" s="131">
        <v>36951</v>
      </c>
      <c r="D878" t="s">
        <v>2121</v>
      </c>
      <c r="F878" t="s">
        <v>645</v>
      </c>
      <c r="H878">
        <v>45</v>
      </c>
      <c r="J878" s="1">
        <v>5366.08</v>
      </c>
      <c r="K878" s="1"/>
      <c r="L878" s="1">
        <v>5366.08</v>
      </c>
      <c r="M878" s="1">
        <v>3063.77</v>
      </c>
      <c r="N878" s="1">
        <f t="shared" si="19"/>
        <v>119.24622222222222</v>
      </c>
    </row>
    <row r="879" spans="1:14" hidden="1" x14ac:dyDescent="0.4">
      <c r="A879" t="s">
        <v>2124</v>
      </c>
      <c r="B879" t="s">
        <v>1904</v>
      </c>
      <c r="C879" s="131">
        <v>36982</v>
      </c>
      <c r="D879" t="s">
        <v>2121</v>
      </c>
      <c r="F879" t="s">
        <v>645</v>
      </c>
      <c r="H879">
        <v>45</v>
      </c>
      <c r="J879" s="1">
        <v>8592.84</v>
      </c>
      <c r="K879" s="1"/>
      <c r="L879" s="1">
        <v>8592.84</v>
      </c>
      <c r="M879" s="1">
        <v>4887.8900000000003</v>
      </c>
      <c r="N879" s="1">
        <f t="shared" si="19"/>
        <v>190.952</v>
      </c>
    </row>
    <row r="880" spans="1:14" hidden="1" x14ac:dyDescent="0.4">
      <c r="A880" t="s">
        <v>2125</v>
      </c>
      <c r="B880" t="s">
        <v>1904</v>
      </c>
      <c r="C880" s="131">
        <v>37012</v>
      </c>
      <c r="D880" t="s">
        <v>1905</v>
      </c>
      <c r="F880" t="s">
        <v>645</v>
      </c>
      <c r="H880">
        <v>45</v>
      </c>
      <c r="J880" s="1">
        <v>6734.56</v>
      </c>
      <c r="K880" s="1"/>
      <c r="L880" s="1">
        <v>6734.56</v>
      </c>
      <c r="M880" s="1">
        <v>3816.93</v>
      </c>
      <c r="N880" s="1">
        <f t="shared" si="19"/>
        <v>149.65688888888889</v>
      </c>
    </row>
    <row r="881" spans="1:14" hidden="1" x14ac:dyDescent="0.4">
      <c r="A881" t="s">
        <v>2126</v>
      </c>
      <c r="B881" t="s">
        <v>1904</v>
      </c>
      <c r="C881" s="131">
        <v>37043</v>
      </c>
      <c r="D881" t="s">
        <v>2121</v>
      </c>
      <c r="F881" t="s">
        <v>645</v>
      </c>
      <c r="H881">
        <v>45</v>
      </c>
      <c r="J881" s="1">
        <v>9064.44</v>
      </c>
      <c r="K881" s="1"/>
      <c r="L881" s="1">
        <v>9064.44</v>
      </c>
      <c r="M881" s="1">
        <v>5118.28</v>
      </c>
      <c r="N881" s="1">
        <f t="shared" si="19"/>
        <v>201.43200000000002</v>
      </c>
    </row>
    <row r="882" spans="1:14" hidden="1" x14ac:dyDescent="0.4">
      <c r="A882" t="s">
        <v>2127</v>
      </c>
      <c r="B882" t="s">
        <v>1904</v>
      </c>
      <c r="C882" s="131">
        <v>37073</v>
      </c>
      <c r="D882" t="s">
        <v>1905</v>
      </c>
      <c r="F882" t="s">
        <v>645</v>
      </c>
      <c r="H882">
        <v>45</v>
      </c>
      <c r="J882" s="1">
        <v>7088.22</v>
      </c>
      <c r="K882" s="1"/>
      <c r="L882" s="1">
        <v>7088.22</v>
      </c>
      <c r="M882" s="1">
        <v>3987.95</v>
      </c>
      <c r="N882" s="1">
        <f t="shared" si="19"/>
        <v>157.51600000000002</v>
      </c>
    </row>
    <row r="883" spans="1:14" hidden="1" x14ac:dyDescent="0.4">
      <c r="A883" t="s">
        <v>2128</v>
      </c>
      <c r="B883" t="s">
        <v>1904</v>
      </c>
      <c r="C883" s="131">
        <v>37104</v>
      </c>
      <c r="D883" t="s">
        <v>1905</v>
      </c>
      <c r="F883" t="s">
        <v>645</v>
      </c>
      <c r="H883">
        <v>45</v>
      </c>
      <c r="J883" s="1">
        <v>8252.7000000000007</v>
      </c>
      <c r="K883" s="1"/>
      <c r="L883" s="1">
        <v>8252.7000000000007</v>
      </c>
      <c r="M883" s="1">
        <v>4625.5200000000004</v>
      </c>
      <c r="N883" s="1">
        <f t="shared" si="19"/>
        <v>183.39333333333335</v>
      </c>
    </row>
    <row r="884" spans="1:14" hidden="1" x14ac:dyDescent="0.4">
      <c r="A884" t="s">
        <v>2129</v>
      </c>
      <c r="B884" t="s">
        <v>1904</v>
      </c>
      <c r="C884" s="131">
        <v>37135</v>
      </c>
      <c r="D884" t="s">
        <v>1905</v>
      </c>
      <c r="F884" t="s">
        <v>645</v>
      </c>
      <c r="H884">
        <v>45</v>
      </c>
      <c r="J884" s="1">
        <v>10158.24</v>
      </c>
      <c r="K884" s="1"/>
      <c r="L884" s="1">
        <v>10158.24</v>
      </c>
      <c r="M884" s="1">
        <v>5672</v>
      </c>
      <c r="N884" s="1">
        <f t="shared" si="19"/>
        <v>225.73866666666666</v>
      </c>
    </row>
    <row r="885" spans="1:14" hidden="1" x14ac:dyDescent="0.4">
      <c r="A885" t="s">
        <v>2130</v>
      </c>
      <c r="B885" t="s">
        <v>1904</v>
      </c>
      <c r="C885" s="131">
        <v>37165</v>
      </c>
      <c r="D885" t="s">
        <v>1905</v>
      </c>
      <c r="F885" t="s">
        <v>645</v>
      </c>
      <c r="H885">
        <v>45</v>
      </c>
      <c r="J885" s="1">
        <v>17642.919999999998</v>
      </c>
      <c r="K885" s="1"/>
      <c r="L885" s="1">
        <v>17642.919999999998</v>
      </c>
      <c r="M885" s="1">
        <v>9814.7099999999991</v>
      </c>
      <c r="N885" s="1">
        <f t="shared" si="19"/>
        <v>392.06488888888885</v>
      </c>
    </row>
    <row r="886" spans="1:14" hidden="1" x14ac:dyDescent="0.4">
      <c r="A886" t="s">
        <v>2131</v>
      </c>
      <c r="B886" t="s">
        <v>1904</v>
      </c>
      <c r="C886" s="131">
        <v>37196</v>
      </c>
      <c r="D886" t="s">
        <v>1905</v>
      </c>
      <c r="F886" t="s">
        <v>645</v>
      </c>
      <c r="H886">
        <v>45</v>
      </c>
      <c r="J886" s="1">
        <v>9957.4699999999993</v>
      </c>
      <c r="K886" s="1"/>
      <c r="L886" s="1">
        <v>9957.4699999999993</v>
      </c>
      <c r="M886" s="1">
        <v>5518.28</v>
      </c>
      <c r="N886" s="1">
        <f t="shared" si="19"/>
        <v>221.27711111111108</v>
      </c>
    </row>
    <row r="887" spans="1:14" hidden="1" x14ac:dyDescent="0.4">
      <c r="A887" t="s">
        <v>2132</v>
      </c>
      <c r="B887" t="s">
        <v>1904</v>
      </c>
      <c r="C887" s="131">
        <v>37226</v>
      </c>
      <c r="D887" t="s">
        <v>1905</v>
      </c>
      <c r="F887" t="s">
        <v>645</v>
      </c>
      <c r="H887">
        <v>45</v>
      </c>
      <c r="J887" s="1">
        <v>4846.66</v>
      </c>
      <c r="K887" s="1"/>
      <c r="L887" s="1">
        <v>4846.66</v>
      </c>
      <c r="M887" s="1">
        <v>2676.03</v>
      </c>
      <c r="N887" s="1">
        <f t="shared" si="19"/>
        <v>107.70355555555555</v>
      </c>
    </row>
    <row r="888" spans="1:14" hidden="1" x14ac:dyDescent="0.4">
      <c r="A888" t="s">
        <v>2133</v>
      </c>
      <c r="B888" t="s">
        <v>1904</v>
      </c>
      <c r="C888" s="131">
        <v>37287</v>
      </c>
      <c r="D888" t="s">
        <v>1905</v>
      </c>
      <c r="F888" t="s">
        <v>645</v>
      </c>
      <c r="H888">
        <v>45</v>
      </c>
      <c r="J888" s="1">
        <v>4969.0600000000004</v>
      </c>
      <c r="K888" s="1"/>
      <c r="L888" s="1">
        <v>4969.0600000000004</v>
      </c>
      <c r="M888" s="1">
        <v>2722.85</v>
      </c>
      <c r="N888" s="1">
        <f t="shared" si="19"/>
        <v>110.42355555555557</v>
      </c>
    </row>
    <row r="889" spans="1:14" hidden="1" x14ac:dyDescent="0.4">
      <c r="A889" t="s">
        <v>2134</v>
      </c>
      <c r="B889" t="s">
        <v>1904</v>
      </c>
      <c r="C889" s="131">
        <v>37315</v>
      </c>
      <c r="D889" t="s">
        <v>1905</v>
      </c>
      <c r="F889" t="s">
        <v>645</v>
      </c>
      <c r="H889">
        <v>45</v>
      </c>
      <c r="J889" s="1">
        <v>6282.67</v>
      </c>
      <c r="K889" s="1"/>
      <c r="L889" s="1">
        <v>6282.67</v>
      </c>
      <c r="M889" s="1">
        <v>3430.58</v>
      </c>
      <c r="N889" s="1">
        <f t="shared" si="19"/>
        <v>139.61488888888888</v>
      </c>
    </row>
    <row r="890" spans="1:14" hidden="1" x14ac:dyDescent="0.4">
      <c r="A890" t="s">
        <v>2135</v>
      </c>
      <c r="B890" t="s">
        <v>1904</v>
      </c>
      <c r="C890" s="131">
        <v>37316</v>
      </c>
      <c r="D890" t="s">
        <v>1905</v>
      </c>
      <c r="F890" t="s">
        <v>645</v>
      </c>
      <c r="H890">
        <v>45</v>
      </c>
      <c r="J890" s="1">
        <v>6777.16</v>
      </c>
      <c r="K890" s="1"/>
      <c r="L890" s="1">
        <v>6777.16</v>
      </c>
      <c r="M890" s="1">
        <v>3700.07</v>
      </c>
      <c r="N890" s="1">
        <f t="shared" si="19"/>
        <v>150.60355555555554</v>
      </c>
    </row>
    <row r="891" spans="1:14" hidden="1" x14ac:dyDescent="0.4">
      <c r="A891" t="s">
        <v>2136</v>
      </c>
      <c r="B891" t="s">
        <v>1904</v>
      </c>
      <c r="C891" s="131">
        <v>37347</v>
      </c>
      <c r="D891" t="s">
        <v>1905</v>
      </c>
      <c r="F891" t="s">
        <v>645</v>
      </c>
      <c r="H891">
        <v>45</v>
      </c>
      <c r="J891" s="1">
        <v>10562.16</v>
      </c>
      <c r="K891" s="1"/>
      <c r="L891" s="1">
        <v>10562.16</v>
      </c>
      <c r="M891" s="1">
        <v>5743.99</v>
      </c>
      <c r="N891" s="1">
        <f t="shared" si="19"/>
        <v>234.71466666666666</v>
      </c>
    </row>
    <row r="892" spans="1:14" hidden="1" x14ac:dyDescent="0.4">
      <c r="A892" t="s">
        <v>2137</v>
      </c>
      <c r="B892" t="s">
        <v>1904</v>
      </c>
      <c r="C892" s="131">
        <v>37377</v>
      </c>
      <c r="D892" t="s">
        <v>1905</v>
      </c>
      <c r="F892" t="s">
        <v>645</v>
      </c>
      <c r="H892">
        <v>45</v>
      </c>
      <c r="J892" s="1">
        <v>7875.88</v>
      </c>
      <c r="K892" s="1"/>
      <c r="L892" s="1">
        <v>7875.88</v>
      </c>
      <c r="M892" s="1">
        <v>4267.0600000000004</v>
      </c>
      <c r="N892" s="1">
        <f t="shared" si="19"/>
        <v>175.01955555555557</v>
      </c>
    </row>
    <row r="893" spans="1:14" hidden="1" x14ac:dyDescent="0.4">
      <c r="A893" t="s">
        <v>2138</v>
      </c>
      <c r="B893" t="s">
        <v>1904</v>
      </c>
      <c r="C893" s="131">
        <v>37408</v>
      </c>
      <c r="D893" t="s">
        <v>1905</v>
      </c>
      <c r="F893" t="s">
        <v>645</v>
      </c>
      <c r="H893">
        <v>45</v>
      </c>
      <c r="J893" s="1">
        <v>8435.3700000000008</v>
      </c>
      <c r="K893" s="1"/>
      <c r="L893" s="1">
        <v>8435.3700000000008</v>
      </c>
      <c r="M893" s="1">
        <v>4552.12</v>
      </c>
      <c r="N893" s="1">
        <f t="shared" si="19"/>
        <v>187.45266666666669</v>
      </c>
    </row>
    <row r="894" spans="1:14" hidden="1" x14ac:dyDescent="0.4">
      <c r="A894" t="s">
        <v>2139</v>
      </c>
      <c r="B894" t="s">
        <v>1904</v>
      </c>
      <c r="C894" s="131">
        <v>37468</v>
      </c>
      <c r="D894" t="s">
        <v>1905</v>
      </c>
      <c r="F894" t="s">
        <v>645</v>
      </c>
      <c r="H894">
        <v>45</v>
      </c>
      <c r="J894" s="1">
        <v>10515.41</v>
      </c>
      <c r="K894" s="1"/>
      <c r="L894" s="1">
        <v>10515.41</v>
      </c>
      <c r="M894" s="1">
        <v>5631.61</v>
      </c>
      <c r="N894" s="1">
        <f t="shared" si="19"/>
        <v>233.67577777777777</v>
      </c>
    </row>
    <row r="895" spans="1:14" hidden="1" x14ac:dyDescent="0.4">
      <c r="A895" t="s">
        <v>2140</v>
      </c>
      <c r="B895" t="s">
        <v>1904</v>
      </c>
      <c r="C895" s="131">
        <v>37499</v>
      </c>
      <c r="D895" t="s">
        <v>2141</v>
      </c>
      <c r="F895" t="s">
        <v>645</v>
      </c>
      <c r="H895">
        <v>45</v>
      </c>
      <c r="J895" s="1">
        <v>10178.6</v>
      </c>
      <c r="K895" s="1"/>
      <c r="L895" s="1">
        <v>10178.6</v>
      </c>
      <c r="M895" s="1">
        <v>5429.62</v>
      </c>
      <c r="N895" s="1">
        <f t="shared" si="19"/>
        <v>226.19111111111113</v>
      </c>
    </row>
    <row r="896" spans="1:14" hidden="1" x14ac:dyDescent="0.4">
      <c r="A896" t="s">
        <v>2142</v>
      </c>
      <c r="B896" t="s">
        <v>1904</v>
      </c>
      <c r="C896" s="131">
        <v>37529</v>
      </c>
      <c r="D896" t="s">
        <v>2143</v>
      </c>
      <c r="F896" t="s">
        <v>645</v>
      </c>
      <c r="H896">
        <v>45</v>
      </c>
      <c r="J896" s="1">
        <v>13850.59</v>
      </c>
      <c r="K896" s="1"/>
      <c r="L896" s="1">
        <v>13850.59</v>
      </c>
      <c r="M896" s="1">
        <v>7359.69</v>
      </c>
      <c r="N896" s="1">
        <f t="shared" si="19"/>
        <v>307.7908888888889</v>
      </c>
    </row>
    <row r="897" spans="1:14" hidden="1" x14ac:dyDescent="0.4">
      <c r="A897" t="s">
        <v>2144</v>
      </c>
      <c r="B897" t="s">
        <v>1904</v>
      </c>
      <c r="C897" s="131">
        <v>37560</v>
      </c>
      <c r="D897" t="s">
        <v>2143</v>
      </c>
      <c r="F897" t="s">
        <v>645</v>
      </c>
      <c r="H897">
        <v>45</v>
      </c>
      <c r="J897" s="1">
        <v>15691.88</v>
      </c>
      <c r="K897" s="1"/>
      <c r="L897" s="1">
        <v>15691.88</v>
      </c>
      <c r="M897" s="1">
        <v>8304.94</v>
      </c>
      <c r="N897" s="1">
        <f t="shared" si="19"/>
        <v>348.70844444444441</v>
      </c>
    </row>
    <row r="898" spans="1:14" hidden="1" x14ac:dyDescent="0.4">
      <c r="A898" t="s">
        <v>2145</v>
      </c>
      <c r="B898" t="s">
        <v>1904</v>
      </c>
      <c r="C898" s="131">
        <v>37590</v>
      </c>
      <c r="D898" t="s">
        <v>2143</v>
      </c>
      <c r="F898" t="s">
        <v>645</v>
      </c>
      <c r="H898">
        <v>45</v>
      </c>
      <c r="J898" s="1">
        <v>9927.42</v>
      </c>
      <c r="K898" s="1"/>
      <c r="L898" s="1">
        <v>9927.42</v>
      </c>
      <c r="M898" s="1">
        <v>5233.75</v>
      </c>
      <c r="N898" s="1">
        <f t="shared" si="19"/>
        <v>220.60933333333332</v>
      </c>
    </row>
    <row r="899" spans="1:14" hidden="1" x14ac:dyDescent="0.4">
      <c r="A899" t="s">
        <v>2146</v>
      </c>
      <c r="B899" t="s">
        <v>1904</v>
      </c>
      <c r="C899" s="131">
        <v>37621</v>
      </c>
      <c r="D899" t="s">
        <v>2143</v>
      </c>
      <c r="F899" t="s">
        <v>645</v>
      </c>
      <c r="H899">
        <v>45</v>
      </c>
      <c r="J899" s="1">
        <v>8274.33</v>
      </c>
      <c r="K899" s="1"/>
      <c r="L899" s="1">
        <v>8274.33</v>
      </c>
      <c r="M899" s="1">
        <v>4344.63</v>
      </c>
      <c r="N899" s="1">
        <f t="shared" si="19"/>
        <v>183.874</v>
      </c>
    </row>
    <row r="900" spans="1:14" hidden="1" x14ac:dyDescent="0.4">
      <c r="A900" t="s">
        <v>2147</v>
      </c>
      <c r="B900" t="s">
        <v>1904</v>
      </c>
      <c r="C900" s="131">
        <v>37680</v>
      </c>
      <c r="D900" t="s">
        <v>1905</v>
      </c>
      <c r="F900" t="s">
        <v>645</v>
      </c>
      <c r="H900">
        <v>45</v>
      </c>
      <c r="J900" s="1">
        <v>4938.3100000000004</v>
      </c>
      <c r="K900" s="1"/>
      <c r="L900" s="1">
        <v>4938.3100000000004</v>
      </c>
      <c r="M900" s="1">
        <v>2573.04</v>
      </c>
      <c r="N900" s="1">
        <f t="shared" si="19"/>
        <v>109.74022222222223</v>
      </c>
    </row>
    <row r="901" spans="1:14" hidden="1" x14ac:dyDescent="0.4">
      <c r="A901" t="s">
        <v>2148</v>
      </c>
      <c r="B901" t="s">
        <v>1904</v>
      </c>
      <c r="C901" s="131">
        <v>37652</v>
      </c>
      <c r="D901" t="s">
        <v>2149</v>
      </c>
      <c r="F901" t="s">
        <v>645</v>
      </c>
      <c r="H901">
        <v>45</v>
      </c>
      <c r="J901" s="1">
        <v>4678.88</v>
      </c>
      <c r="K901" s="1"/>
      <c r="L901" s="1">
        <v>4678.88</v>
      </c>
      <c r="M901" s="1">
        <v>2446.7600000000002</v>
      </c>
      <c r="N901" s="1">
        <f t="shared" ref="N901:N934" si="20">L901/H901</f>
        <v>103.97511111111112</v>
      </c>
    </row>
    <row r="902" spans="1:14" hidden="1" x14ac:dyDescent="0.4">
      <c r="A902" t="s">
        <v>2150</v>
      </c>
      <c r="B902" t="s">
        <v>1904</v>
      </c>
      <c r="C902" s="131">
        <v>37772</v>
      </c>
      <c r="D902" t="s">
        <v>1905</v>
      </c>
      <c r="F902" t="s">
        <v>645</v>
      </c>
      <c r="H902">
        <v>45</v>
      </c>
      <c r="J902" s="1">
        <v>14551.32</v>
      </c>
      <c r="K902" s="1"/>
      <c r="L902" s="1">
        <v>14551.32</v>
      </c>
      <c r="M902" s="1">
        <v>7489.88</v>
      </c>
      <c r="N902" s="1">
        <f t="shared" si="20"/>
        <v>323.36266666666666</v>
      </c>
    </row>
    <row r="903" spans="1:14" hidden="1" x14ac:dyDescent="0.4">
      <c r="A903" t="s">
        <v>2151</v>
      </c>
      <c r="B903" t="s">
        <v>1904</v>
      </c>
      <c r="C903" s="131">
        <v>37711</v>
      </c>
      <c r="D903" t="s">
        <v>1905</v>
      </c>
      <c r="F903" t="s">
        <v>645</v>
      </c>
      <c r="H903">
        <v>45</v>
      </c>
      <c r="J903" s="1">
        <v>9515.01</v>
      </c>
      <c r="K903" s="1"/>
      <c r="L903" s="1">
        <v>9515.01</v>
      </c>
      <c r="M903" s="1">
        <v>4937.47</v>
      </c>
      <c r="N903" s="1">
        <f t="shared" si="20"/>
        <v>211.44466666666668</v>
      </c>
    </row>
    <row r="904" spans="1:14" hidden="1" x14ac:dyDescent="0.4">
      <c r="A904" t="s">
        <v>2152</v>
      </c>
      <c r="B904" t="s">
        <v>1904</v>
      </c>
      <c r="C904" s="131">
        <v>37802</v>
      </c>
      <c r="D904" t="s">
        <v>1905</v>
      </c>
      <c r="F904" t="s">
        <v>645</v>
      </c>
      <c r="H904">
        <v>45</v>
      </c>
      <c r="J904" s="1">
        <v>7553.42</v>
      </c>
      <c r="K904" s="1"/>
      <c r="L904" s="1">
        <v>7553.42</v>
      </c>
      <c r="M904" s="1">
        <v>3872.51</v>
      </c>
      <c r="N904" s="1">
        <f t="shared" si="20"/>
        <v>167.85377777777779</v>
      </c>
    </row>
    <row r="905" spans="1:14" hidden="1" x14ac:dyDescent="0.4">
      <c r="A905" t="s">
        <v>2153</v>
      </c>
      <c r="B905" t="s">
        <v>1904</v>
      </c>
      <c r="C905" s="131">
        <v>37833</v>
      </c>
      <c r="D905" t="s">
        <v>1905</v>
      </c>
      <c r="F905" t="s">
        <v>645</v>
      </c>
      <c r="H905">
        <v>45</v>
      </c>
      <c r="J905" s="1">
        <v>11642.17</v>
      </c>
      <c r="K905" s="1"/>
      <c r="L905" s="1">
        <v>11642.17</v>
      </c>
      <c r="M905" s="1">
        <v>5943.8</v>
      </c>
      <c r="N905" s="1">
        <f t="shared" si="20"/>
        <v>258.71488888888888</v>
      </c>
    </row>
    <row r="906" spans="1:14" hidden="1" x14ac:dyDescent="0.4">
      <c r="A906" t="s">
        <v>2154</v>
      </c>
      <c r="B906" t="s">
        <v>1904</v>
      </c>
      <c r="C906" s="131">
        <v>37864</v>
      </c>
      <c r="D906" t="s">
        <v>1905</v>
      </c>
      <c r="F906" t="s">
        <v>645</v>
      </c>
      <c r="H906">
        <v>45</v>
      </c>
      <c r="J906" s="1">
        <v>12713.51</v>
      </c>
      <c r="K906" s="1"/>
      <c r="L906" s="1">
        <v>12713.51</v>
      </c>
      <c r="M906" s="1">
        <v>6463.91</v>
      </c>
      <c r="N906" s="1">
        <f t="shared" si="20"/>
        <v>282.52244444444443</v>
      </c>
    </row>
    <row r="907" spans="1:14" hidden="1" x14ac:dyDescent="0.4">
      <c r="A907" t="s">
        <v>2155</v>
      </c>
      <c r="B907" t="s">
        <v>1904</v>
      </c>
      <c r="C907" s="131">
        <v>37894</v>
      </c>
      <c r="D907" t="s">
        <v>1905</v>
      </c>
      <c r="F907" t="s">
        <v>645</v>
      </c>
      <c r="H907">
        <v>45</v>
      </c>
      <c r="J907" s="1">
        <v>10600.02</v>
      </c>
      <c r="K907" s="1"/>
      <c r="L907" s="1">
        <v>10600.02</v>
      </c>
      <c r="M907" s="1">
        <v>5367.52</v>
      </c>
      <c r="N907" s="1">
        <f t="shared" si="20"/>
        <v>235.55600000000001</v>
      </c>
    </row>
    <row r="908" spans="1:14" hidden="1" x14ac:dyDescent="0.4">
      <c r="A908" t="s">
        <v>2156</v>
      </c>
      <c r="B908" t="s">
        <v>1904</v>
      </c>
      <c r="C908" s="131">
        <v>37925</v>
      </c>
      <c r="D908" t="s">
        <v>1905</v>
      </c>
      <c r="F908" t="s">
        <v>645</v>
      </c>
      <c r="H908">
        <v>45</v>
      </c>
      <c r="J908" s="1">
        <v>13829.49</v>
      </c>
      <c r="K908" s="1"/>
      <c r="L908" s="1">
        <v>13829.49</v>
      </c>
      <c r="M908" s="1">
        <v>6973.53</v>
      </c>
      <c r="N908" s="1">
        <f t="shared" si="20"/>
        <v>307.322</v>
      </c>
    </row>
    <row r="909" spans="1:14" hidden="1" x14ac:dyDescent="0.4">
      <c r="A909" t="s">
        <v>2157</v>
      </c>
      <c r="B909" t="s">
        <v>1904</v>
      </c>
      <c r="C909" s="131">
        <v>37955</v>
      </c>
      <c r="D909" t="s">
        <v>1905</v>
      </c>
      <c r="F909" t="s">
        <v>645</v>
      </c>
      <c r="H909">
        <v>45</v>
      </c>
      <c r="J909" s="1">
        <v>5532.09</v>
      </c>
      <c r="K909" s="1"/>
      <c r="L909" s="1">
        <v>5532.09</v>
      </c>
      <c r="M909" s="1">
        <v>2778.13</v>
      </c>
      <c r="N909" s="1">
        <f t="shared" si="20"/>
        <v>122.93533333333333</v>
      </c>
    </row>
    <row r="910" spans="1:14" hidden="1" x14ac:dyDescent="0.4">
      <c r="A910" t="s">
        <v>2158</v>
      </c>
      <c r="B910" t="s">
        <v>1904</v>
      </c>
      <c r="C910" s="131">
        <v>37986</v>
      </c>
      <c r="D910" t="s">
        <v>1905</v>
      </c>
      <c r="F910" t="s">
        <v>645</v>
      </c>
      <c r="H910">
        <v>45</v>
      </c>
      <c r="J910" s="1">
        <v>3172.78</v>
      </c>
      <c r="K910" s="1"/>
      <c r="L910" s="1">
        <v>3172.78</v>
      </c>
      <c r="M910" s="1">
        <v>1586.62</v>
      </c>
      <c r="N910" s="1">
        <f t="shared" si="20"/>
        <v>70.50622222222222</v>
      </c>
    </row>
    <row r="911" spans="1:14" hidden="1" x14ac:dyDescent="0.4">
      <c r="A911" t="s">
        <v>2159</v>
      </c>
      <c r="B911" t="s">
        <v>1904</v>
      </c>
      <c r="C911" s="131">
        <v>38017</v>
      </c>
      <c r="D911" t="s">
        <v>2149</v>
      </c>
      <c r="F911" t="s">
        <v>645</v>
      </c>
      <c r="H911">
        <v>45</v>
      </c>
      <c r="J911" s="1">
        <v>6552.49</v>
      </c>
      <c r="K911" s="1"/>
      <c r="L911" s="1">
        <v>6552.49</v>
      </c>
      <c r="M911" s="1">
        <v>3262.78</v>
      </c>
      <c r="N911" s="1">
        <f t="shared" si="20"/>
        <v>145.61088888888889</v>
      </c>
    </row>
    <row r="912" spans="1:14" hidden="1" x14ac:dyDescent="0.4">
      <c r="A912" t="s">
        <v>2160</v>
      </c>
      <c r="B912" t="s">
        <v>1904</v>
      </c>
      <c r="C912" s="131">
        <v>38045</v>
      </c>
      <c r="D912" t="s">
        <v>2149</v>
      </c>
      <c r="F912" t="s">
        <v>645</v>
      </c>
      <c r="H912">
        <v>45</v>
      </c>
      <c r="J912" s="1">
        <v>7422.13</v>
      </c>
      <c r="K912" s="1"/>
      <c r="L912" s="1">
        <v>7422.13</v>
      </c>
      <c r="M912" s="1">
        <v>3681.6</v>
      </c>
      <c r="N912" s="1">
        <f t="shared" si="20"/>
        <v>164.93622222222223</v>
      </c>
    </row>
    <row r="913" spans="1:14" hidden="1" x14ac:dyDescent="0.4">
      <c r="A913" t="s">
        <v>2161</v>
      </c>
      <c r="B913" t="s">
        <v>1904</v>
      </c>
      <c r="C913" s="131">
        <v>38077</v>
      </c>
      <c r="D913" t="s">
        <v>2149</v>
      </c>
      <c r="F913" t="s">
        <v>645</v>
      </c>
      <c r="H913">
        <v>45</v>
      </c>
      <c r="J913" s="1">
        <v>9089.39</v>
      </c>
      <c r="K913" s="1"/>
      <c r="L913" s="1">
        <v>9089.39</v>
      </c>
      <c r="M913" s="1">
        <v>4488.7299999999996</v>
      </c>
      <c r="N913" s="1">
        <f t="shared" si="20"/>
        <v>201.98644444444443</v>
      </c>
    </row>
    <row r="914" spans="1:14" hidden="1" x14ac:dyDescent="0.4">
      <c r="A914" t="s">
        <v>2162</v>
      </c>
      <c r="B914" t="s">
        <v>1904</v>
      </c>
      <c r="C914" s="131">
        <v>38107</v>
      </c>
      <c r="D914" t="s">
        <v>2149</v>
      </c>
      <c r="F914" t="s">
        <v>645</v>
      </c>
      <c r="H914">
        <v>45</v>
      </c>
      <c r="J914" s="1">
        <v>3761.71</v>
      </c>
      <c r="K914" s="1"/>
      <c r="L914" s="1">
        <v>3761.71</v>
      </c>
      <c r="M914" s="1">
        <v>1849.97</v>
      </c>
      <c r="N914" s="1">
        <f t="shared" si="20"/>
        <v>83.593555555555554</v>
      </c>
    </row>
    <row r="915" spans="1:14" hidden="1" x14ac:dyDescent="0.4">
      <c r="A915" t="s">
        <v>2163</v>
      </c>
      <c r="B915" t="s">
        <v>1904</v>
      </c>
      <c r="C915" s="131">
        <v>38138</v>
      </c>
      <c r="D915" t="s">
        <v>2149</v>
      </c>
      <c r="F915" t="s">
        <v>645</v>
      </c>
      <c r="H915">
        <v>45</v>
      </c>
      <c r="J915" s="1">
        <v>7003.89</v>
      </c>
      <c r="K915" s="1"/>
      <c r="L915" s="1">
        <v>7003.89</v>
      </c>
      <c r="M915" s="1">
        <v>3429.76</v>
      </c>
      <c r="N915" s="1">
        <f t="shared" si="20"/>
        <v>155.642</v>
      </c>
    </row>
    <row r="916" spans="1:14" hidden="1" x14ac:dyDescent="0.4">
      <c r="A916" t="s">
        <v>2164</v>
      </c>
      <c r="B916" t="s">
        <v>1904</v>
      </c>
      <c r="C916" s="131">
        <v>38168</v>
      </c>
      <c r="D916" t="s">
        <v>2149</v>
      </c>
      <c r="F916" t="s">
        <v>645</v>
      </c>
      <c r="H916">
        <v>45</v>
      </c>
      <c r="J916" s="1">
        <v>7040.33</v>
      </c>
      <c r="K916" s="1"/>
      <c r="L916" s="1">
        <v>7040.33</v>
      </c>
      <c r="M916" s="1">
        <v>3433.16</v>
      </c>
      <c r="N916" s="1">
        <f t="shared" si="20"/>
        <v>156.45177777777778</v>
      </c>
    </row>
    <row r="917" spans="1:14" hidden="1" x14ac:dyDescent="0.4">
      <c r="A917" t="s">
        <v>2165</v>
      </c>
      <c r="B917" t="s">
        <v>1904</v>
      </c>
      <c r="C917" s="131">
        <v>38199</v>
      </c>
      <c r="D917" t="s">
        <v>2149</v>
      </c>
      <c r="F917" t="s">
        <v>645</v>
      </c>
      <c r="H917">
        <v>45</v>
      </c>
      <c r="J917" s="1">
        <v>9200.6200000000008</v>
      </c>
      <c r="K917" s="1"/>
      <c r="L917" s="1">
        <v>9200.6200000000008</v>
      </c>
      <c r="M917" s="1">
        <v>4467.16</v>
      </c>
      <c r="N917" s="1">
        <f t="shared" si="20"/>
        <v>204.45822222222225</v>
      </c>
    </row>
    <row r="918" spans="1:14" hidden="1" x14ac:dyDescent="0.4">
      <c r="A918" t="s">
        <v>2166</v>
      </c>
      <c r="B918" t="s">
        <v>1904</v>
      </c>
      <c r="C918" s="131">
        <v>38230</v>
      </c>
      <c r="D918" t="s">
        <v>2149</v>
      </c>
      <c r="F918" t="s">
        <v>645</v>
      </c>
      <c r="H918">
        <v>45</v>
      </c>
      <c r="J918" s="1">
        <v>9852.7000000000007</v>
      </c>
      <c r="K918" s="1"/>
      <c r="L918" s="1">
        <v>9852.7000000000007</v>
      </c>
      <c r="M918" s="1">
        <v>4762.8599999999997</v>
      </c>
      <c r="N918" s="1">
        <f t="shared" si="20"/>
        <v>218.94888888888892</v>
      </c>
    </row>
    <row r="919" spans="1:14" hidden="1" x14ac:dyDescent="0.4">
      <c r="A919" t="s">
        <v>2167</v>
      </c>
      <c r="B919" t="s">
        <v>1904</v>
      </c>
      <c r="C919" s="131">
        <v>38260</v>
      </c>
      <c r="D919" t="s">
        <v>2149</v>
      </c>
      <c r="F919" t="s">
        <v>645</v>
      </c>
      <c r="H919">
        <v>45</v>
      </c>
      <c r="J919" s="1">
        <v>9365.0300000000007</v>
      </c>
      <c r="K919" s="1"/>
      <c r="L919" s="1">
        <v>9365.0300000000007</v>
      </c>
      <c r="M919" s="1">
        <v>4507.96</v>
      </c>
      <c r="N919" s="1">
        <f t="shared" si="20"/>
        <v>208.1117777777778</v>
      </c>
    </row>
    <row r="920" spans="1:14" hidden="1" x14ac:dyDescent="0.4">
      <c r="A920" t="s">
        <v>2168</v>
      </c>
      <c r="B920" t="s">
        <v>1904</v>
      </c>
      <c r="C920" s="131">
        <v>38291</v>
      </c>
      <c r="D920" t="s">
        <v>2149</v>
      </c>
      <c r="F920" t="s">
        <v>645</v>
      </c>
      <c r="H920">
        <v>45</v>
      </c>
      <c r="J920" s="1">
        <v>7892.98</v>
      </c>
      <c r="K920" s="1"/>
      <c r="L920" s="1">
        <v>7892.98</v>
      </c>
      <c r="M920" s="1">
        <v>3782.51</v>
      </c>
      <c r="N920" s="1">
        <f t="shared" si="20"/>
        <v>175.39955555555554</v>
      </c>
    </row>
    <row r="921" spans="1:14" hidden="1" x14ac:dyDescent="0.4">
      <c r="A921" t="s">
        <v>2169</v>
      </c>
      <c r="B921" t="s">
        <v>1904</v>
      </c>
      <c r="C921" s="131">
        <v>38321</v>
      </c>
      <c r="D921" t="s">
        <v>2149</v>
      </c>
      <c r="F921" t="s">
        <v>645</v>
      </c>
      <c r="H921">
        <v>45</v>
      </c>
      <c r="J921" s="1">
        <v>7261.39</v>
      </c>
      <c r="K921" s="1"/>
      <c r="L921" s="1">
        <v>7261.39</v>
      </c>
      <c r="M921" s="1">
        <v>3464.94</v>
      </c>
      <c r="N921" s="1">
        <f t="shared" si="20"/>
        <v>161.36422222222222</v>
      </c>
    </row>
    <row r="922" spans="1:14" hidden="1" x14ac:dyDescent="0.4">
      <c r="A922" t="s">
        <v>2170</v>
      </c>
      <c r="B922" t="s">
        <v>1904</v>
      </c>
      <c r="C922" s="131">
        <v>38352</v>
      </c>
      <c r="D922" t="s">
        <v>2149</v>
      </c>
      <c r="F922" t="s">
        <v>645</v>
      </c>
      <c r="H922">
        <v>45</v>
      </c>
      <c r="J922" s="1">
        <v>6498.28</v>
      </c>
      <c r="K922" s="1"/>
      <c r="L922" s="1">
        <v>6498.28</v>
      </c>
      <c r="M922" s="1">
        <v>3087.18</v>
      </c>
      <c r="N922" s="1">
        <f t="shared" si="20"/>
        <v>144.40622222222223</v>
      </c>
    </row>
    <row r="923" spans="1:14" hidden="1" x14ac:dyDescent="0.4">
      <c r="A923" t="s">
        <v>2171</v>
      </c>
      <c r="B923" t="s">
        <v>1904</v>
      </c>
      <c r="C923" s="131">
        <v>38383</v>
      </c>
      <c r="D923" t="s">
        <v>1905</v>
      </c>
      <c r="F923" t="s">
        <v>645</v>
      </c>
      <c r="H923">
        <v>45</v>
      </c>
      <c r="J923" s="1">
        <v>4851.78</v>
      </c>
      <c r="K923" s="1"/>
      <c r="L923" s="1">
        <v>4851.78</v>
      </c>
      <c r="M923" s="1">
        <v>2294.5500000000002</v>
      </c>
      <c r="N923" s="1">
        <f t="shared" si="20"/>
        <v>107.81733333333332</v>
      </c>
    </row>
    <row r="924" spans="1:14" hidden="1" x14ac:dyDescent="0.4">
      <c r="A924" t="s">
        <v>2172</v>
      </c>
      <c r="B924" t="s">
        <v>1904</v>
      </c>
      <c r="C924" s="131">
        <v>38411</v>
      </c>
      <c r="D924" t="s">
        <v>1905</v>
      </c>
      <c r="F924" t="s">
        <v>645</v>
      </c>
      <c r="H924">
        <v>45</v>
      </c>
      <c r="J924" s="1">
        <v>8992.02</v>
      </c>
      <c r="K924" s="1"/>
      <c r="L924" s="1">
        <v>8992.02</v>
      </c>
      <c r="M924" s="1">
        <v>4235.4799999999996</v>
      </c>
      <c r="N924" s="1">
        <f t="shared" si="20"/>
        <v>199.82266666666666</v>
      </c>
    </row>
    <row r="925" spans="1:14" hidden="1" x14ac:dyDescent="0.4">
      <c r="A925" t="s">
        <v>2173</v>
      </c>
      <c r="B925" t="s">
        <v>1904</v>
      </c>
      <c r="C925" s="131">
        <v>38442</v>
      </c>
      <c r="D925" t="s">
        <v>1905</v>
      </c>
      <c r="F925" t="s">
        <v>645</v>
      </c>
      <c r="H925">
        <v>45</v>
      </c>
      <c r="J925" s="1">
        <v>8214.48</v>
      </c>
      <c r="K925" s="1"/>
      <c r="L925" s="1">
        <v>8214.48</v>
      </c>
      <c r="M925" s="1">
        <v>3851.77</v>
      </c>
      <c r="N925" s="1">
        <f t="shared" si="20"/>
        <v>182.54399999999998</v>
      </c>
    </row>
    <row r="926" spans="1:14" hidden="1" x14ac:dyDescent="0.4">
      <c r="A926" t="s">
        <v>2174</v>
      </c>
      <c r="B926" t="s">
        <v>1904</v>
      </c>
      <c r="C926" s="131">
        <v>38472</v>
      </c>
      <c r="D926" t="s">
        <v>1905</v>
      </c>
      <c r="F926" t="s">
        <v>645</v>
      </c>
      <c r="H926">
        <v>45</v>
      </c>
      <c r="J926" s="1">
        <v>8637.0300000000007</v>
      </c>
      <c r="K926" s="1"/>
      <c r="L926" s="1">
        <v>8637.0300000000007</v>
      </c>
      <c r="M926" s="1">
        <v>4032.27</v>
      </c>
      <c r="N926" s="1">
        <f t="shared" si="20"/>
        <v>191.93400000000003</v>
      </c>
    </row>
    <row r="927" spans="1:14" hidden="1" x14ac:dyDescent="0.4">
      <c r="A927" t="s">
        <v>2175</v>
      </c>
      <c r="B927" t="s">
        <v>1904</v>
      </c>
      <c r="C927" s="131">
        <v>38503</v>
      </c>
      <c r="D927" t="s">
        <v>1905</v>
      </c>
      <c r="F927" t="s">
        <v>645</v>
      </c>
      <c r="H927">
        <v>45</v>
      </c>
      <c r="J927" s="1">
        <v>5499.49</v>
      </c>
      <c r="K927" s="1"/>
      <c r="L927" s="1">
        <v>5499.49</v>
      </c>
      <c r="M927" s="1">
        <v>2555.81</v>
      </c>
      <c r="N927" s="1">
        <f t="shared" si="20"/>
        <v>122.21088888888889</v>
      </c>
    </row>
    <row r="928" spans="1:14" hidden="1" x14ac:dyDescent="0.4">
      <c r="A928" t="s">
        <v>2176</v>
      </c>
      <c r="B928" t="s">
        <v>1904</v>
      </c>
      <c r="C928" s="131">
        <v>38533</v>
      </c>
      <c r="D928" t="s">
        <v>1905</v>
      </c>
      <c r="F928" t="s">
        <v>645</v>
      </c>
      <c r="H928">
        <v>45</v>
      </c>
      <c r="J928" s="1">
        <v>8403.5499999999993</v>
      </c>
      <c r="K928" s="1"/>
      <c r="L928" s="1">
        <v>8403.5499999999993</v>
      </c>
      <c r="M928" s="1">
        <v>3888.1</v>
      </c>
      <c r="N928" s="1">
        <f t="shared" si="20"/>
        <v>186.74555555555554</v>
      </c>
    </row>
    <row r="929" spans="1:14" hidden="1" x14ac:dyDescent="0.4">
      <c r="A929" t="s">
        <v>2177</v>
      </c>
      <c r="B929" t="s">
        <v>1904</v>
      </c>
      <c r="C929" s="131">
        <v>38564</v>
      </c>
      <c r="D929" t="s">
        <v>1905</v>
      </c>
      <c r="F929" t="s">
        <v>645</v>
      </c>
      <c r="H929">
        <v>45</v>
      </c>
      <c r="J929" s="1">
        <v>15784.52</v>
      </c>
      <c r="K929" s="1"/>
      <c r="L929" s="1">
        <v>15784.52</v>
      </c>
      <c r="M929" s="1">
        <v>7269.47</v>
      </c>
      <c r="N929" s="1">
        <f t="shared" si="20"/>
        <v>350.76711111111115</v>
      </c>
    </row>
    <row r="930" spans="1:14" hidden="1" x14ac:dyDescent="0.4">
      <c r="A930" t="s">
        <v>2178</v>
      </c>
      <c r="B930" t="s">
        <v>1904</v>
      </c>
      <c r="C930" s="131">
        <v>38595</v>
      </c>
      <c r="D930" t="s">
        <v>1905</v>
      </c>
      <c r="F930" t="s">
        <v>645</v>
      </c>
      <c r="H930">
        <v>45</v>
      </c>
      <c r="J930" s="1">
        <v>4633.1400000000003</v>
      </c>
      <c r="K930" s="1"/>
      <c r="L930" s="1">
        <v>4633.1400000000003</v>
      </c>
      <c r="M930" s="1">
        <v>2123.9699999999998</v>
      </c>
      <c r="N930" s="1">
        <f t="shared" si="20"/>
        <v>102.95866666666667</v>
      </c>
    </row>
    <row r="931" spans="1:14" hidden="1" x14ac:dyDescent="0.4">
      <c r="A931" t="s">
        <v>2179</v>
      </c>
      <c r="B931" t="s">
        <v>1904</v>
      </c>
      <c r="C931" s="131">
        <v>38625</v>
      </c>
      <c r="D931" t="s">
        <v>1905</v>
      </c>
      <c r="F931" t="s">
        <v>645</v>
      </c>
      <c r="H931">
        <v>45</v>
      </c>
      <c r="J931" s="1">
        <v>5142.76</v>
      </c>
      <c r="K931" s="1"/>
      <c r="L931" s="1">
        <v>5142.76</v>
      </c>
      <c r="M931" s="1">
        <v>2347.02</v>
      </c>
      <c r="N931" s="1">
        <f t="shared" si="20"/>
        <v>114.28355555555557</v>
      </c>
    </row>
    <row r="932" spans="1:14" hidden="1" x14ac:dyDescent="0.4">
      <c r="A932" t="s">
        <v>2180</v>
      </c>
      <c r="B932" t="s">
        <v>1904</v>
      </c>
      <c r="C932" s="131">
        <v>38656</v>
      </c>
      <c r="D932" t="s">
        <v>1905</v>
      </c>
      <c r="F932" t="s">
        <v>645</v>
      </c>
      <c r="H932">
        <v>45</v>
      </c>
      <c r="J932" s="1">
        <v>4805.01</v>
      </c>
      <c r="K932" s="1"/>
      <c r="L932" s="1">
        <v>4805.01</v>
      </c>
      <c r="M932" s="1">
        <v>2182.7399999999998</v>
      </c>
      <c r="N932" s="1">
        <f t="shared" si="20"/>
        <v>106.77800000000001</v>
      </c>
    </row>
    <row r="933" spans="1:14" hidden="1" x14ac:dyDescent="0.4">
      <c r="A933" t="s">
        <v>2181</v>
      </c>
      <c r="B933" t="s">
        <v>1904</v>
      </c>
      <c r="C933" s="131">
        <v>38686</v>
      </c>
      <c r="D933" t="s">
        <v>1905</v>
      </c>
      <c r="F933" t="s">
        <v>645</v>
      </c>
      <c r="H933">
        <v>45</v>
      </c>
      <c r="J933" s="1">
        <v>3635.76</v>
      </c>
      <c r="K933" s="1"/>
      <c r="L933" s="1">
        <v>3635.76</v>
      </c>
      <c r="M933" s="1">
        <v>1643.99</v>
      </c>
      <c r="N933" s="1">
        <f t="shared" si="20"/>
        <v>80.794666666666672</v>
      </c>
    </row>
    <row r="934" spans="1:14" hidden="1" x14ac:dyDescent="0.4">
      <c r="A934" t="s">
        <v>2182</v>
      </c>
      <c r="B934" t="s">
        <v>1904</v>
      </c>
      <c r="C934" s="131">
        <v>38717</v>
      </c>
      <c r="D934" t="s">
        <v>1905</v>
      </c>
      <c r="F934" t="s">
        <v>645</v>
      </c>
      <c r="H934">
        <v>45</v>
      </c>
      <c r="J934" s="1">
        <v>2022.28</v>
      </c>
      <c r="K934" s="1"/>
      <c r="L934" s="1">
        <v>2022.28</v>
      </c>
      <c r="M934" s="1">
        <v>910.22</v>
      </c>
      <c r="N934" s="1">
        <f t="shared" si="20"/>
        <v>44.939555555555557</v>
      </c>
    </row>
    <row r="935" spans="1:14" x14ac:dyDescent="0.4">
      <c r="C935" s="131"/>
      <c r="J935" s="1"/>
      <c r="K935" s="1"/>
      <c r="L935" s="1"/>
      <c r="M935" s="1"/>
      <c r="N935" s="1"/>
    </row>
    <row r="936" spans="1:14" x14ac:dyDescent="0.4">
      <c r="A936" s="237" t="str">
        <f>A450</f>
        <v>Meters and Meter Installations</v>
      </c>
      <c r="C936" s="131"/>
      <c r="J936" s="1">
        <f>SUM(J451:J935)</f>
        <v>7936630.419999999</v>
      </c>
      <c r="K936" s="1"/>
      <c r="L936" s="1"/>
      <c r="M936" s="1"/>
      <c r="N936" s="1">
        <f>SUM(N451:N935)</f>
        <v>320001.12355555524</v>
      </c>
    </row>
    <row r="937" spans="1:14" x14ac:dyDescent="0.4">
      <c r="C937" s="131"/>
      <c r="J937" s="1"/>
      <c r="K937" s="1"/>
      <c r="L937" s="1"/>
      <c r="M937" s="1"/>
      <c r="N937" s="1"/>
    </row>
    <row r="938" spans="1:14" x14ac:dyDescent="0.4">
      <c r="C938" s="131"/>
      <c r="J938" s="1"/>
      <c r="K938" s="1"/>
      <c r="L938" s="1"/>
      <c r="M938" s="1"/>
      <c r="N938" s="1"/>
    </row>
    <row r="939" spans="1:14" x14ac:dyDescent="0.4">
      <c r="C939" s="131"/>
      <c r="J939" s="1"/>
      <c r="K939" s="1"/>
      <c r="L939" s="1"/>
      <c r="M939" s="1"/>
      <c r="N939" s="1"/>
    </row>
    <row r="940" spans="1:14" x14ac:dyDescent="0.4">
      <c r="C940" s="131"/>
      <c r="J940" s="1"/>
      <c r="K940" s="1"/>
      <c r="L940" s="1"/>
      <c r="M940" s="1"/>
      <c r="N940" s="1"/>
    </row>
    <row r="941" spans="1:14" x14ac:dyDescent="0.4">
      <c r="C941" s="131"/>
      <c r="J941" s="1"/>
      <c r="K941" s="1"/>
      <c r="L941" s="1"/>
      <c r="M941" s="1"/>
      <c r="N941" s="1"/>
    </row>
    <row r="942" spans="1:14" ht="21" x14ac:dyDescent="0.5">
      <c r="A942" s="242" t="s">
        <v>2183</v>
      </c>
      <c r="C942" s="131"/>
      <c r="J942" s="1"/>
      <c r="K942" s="1"/>
      <c r="L942" s="1"/>
      <c r="M942" s="1"/>
      <c r="N942" s="1"/>
    </row>
    <row r="943" spans="1:14" hidden="1" x14ac:dyDescent="0.4">
      <c r="A943" t="s">
        <v>2184</v>
      </c>
      <c r="B943" t="s">
        <v>2185</v>
      </c>
      <c r="C943" s="131">
        <v>31594</v>
      </c>
      <c r="D943" t="s">
        <v>2186</v>
      </c>
      <c r="F943" t="s">
        <v>645</v>
      </c>
      <c r="H943">
        <v>50</v>
      </c>
      <c r="J943" s="1">
        <v>400</v>
      </c>
      <c r="K943" s="1"/>
      <c r="L943" s="1">
        <v>400</v>
      </c>
      <c r="M943" s="1">
        <v>375</v>
      </c>
      <c r="N943" s="1">
        <f>L943/H943</f>
        <v>8</v>
      </c>
    </row>
    <row r="944" spans="1:14" hidden="1" x14ac:dyDescent="0.4">
      <c r="A944" t="s">
        <v>2187</v>
      </c>
      <c r="B944" t="s">
        <v>2185</v>
      </c>
      <c r="C944" s="131">
        <v>31897</v>
      </c>
      <c r="D944" t="s">
        <v>2188</v>
      </c>
      <c r="F944" t="s">
        <v>645</v>
      </c>
      <c r="H944">
        <v>50</v>
      </c>
      <c r="J944" s="1">
        <v>810.75</v>
      </c>
      <c r="K944" s="1"/>
      <c r="L944" s="1">
        <v>810.75</v>
      </c>
      <c r="M944" s="1">
        <v>744.92</v>
      </c>
      <c r="N944" s="1">
        <f t="shared" ref="N944:N1007" si="21">L944/H944</f>
        <v>16.215</v>
      </c>
    </row>
    <row r="945" spans="1:14" hidden="1" x14ac:dyDescent="0.4">
      <c r="A945" t="s">
        <v>2189</v>
      </c>
      <c r="B945" t="s">
        <v>2185</v>
      </c>
      <c r="C945" s="131">
        <v>31928</v>
      </c>
      <c r="D945" t="s">
        <v>2190</v>
      </c>
      <c r="F945" t="s">
        <v>645</v>
      </c>
      <c r="H945">
        <v>50</v>
      </c>
      <c r="J945" s="1">
        <v>1654.8</v>
      </c>
      <c r="K945" s="1"/>
      <c r="L945" s="1">
        <v>1654.8</v>
      </c>
      <c r="M945" s="1">
        <v>1516.9</v>
      </c>
      <c r="N945" s="1">
        <f t="shared" si="21"/>
        <v>33.095999999999997</v>
      </c>
    </row>
    <row r="946" spans="1:14" hidden="1" x14ac:dyDescent="0.4">
      <c r="A946" t="s">
        <v>2191</v>
      </c>
      <c r="B946" t="s">
        <v>2185</v>
      </c>
      <c r="C946" s="131">
        <v>31852</v>
      </c>
      <c r="D946" t="s">
        <v>2192</v>
      </c>
      <c r="F946" t="s">
        <v>645</v>
      </c>
      <c r="H946">
        <v>50</v>
      </c>
      <c r="J946" s="1">
        <v>195.22</v>
      </c>
      <c r="K946" s="1"/>
      <c r="L946" s="1">
        <v>195.22</v>
      </c>
      <c r="M946" s="1">
        <v>179.75</v>
      </c>
      <c r="N946" s="1">
        <f t="shared" si="21"/>
        <v>3.9043999999999999</v>
      </c>
    </row>
    <row r="947" spans="1:14" hidden="1" x14ac:dyDescent="0.4">
      <c r="A947" t="s">
        <v>2193</v>
      </c>
      <c r="B947" t="s">
        <v>2185</v>
      </c>
      <c r="C947" s="131">
        <v>31854</v>
      </c>
      <c r="D947" t="s">
        <v>2194</v>
      </c>
      <c r="F947" t="s">
        <v>645</v>
      </c>
      <c r="H947">
        <v>50</v>
      </c>
      <c r="J947" s="1">
        <v>231.7</v>
      </c>
      <c r="K947" s="1"/>
      <c r="L947" s="1">
        <v>231.7</v>
      </c>
      <c r="M947" s="1">
        <v>213.27</v>
      </c>
      <c r="N947" s="1">
        <f t="shared" si="21"/>
        <v>4.6339999999999995</v>
      </c>
    </row>
    <row r="948" spans="1:14" hidden="1" x14ac:dyDescent="0.4">
      <c r="A948" t="s">
        <v>2195</v>
      </c>
      <c r="B948" t="s">
        <v>2185</v>
      </c>
      <c r="C948" s="131">
        <v>31913</v>
      </c>
      <c r="D948" t="s">
        <v>2196</v>
      </c>
      <c r="F948" t="s">
        <v>645</v>
      </c>
      <c r="H948">
        <v>50</v>
      </c>
      <c r="J948" s="1">
        <v>120.74</v>
      </c>
      <c r="K948" s="1"/>
      <c r="L948" s="1">
        <v>120.74</v>
      </c>
      <c r="M948" s="1">
        <v>110.73</v>
      </c>
      <c r="N948" s="1">
        <f t="shared" si="21"/>
        <v>2.4148000000000001</v>
      </c>
    </row>
    <row r="949" spans="1:14" hidden="1" x14ac:dyDescent="0.4">
      <c r="A949" t="s">
        <v>2197</v>
      </c>
      <c r="B949" t="s">
        <v>2185</v>
      </c>
      <c r="C949" s="131">
        <v>32020</v>
      </c>
      <c r="D949" t="s">
        <v>2198</v>
      </c>
      <c r="F949" t="s">
        <v>645</v>
      </c>
      <c r="H949">
        <v>50</v>
      </c>
      <c r="J949" s="1">
        <v>2058</v>
      </c>
      <c r="K949" s="1"/>
      <c r="L949" s="1">
        <v>2058</v>
      </c>
      <c r="M949" s="1">
        <v>1873.64</v>
      </c>
      <c r="N949" s="1">
        <f t="shared" si="21"/>
        <v>41.16</v>
      </c>
    </row>
    <row r="950" spans="1:14" hidden="1" x14ac:dyDescent="0.4">
      <c r="A950" t="s">
        <v>2199</v>
      </c>
      <c r="B950" t="s">
        <v>2185</v>
      </c>
      <c r="C950" s="131">
        <v>32002</v>
      </c>
      <c r="D950" t="s">
        <v>2200</v>
      </c>
      <c r="F950" t="s">
        <v>645</v>
      </c>
      <c r="H950">
        <v>50</v>
      </c>
      <c r="J950" s="1">
        <v>137.5</v>
      </c>
      <c r="K950" s="1"/>
      <c r="L950" s="1">
        <v>137.5</v>
      </c>
      <c r="M950" s="1">
        <v>125.27</v>
      </c>
      <c r="N950" s="1">
        <f t="shared" si="21"/>
        <v>2.75</v>
      </c>
    </row>
    <row r="951" spans="1:14" hidden="1" x14ac:dyDescent="0.4">
      <c r="A951" t="s">
        <v>2201</v>
      </c>
      <c r="B951" t="s">
        <v>2185</v>
      </c>
      <c r="C951" s="131">
        <v>32059</v>
      </c>
      <c r="D951" t="s">
        <v>2202</v>
      </c>
      <c r="F951" t="s">
        <v>645</v>
      </c>
      <c r="H951">
        <v>50</v>
      </c>
      <c r="J951" s="1">
        <v>532.22</v>
      </c>
      <c r="K951" s="1"/>
      <c r="L951" s="1">
        <v>532.22</v>
      </c>
      <c r="M951" s="1">
        <v>482.46</v>
      </c>
      <c r="N951" s="1">
        <f t="shared" si="21"/>
        <v>10.644400000000001</v>
      </c>
    </row>
    <row r="952" spans="1:14" hidden="1" x14ac:dyDescent="0.4">
      <c r="A952" t="s">
        <v>2203</v>
      </c>
      <c r="B952" t="s">
        <v>2185</v>
      </c>
      <c r="C952" s="131">
        <v>32063</v>
      </c>
      <c r="D952" t="s">
        <v>2204</v>
      </c>
      <c r="F952" t="s">
        <v>645</v>
      </c>
      <c r="H952">
        <v>50</v>
      </c>
      <c r="J952" s="1">
        <v>14644.13</v>
      </c>
      <c r="K952" s="1"/>
      <c r="L952" s="1">
        <v>14644.13</v>
      </c>
      <c r="M952" s="1">
        <v>13271.13</v>
      </c>
      <c r="N952" s="1">
        <f t="shared" si="21"/>
        <v>292.88259999999997</v>
      </c>
    </row>
    <row r="953" spans="1:14" hidden="1" x14ac:dyDescent="0.4">
      <c r="A953" t="s">
        <v>2205</v>
      </c>
      <c r="B953" t="s">
        <v>2185</v>
      </c>
      <c r="C953" s="131">
        <v>32119</v>
      </c>
      <c r="D953" t="s">
        <v>2206</v>
      </c>
      <c r="F953" t="s">
        <v>645</v>
      </c>
      <c r="H953">
        <v>50</v>
      </c>
      <c r="J953" s="1">
        <v>4826.09</v>
      </c>
      <c r="K953" s="1"/>
      <c r="L953" s="1">
        <v>4826.09</v>
      </c>
      <c r="M953" s="1">
        <v>4353.45</v>
      </c>
      <c r="N953" s="1">
        <f t="shared" si="21"/>
        <v>96.521799999999999</v>
      </c>
    </row>
    <row r="954" spans="1:14" hidden="1" x14ac:dyDescent="0.4">
      <c r="A954" t="s">
        <v>2207</v>
      </c>
      <c r="B954" t="s">
        <v>2185</v>
      </c>
      <c r="C954" s="131">
        <v>32111</v>
      </c>
      <c r="D954" t="s">
        <v>2208</v>
      </c>
      <c r="F954" t="s">
        <v>645</v>
      </c>
      <c r="H954">
        <v>50</v>
      </c>
      <c r="J954" s="1">
        <v>131.96</v>
      </c>
      <c r="K954" s="1"/>
      <c r="L954" s="1">
        <v>131.96</v>
      </c>
      <c r="M954" s="1">
        <v>119.35</v>
      </c>
      <c r="N954" s="1">
        <f t="shared" si="21"/>
        <v>2.6392000000000002</v>
      </c>
    </row>
    <row r="955" spans="1:14" hidden="1" x14ac:dyDescent="0.4">
      <c r="A955" t="s">
        <v>2209</v>
      </c>
      <c r="B955" t="s">
        <v>2185</v>
      </c>
      <c r="C955" s="131">
        <v>32447</v>
      </c>
      <c r="D955" t="s">
        <v>2210</v>
      </c>
      <c r="F955" t="s">
        <v>645</v>
      </c>
      <c r="H955">
        <v>50</v>
      </c>
      <c r="J955" s="1">
        <v>2319.0500000000002</v>
      </c>
      <c r="K955" s="1"/>
      <c r="L955" s="1">
        <v>2319.0500000000002</v>
      </c>
      <c r="M955" s="1">
        <v>2043.79</v>
      </c>
      <c r="N955" s="1">
        <f t="shared" si="21"/>
        <v>46.381</v>
      </c>
    </row>
    <row r="956" spans="1:14" hidden="1" x14ac:dyDescent="0.4">
      <c r="A956" t="s">
        <v>2211</v>
      </c>
      <c r="B956" t="s">
        <v>2185</v>
      </c>
      <c r="C956" s="131">
        <v>32409</v>
      </c>
      <c r="D956" t="s">
        <v>2212</v>
      </c>
      <c r="F956" t="s">
        <v>645</v>
      </c>
      <c r="H956">
        <v>50</v>
      </c>
      <c r="J956" s="1">
        <v>61340.44</v>
      </c>
      <c r="K956" s="1"/>
      <c r="L956" s="1">
        <v>61340.44</v>
      </c>
      <c r="M956" s="1">
        <v>54184.02</v>
      </c>
      <c r="N956" s="1">
        <f t="shared" si="21"/>
        <v>1226.8088</v>
      </c>
    </row>
    <row r="957" spans="1:14" hidden="1" x14ac:dyDescent="0.4">
      <c r="A957" t="s">
        <v>2213</v>
      </c>
      <c r="B957" t="s">
        <v>2185</v>
      </c>
      <c r="C957" s="131">
        <v>32860</v>
      </c>
      <c r="D957" t="s">
        <v>2214</v>
      </c>
      <c r="F957" t="s">
        <v>645</v>
      </c>
      <c r="H957">
        <v>50</v>
      </c>
      <c r="J957" s="1">
        <v>20556.54</v>
      </c>
      <c r="K957" s="1"/>
      <c r="L957" s="1">
        <v>20556.54</v>
      </c>
      <c r="M957" s="1">
        <v>17515.77</v>
      </c>
      <c r="N957" s="1">
        <f t="shared" si="21"/>
        <v>411.13080000000002</v>
      </c>
    </row>
    <row r="958" spans="1:14" hidden="1" x14ac:dyDescent="0.4">
      <c r="A958" t="s">
        <v>2215</v>
      </c>
      <c r="B958" t="s">
        <v>2185</v>
      </c>
      <c r="C958" s="131">
        <v>32861</v>
      </c>
      <c r="D958" t="s">
        <v>2214</v>
      </c>
      <c r="F958" t="s">
        <v>645</v>
      </c>
      <c r="H958">
        <v>50</v>
      </c>
      <c r="J958" s="1">
        <v>73536.320000000007</v>
      </c>
      <c r="K958" s="1"/>
      <c r="L958" s="1">
        <v>73536.320000000007</v>
      </c>
      <c r="M958" s="1">
        <v>62659.14</v>
      </c>
      <c r="N958" s="1">
        <f t="shared" si="21"/>
        <v>1470.7264000000002</v>
      </c>
    </row>
    <row r="959" spans="1:14" hidden="1" x14ac:dyDescent="0.4">
      <c r="A959" t="s">
        <v>2216</v>
      </c>
      <c r="B959" t="s">
        <v>2185</v>
      </c>
      <c r="C959" s="131">
        <v>33079</v>
      </c>
      <c r="D959" t="s">
        <v>2217</v>
      </c>
      <c r="F959" t="s">
        <v>645</v>
      </c>
      <c r="H959">
        <v>50</v>
      </c>
      <c r="J959" s="1">
        <v>1251.03</v>
      </c>
      <c r="K959" s="1"/>
      <c r="L959" s="1">
        <v>1251.03</v>
      </c>
      <c r="M959" s="1">
        <v>1047.8699999999999</v>
      </c>
      <c r="N959" s="1">
        <f t="shared" si="21"/>
        <v>25.020599999999998</v>
      </c>
    </row>
    <row r="960" spans="1:14" hidden="1" x14ac:dyDescent="0.4">
      <c r="A960" t="s">
        <v>2218</v>
      </c>
      <c r="B960" t="s">
        <v>2185</v>
      </c>
      <c r="C960" s="131">
        <v>33063</v>
      </c>
      <c r="D960" t="s">
        <v>2214</v>
      </c>
      <c r="F960" t="s">
        <v>645</v>
      </c>
      <c r="H960">
        <v>50</v>
      </c>
      <c r="J960" s="1">
        <v>51539.22</v>
      </c>
      <c r="K960" s="1"/>
      <c r="L960" s="1">
        <v>51539.22</v>
      </c>
      <c r="M960" s="1">
        <v>43164.08</v>
      </c>
      <c r="N960" s="1">
        <f t="shared" si="21"/>
        <v>1030.7844</v>
      </c>
    </row>
    <row r="961" spans="1:14" hidden="1" x14ac:dyDescent="0.4">
      <c r="A961" t="s">
        <v>2219</v>
      </c>
      <c r="B961" t="s">
        <v>2185</v>
      </c>
      <c r="C961" s="131">
        <v>33419</v>
      </c>
      <c r="D961" t="s">
        <v>2220</v>
      </c>
      <c r="F961" t="s">
        <v>645</v>
      </c>
      <c r="H961">
        <v>50</v>
      </c>
      <c r="J961" s="1">
        <v>2926.26</v>
      </c>
      <c r="K961" s="1"/>
      <c r="L961" s="1">
        <v>2926.26</v>
      </c>
      <c r="M961" s="1">
        <v>2383.79</v>
      </c>
      <c r="N961" s="1">
        <f t="shared" si="21"/>
        <v>58.525200000000005</v>
      </c>
    </row>
    <row r="962" spans="1:14" hidden="1" x14ac:dyDescent="0.4">
      <c r="A962" t="s">
        <v>2221</v>
      </c>
      <c r="B962" t="s">
        <v>2185</v>
      </c>
      <c r="C962" s="131">
        <v>33775</v>
      </c>
      <c r="D962" t="s">
        <v>2222</v>
      </c>
      <c r="F962" t="s">
        <v>645</v>
      </c>
      <c r="H962">
        <v>50</v>
      </c>
      <c r="J962" s="1">
        <v>2105.83</v>
      </c>
      <c r="K962" s="1"/>
      <c r="L962" s="1">
        <v>2105.83</v>
      </c>
      <c r="M962" s="1">
        <v>1662.86</v>
      </c>
      <c r="N962" s="1">
        <f t="shared" si="21"/>
        <v>42.116599999999998</v>
      </c>
    </row>
    <row r="963" spans="1:14" hidden="1" x14ac:dyDescent="0.4">
      <c r="A963" t="s">
        <v>2223</v>
      </c>
      <c r="B963" t="s">
        <v>2185</v>
      </c>
      <c r="C963" s="131">
        <v>33756</v>
      </c>
      <c r="D963" t="s">
        <v>2214</v>
      </c>
      <c r="F963" t="s">
        <v>645</v>
      </c>
      <c r="H963">
        <v>50</v>
      </c>
      <c r="J963" s="1">
        <v>61372.69</v>
      </c>
      <c r="K963" s="1"/>
      <c r="L963" s="1">
        <v>61372.69</v>
      </c>
      <c r="M963" s="1">
        <v>48458.94</v>
      </c>
      <c r="N963" s="1">
        <f t="shared" si="21"/>
        <v>1227.4538</v>
      </c>
    </row>
    <row r="964" spans="1:14" hidden="1" x14ac:dyDescent="0.4">
      <c r="A964" t="s">
        <v>2224</v>
      </c>
      <c r="B964" t="s">
        <v>2185</v>
      </c>
      <c r="C964" s="131">
        <v>34150</v>
      </c>
      <c r="D964" t="s">
        <v>1975</v>
      </c>
      <c r="F964" t="s">
        <v>645</v>
      </c>
      <c r="H964">
        <v>50</v>
      </c>
      <c r="J964" s="1">
        <v>1430.01</v>
      </c>
      <c r="K964" s="1"/>
      <c r="L964" s="1">
        <v>1430.01</v>
      </c>
      <c r="M964" s="1">
        <v>1090.3699999999999</v>
      </c>
      <c r="N964" s="1">
        <f t="shared" si="21"/>
        <v>28.600200000000001</v>
      </c>
    </row>
    <row r="965" spans="1:14" hidden="1" x14ac:dyDescent="0.4">
      <c r="A965" t="s">
        <v>2225</v>
      </c>
      <c r="B965" t="s">
        <v>2185</v>
      </c>
      <c r="C965" s="131">
        <v>34463</v>
      </c>
      <c r="D965" t="s">
        <v>2214</v>
      </c>
      <c r="F965" t="s">
        <v>645</v>
      </c>
      <c r="H965">
        <v>50</v>
      </c>
      <c r="J965" s="1">
        <v>111781.11</v>
      </c>
      <c r="K965" s="1"/>
      <c r="L965" s="1">
        <v>111781.11</v>
      </c>
      <c r="M965" s="1">
        <v>82904.39</v>
      </c>
      <c r="N965" s="1">
        <f t="shared" si="21"/>
        <v>2235.6221999999998</v>
      </c>
    </row>
    <row r="966" spans="1:14" hidden="1" x14ac:dyDescent="0.4">
      <c r="A966" t="s">
        <v>2226</v>
      </c>
      <c r="B966" t="s">
        <v>2185</v>
      </c>
      <c r="C966" s="131">
        <v>35059</v>
      </c>
      <c r="D966" t="s">
        <v>755</v>
      </c>
      <c r="F966" t="s">
        <v>645</v>
      </c>
      <c r="H966">
        <v>50</v>
      </c>
      <c r="J966" s="1">
        <v>40568.86</v>
      </c>
      <c r="K966" s="1"/>
      <c r="L966" s="1">
        <v>40568.86</v>
      </c>
      <c r="M966" s="1">
        <v>28482.68</v>
      </c>
      <c r="N966" s="1">
        <f t="shared" si="21"/>
        <v>811.37720000000002</v>
      </c>
    </row>
    <row r="967" spans="1:14" hidden="1" x14ac:dyDescent="0.4">
      <c r="A967" t="s">
        <v>2227</v>
      </c>
      <c r="B967" t="s">
        <v>2185</v>
      </c>
      <c r="C967" s="131">
        <v>35059</v>
      </c>
      <c r="D967" t="s">
        <v>757</v>
      </c>
      <c r="F967" t="s">
        <v>645</v>
      </c>
      <c r="H967">
        <v>50</v>
      </c>
      <c r="J967" s="1">
        <v>12692.88</v>
      </c>
      <c r="K967" s="1"/>
      <c r="L967" s="1">
        <v>12692.88</v>
      </c>
      <c r="M967" s="1">
        <v>8911.4</v>
      </c>
      <c r="N967" s="1">
        <f t="shared" si="21"/>
        <v>253.85759999999999</v>
      </c>
    </row>
    <row r="968" spans="1:14" hidden="1" x14ac:dyDescent="0.4">
      <c r="A968" t="s">
        <v>2228</v>
      </c>
      <c r="B968" t="s">
        <v>2185</v>
      </c>
      <c r="C968" s="131">
        <v>35674</v>
      </c>
      <c r="D968" t="s">
        <v>2214</v>
      </c>
      <c r="F968" t="s">
        <v>645</v>
      </c>
      <c r="H968">
        <v>50</v>
      </c>
      <c r="J968" s="1">
        <v>62485.47</v>
      </c>
      <c r="K968" s="1"/>
      <c r="L968" s="1">
        <v>62485.47</v>
      </c>
      <c r="M968" s="1">
        <v>41136.35</v>
      </c>
      <c r="N968" s="1">
        <f t="shared" si="21"/>
        <v>1249.7094</v>
      </c>
    </row>
    <row r="969" spans="1:14" hidden="1" x14ac:dyDescent="0.4">
      <c r="A969" t="s">
        <v>2229</v>
      </c>
      <c r="B969" t="s">
        <v>2185</v>
      </c>
      <c r="C969" s="131">
        <v>35765</v>
      </c>
      <c r="D969" t="s">
        <v>760</v>
      </c>
      <c r="F969" t="s">
        <v>645</v>
      </c>
      <c r="H969">
        <v>50</v>
      </c>
      <c r="J969" s="1">
        <v>15656.81</v>
      </c>
      <c r="K969" s="1"/>
      <c r="L969" s="1">
        <v>15656.81</v>
      </c>
      <c r="M969" s="1">
        <v>10209.540000000001</v>
      </c>
      <c r="N969" s="1">
        <f t="shared" si="21"/>
        <v>313.13619999999997</v>
      </c>
    </row>
    <row r="970" spans="1:14" hidden="1" x14ac:dyDescent="0.4">
      <c r="A970" t="s">
        <v>2230</v>
      </c>
      <c r="B970" t="s">
        <v>2185</v>
      </c>
      <c r="C970" s="131">
        <v>36192</v>
      </c>
      <c r="D970" t="s">
        <v>2231</v>
      </c>
      <c r="F970" t="s">
        <v>645</v>
      </c>
      <c r="H970">
        <v>50</v>
      </c>
      <c r="J970" s="1">
        <v>15372.08</v>
      </c>
      <c r="K970" s="1"/>
      <c r="L970" s="1">
        <v>15372.08</v>
      </c>
      <c r="M970" s="1">
        <v>9574.86</v>
      </c>
      <c r="N970" s="1">
        <f t="shared" si="21"/>
        <v>307.44159999999999</v>
      </c>
    </row>
    <row r="971" spans="1:14" hidden="1" x14ac:dyDescent="0.4">
      <c r="A971" t="s">
        <v>2232</v>
      </c>
      <c r="B971" t="s">
        <v>2185</v>
      </c>
      <c r="C971" s="131">
        <v>36312</v>
      </c>
      <c r="D971" t="s">
        <v>2233</v>
      </c>
      <c r="F971" t="s">
        <v>645</v>
      </c>
      <c r="H971">
        <v>50</v>
      </c>
      <c r="J971" s="1">
        <v>994.69</v>
      </c>
      <c r="K971" s="1"/>
      <c r="L971" s="1">
        <v>994.69</v>
      </c>
      <c r="M971" s="1">
        <v>611.46</v>
      </c>
      <c r="N971" s="1">
        <f t="shared" si="21"/>
        <v>19.893800000000002</v>
      </c>
    </row>
    <row r="972" spans="1:14" hidden="1" x14ac:dyDescent="0.4">
      <c r="A972" t="s">
        <v>2234</v>
      </c>
      <c r="B972" t="s">
        <v>2185</v>
      </c>
      <c r="C972" s="131">
        <v>36404</v>
      </c>
      <c r="D972" t="s">
        <v>2235</v>
      </c>
      <c r="F972" t="s">
        <v>645</v>
      </c>
      <c r="H972">
        <v>50</v>
      </c>
      <c r="J972" s="1">
        <v>3676.57</v>
      </c>
      <c r="K972" s="1"/>
      <c r="L972" s="1">
        <v>3676.57</v>
      </c>
      <c r="M972" s="1">
        <v>2236.56</v>
      </c>
      <c r="N972" s="1">
        <f t="shared" si="21"/>
        <v>73.531400000000005</v>
      </c>
    </row>
    <row r="973" spans="1:14" hidden="1" x14ac:dyDescent="0.4">
      <c r="A973" t="s">
        <v>2236</v>
      </c>
      <c r="B973" t="s">
        <v>2185</v>
      </c>
      <c r="C973" s="131">
        <v>36434</v>
      </c>
      <c r="D973" t="s">
        <v>2237</v>
      </c>
      <c r="F973" t="s">
        <v>645</v>
      </c>
      <c r="H973">
        <v>50</v>
      </c>
      <c r="J973" s="1">
        <v>1733.41</v>
      </c>
      <c r="K973" s="1"/>
      <c r="L973" s="1">
        <v>1733.41</v>
      </c>
      <c r="M973" s="1">
        <v>1051.08</v>
      </c>
      <c r="N973" s="1">
        <f t="shared" si="21"/>
        <v>34.668199999999999</v>
      </c>
    </row>
    <row r="974" spans="1:14" hidden="1" x14ac:dyDescent="0.4">
      <c r="A974" t="s">
        <v>2238</v>
      </c>
      <c r="B974" t="s">
        <v>2185</v>
      </c>
      <c r="C974" s="131">
        <v>36434</v>
      </c>
      <c r="D974" t="s">
        <v>2239</v>
      </c>
      <c r="F974" t="s">
        <v>645</v>
      </c>
      <c r="H974">
        <v>50</v>
      </c>
      <c r="J974" s="1">
        <v>1955.33</v>
      </c>
      <c r="K974" s="1"/>
      <c r="L974" s="1">
        <v>1955.33</v>
      </c>
      <c r="M974" s="1">
        <v>1185.44</v>
      </c>
      <c r="N974" s="1">
        <f t="shared" si="21"/>
        <v>39.1066</v>
      </c>
    </row>
    <row r="975" spans="1:14" hidden="1" x14ac:dyDescent="0.4">
      <c r="A975" t="s">
        <v>2240</v>
      </c>
      <c r="B975" t="s">
        <v>2185</v>
      </c>
      <c r="C975" s="131">
        <v>36465</v>
      </c>
      <c r="D975" t="s">
        <v>2241</v>
      </c>
      <c r="F975" t="s">
        <v>645</v>
      </c>
      <c r="H975">
        <v>50</v>
      </c>
      <c r="J975" s="1">
        <v>1878.55</v>
      </c>
      <c r="K975" s="1"/>
      <c r="L975" s="1">
        <v>1878.55</v>
      </c>
      <c r="M975" s="1">
        <v>1134.8900000000001</v>
      </c>
      <c r="N975" s="1">
        <f t="shared" si="21"/>
        <v>37.570999999999998</v>
      </c>
    </row>
    <row r="976" spans="1:14" hidden="1" x14ac:dyDescent="0.4">
      <c r="A976" t="s">
        <v>2242</v>
      </c>
      <c r="B976" t="s">
        <v>2185</v>
      </c>
      <c r="C976" s="131">
        <v>36617</v>
      </c>
      <c r="D976" t="s">
        <v>2243</v>
      </c>
      <c r="F976" t="s">
        <v>645</v>
      </c>
      <c r="H976">
        <v>50</v>
      </c>
      <c r="J976" s="1">
        <v>1112.92</v>
      </c>
      <c r="K976" s="1"/>
      <c r="L976" s="1">
        <v>1112.92</v>
      </c>
      <c r="M976" s="1">
        <v>660.77</v>
      </c>
      <c r="N976" s="1">
        <f t="shared" si="21"/>
        <v>22.258400000000002</v>
      </c>
    </row>
    <row r="977" spans="1:14" hidden="1" x14ac:dyDescent="0.4">
      <c r="A977" t="s">
        <v>2244</v>
      </c>
      <c r="B977" t="s">
        <v>2185</v>
      </c>
      <c r="C977" s="131">
        <v>36617</v>
      </c>
      <c r="D977" t="s">
        <v>2245</v>
      </c>
      <c r="F977" t="s">
        <v>645</v>
      </c>
      <c r="H977">
        <v>50</v>
      </c>
      <c r="J977" s="1">
        <v>1145.93</v>
      </c>
      <c r="K977" s="1"/>
      <c r="L977" s="1">
        <v>1145.93</v>
      </c>
      <c r="M977" s="1">
        <v>680.48</v>
      </c>
      <c r="N977" s="1">
        <f t="shared" si="21"/>
        <v>22.918600000000001</v>
      </c>
    </row>
    <row r="978" spans="1:14" hidden="1" x14ac:dyDescent="0.4">
      <c r="A978" t="s">
        <v>2246</v>
      </c>
      <c r="B978" t="s">
        <v>2185</v>
      </c>
      <c r="C978" s="131">
        <v>36770</v>
      </c>
      <c r="D978" t="s">
        <v>2247</v>
      </c>
      <c r="F978" t="s">
        <v>645</v>
      </c>
      <c r="H978">
        <v>50</v>
      </c>
      <c r="J978" s="1">
        <v>1762.27</v>
      </c>
      <c r="K978" s="1"/>
      <c r="L978" s="1">
        <v>1762.27</v>
      </c>
      <c r="M978" s="1">
        <v>1028.07</v>
      </c>
      <c r="N978" s="1">
        <f t="shared" si="21"/>
        <v>35.245399999999997</v>
      </c>
    </row>
    <row r="979" spans="1:14" hidden="1" x14ac:dyDescent="0.4">
      <c r="A979" t="s">
        <v>2248</v>
      </c>
      <c r="B979" t="s">
        <v>2185</v>
      </c>
      <c r="C979" s="131">
        <v>36800</v>
      </c>
      <c r="D979" t="s">
        <v>2249</v>
      </c>
      <c r="F979" t="s">
        <v>645</v>
      </c>
      <c r="H979">
        <v>50</v>
      </c>
      <c r="J979" s="1">
        <v>1922.49</v>
      </c>
      <c r="K979" s="1"/>
      <c r="L979" s="1">
        <v>1922.49</v>
      </c>
      <c r="M979" s="1">
        <v>1117.46</v>
      </c>
      <c r="N979" s="1">
        <f t="shared" si="21"/>
        <v>38.449800000000003</v>
      </c>
    </row>
    <row r="980" spans="1:14" hidden="1" x14ac:dyDescent="0.4">
      <c r="A980" t="s">
        <v>2250</v>
      </c>
      <c r="B980" t="s">
        <v>2185</v>
      </c>
      <c r="C980" s="131">
        <v>36800</v>
      </c>
      <c r="D980" t="s">
        <v>2251</v>
      </c>
      <c r="F980" t="s">
        <v>645</v>
      </c>
      <c r="H980">
        <v>50</v>
      </c>
      <c r="J980" s="1">
        <v>2345.39</v>
      </c>
      <c r="K980" s="1"/>
      <c r="L980" s="1">
        <v>2345.39</v>
      </c>
      <c r="M980" s="1">
        <v>1363.23</v>
      </c>
      <c r="N980" s="1">
        <f t="shared" si="21"/>
        <v>46.907799999999995</v>
      </c>
    </row>
    <row r="981" spans="1:14" hidden="1" x14ac:dyDescent="0.4">
      <c r="A981" t="s">
        <v>2252</v>
      </c>
      <c r="B981" t="s">
        <v>2185</v>
      </c>
      <c r="C981" s="131">
        <v>36831</v>
      </c>
      <c r="D981" t="s">
        <v>2253</v>
      </c>
      <c r="F981" t="s">
        <v>645</v>
      </c>
      <c r="H981">
        <v>50</v>
      </c>
      <c r="J981" s="1">
        <v>1685.31</v>
      </c>
      <c r="K981" s="1"/>
      <c r="L981" s="1">
        <v>1685.31</v>
      </c>
      <c r="M981" s="1">
        <v>976.01</v>
      </c>
      <c r="N981" s="1">
        <f t="shared" si="21"/>
        <v>33.706199999999995</v>
      </c>
    </row>
    <row r="982" spans="1:14" hidden="1" x14ac:dyDescent="0.4">
      <c r="A982" t="s">
        <v>2254</v>
      </c>
      <c r="B982" t="s">
        <v>2185</v>
      </c>
      <c r="C982" s="131">
        <v>36831</v>
      </c>
      <c r="D982" t="s">
        <v>2255</v>
      </c>
      <c r="F982" t="s">
        <v>645</v>
      </c>
      <c r="H982">
        <v>50</v>
      </c>
      <c r="J982" s="1">
        <v>2034.92</v>
      </c>
      <c r="K982" s="1"/>
      <c r="L982" s="1">
        <v>2034.92</v>
      </c>
      <c r="M982" s="1">
        <v>1178.49</v>
      </c>
      <c r="N982" s="1">
        <f t="shared" si="21"/>
        <v>40.698399999999999</v>
      </c>
    </row>
    <row r="983" spans="1:14" hidden="1" x14ac:dyDescent="0.4">
      <c r="A983" t="s">
        <v>2256</v>
      </c>
      <c r="B983" t="s">
        <v>2185</v>
      </c>
      <c r="C983" s="131">
        <v>36831</v>
      </c>
      <c r="D983" t="s">
        <v>2257</v>
      </c>
      <c r="F983" t="s">
        <v>645</v>
      </c>
      <c r="H983">
        <v>50</v>
      </c>
      <c r="J983" s="1">
        <v>2130.5300000000002</v>
      </c>
      <c r="K983" s="1"/>
      <c r="L983" s="1">
        <v>2130.5300000000002</v>
      </c>
      <c r="M983" s="1">
        <v>1233.8599999999999</v>
      </c>
      <c r="N983" s="1">
        <f t="shared" si="21"/>
        <v>42.610600000000005</v>
      </c>
    </row>
    <row r="984" spans="1:14" hidden="1" x14ac:dyDescent="0.4">
      <c r="A984" t="s">
        <v>2258</v>
      </c>
      <c r="B984" t="s">
        <v>2185</v>
      </c>
      <c r="C984" s="131">
        <v>36831</v>
      </c>
      <c r="D984" t="s">
        <v>2259</v>
      </c>
      <c r="F984" t="s">
        <v>645</v>
      </c>
      <c r="H984">
        <v>50</v>
      </c>
      <c r="J984" s="1">
        <v>2991.36</v>
      </c>
      <c r="K984" s="1"/>
      <c r="L984" s="1">
        <v>2991.36</v>
      </c>
      <c r="M984" s="1">
        <v>1732.4</v>
      </c>
      <c r="N984" s="1">
        <f t="shared" si="21"/>
        <v>59.827200000000005</v>
      </c>
    </row>
    <row r="985" spans="1:14" hidden="1" x14ac:dyDescent="0.4">
      <c r="A985" t="s">
        <v>2260</v>
      </c>
      <c r="B985" t="s">
        <v>2185</v>
      </c>
      <c r="C985" s="131">
        <v>36923</v>
      </c>
      <c r="D985" t="s">
        <v>2261</v>
      </c>
      <c r="F985" t="s">
        <v>645</v>
      </c>
      <c r="H985">
        <v>50</v>
      </c>
      <c r="J985" s="1">
        <v>3230.13</v>
      </c>
      <c r="K985" s="1"/>
      <c r="L985" s="1">
        <v>3230.13</v>
      </c>
      <c r="M985" s="1">
        <v>1850.39</v>
      </c>
      <c r="N985" s="1">
        <f t="shared" si="21"/>
        <v>64.602599999999995</v>
      </c>
    </row>
    <row r="986" spans="1:14" hidden="1" x14ac:dyDescent="0.4">
      <c r="A986" t="s">
        <v>2262</v>
      </c>
      <c r="B986" t="s">
        <v>2185</v>
      </c>
      <c r="C986" s="131">
        <v>36951</v>
      </c>
      <c r="D986" t="s">
        <v>2263</v>
      </c>
      <c r="F986" t="s">
        <v>645</v>
      </c>
      <c r="H986">
        <v>50</v>
      </c>
      <c r="J986" s="1">
        <v>2345.29</v>
      </c>
      <c r="K986" s="1"/>
      <c r="L986" s="1">
        <v>2345.29</v>
      </c>
      <c r="M986" s="1">
        <v>1339.01</v>
      </c>
      <c r="N986" s="1">
        <f t="shared" si="21"/>
        <v>46.905799999999999</v>
      </c>
    </row>
    <row r="987" spans="1:14" hidden="1" x14ac:dyDescent="0.4">
      <c r="A987" t="s">
        <v>2264</v>
      </c>
      <c r="B987" t="s">
        <v>2185</v>
      </c>
      <c r="C987" s="131">
        <v>36951</v>
      </c>
      <c r="D987" t="s">
        <v>2265</v>
      </c>
      <c r="F987" t="s">
        <v>645</v>
      </c>
      <c r="H987">
        <v>50</v>
      </c>
      <c r="J987" s="1">
        <v>1713.16</v>
      </c>
      <c r="K987" s="1"/>
      <c r="L987" s="1">
        <v>1713.16</v>
      </c>
      <c r="M987" s="1">
        <v>978.17</v>
      </c>
      <c r="N987" s="1">
        <f t="shared" si="21"/>
        <v>34.263200000000005</v>
      </c>
    </row>
    <row r="988" spans="1:14" hidden="1" x14ac:dyDescent="0.4">
      <c r="A988" t="s">
        <v>2266</v>
      </c>
      <c r="B988" t="s">
        <v>2185</v>
      </c>
      <c r="C988" s="131">
        <v>36951</v>
      </c>
      <c r="D988" t="s">
        <v>2267</v>
      </c>
      <c r="F988" t="s">
        <v>645</v>
      </c>
      <c r="H988">
        <v>50</v>
      </c>
      <c r="J988" s="1">
        <v>1776.2</v>
      </c>
      <c r="K988" s="1"/>
      <c r="L988" s="1">
        <v>1776.2</v>
      </c>
      <c r="M988" s="1">
        <v>1014.25</v>
      </c>
      <c r="N988" s="1">
        <f t="shared" si="21"/>
        <v>35.524000000000001</v>
      </c>
    </row>
    <row r="989" spans="1:14" hidden="1" x14ac:dyDescent="0.4">
      <c r="A989" t="s">
        <v>2268</v>
      </c>
      <c r="B989" t="s">
        <v>2185</v>
      </c>
      <c r="C989" s="131">
        <v>36951</v>
      </c>
      <c r="D989" t="s">
        <v>2269</v>
      </c>
      <c r="F989" t="s">
        <v>645</v>
      </c>
      <c r="H989">
        <v>50</v>
      </c>
      <c r="J989" s="1">
        <v>2583.91</v>
      </c>
      <c r="K989" s="1"/>
      <c r="L989" s="1">
        <v>2583.91</v>
      </c>
      <c r="M989" s="1">
        <v>1475.36</v>
      </c>
      <c r="N989" s="1">
        <f t="shared" si="21"/>
        <v>51.678199999999997</v>
      </c>
    </row>
    <row r="990" spans="1:14" hidden="1" x14ac:dyDescent="0.4">
      <c r="A990" t="s">
        <v>2270</v>
      </c>
      <c r="B990" t="s">
        <v>2185</v>
      </c>
      <c r="C990" s="131">
        <v>36951</v>
      </c>
      <c r="D990" t="s">
        <v>2271</v>
      </c>
      <c r="F990" t="s">
        <v>645</v>
      </c>
      <c r="H990">
        <v>50</v>
      </c>
      <c r="J990" s="1">
        <v>2616.4899999999998</v>
      </c>
      <c r="K990" s="1"/>
      <c r="L990" s="1">
        <v>2616.4899999999998</v>
      </c>
      <c r="M990" s="1">
        <v>1493.86</v>
      </c>
      <c r="N990" s="1">
        <f t="shared" si="21"/>
        <v>52.329799999999999</v>
      </c>
    </row>
    <row r="991" spans="1:14" hidden="1" x14ac:dyDescent="0.4">
      <c r="A991" t="s">
        <v>2272</v>
      </c>
      <c r="B991" t="s">
        <v>2185</v>
      </c>
      <c r="C991" s="131">
        <v>36982</v>
      </c>
      <c r="D991" t="s">
        <v>2273</v>
      </c>
      <c r="F991" t="s">
        <v>645</v>
      </c>
      <c r="H991">
        <v>50</v>
      </c>
      <c r="J991" s="1">
        <v>2292.9499999999998</v>
      </c>
      <c r="K991" s="1"/>
      <c r="L991" s="1">
        <v>2292.9499999999998</v>
      </c>
      <c r="M991" s="1">
        <v>1304.23</v>
      </c>
      <c r="N991" s="1">
        <f t="shared" si="21"/>
        <v>45.858999999999995</v>
      </c>
    </row>
    <row r="992" spans="1:14" hidden="1" x14ac:dyDescent="0.4">
      <c r="A992" t="s">
        <v>2274</v>
      </c>
      <c r="B992" t="s">
        <v>2185</v>
      </c>
      <c r="C992" s="131">
        <v>36982</v>
      </c>
      <c r="D992" t="s">
        <v>2275</v>
      </c>
      <c r="F992" t="s">
        <v>645</v>
      </c>
      <c r="H992">
        <v>50</v>
      </c>
      <c r="J992" s="1">
        <v>2561.52</v>
      </c>
      <c r="K992" s="1"/>
      <c r="L992" s="1">
        <v>2561.52</v>
      </c>
      <c r="M992" s="1">
        <v>1457.13</v>
      </c>
      <c r="N992" s="1">
        <f t="shared" si="21"/>
        <v>51.230400000000003</v>
      </c>
    </row>
    <row r="993" spans="1:14" hidden="1" x14ac:dyDescent="0.4">
      <c r="A993" t="s">
        <v>2276</v>
      </c>
      <c r="B993" t="s">
        <v>2185</v>
      </c>
      <c r="C993" s="131">
        <v>36982</v>
      </c>
      <c r="D993" t="s">
        <v>2277</v>
      </c>
      <c r="F993" t="s">
        <v>645</v>
      </c>
      <c r="H993">
        <v>50</v>
      </c>
      <c r="J993" s="1">
        <v>1907.89</v>
      </c>
      <c r="K993" s="1"/>
      <c r="L993" s="1">
        <v>1907.89</v>
      </c>
      <c r="M993" s="1">
        <v>1085.3399999999999</v>
      </c>
      <c r="N993" s="1">
        <f t="shared" si="21"/>
        <v>38.157800000000002</v>
      </c>
    </row>
    <row r="994" spans="1:14" hidden="1" x14ac:dyDescent="0.4">
      <c r="A994" t="s">
        <v>2278</v>
      </c>
      <c r="B994" t="s">
        <v>2185</v>
      </c>
      <c r="C994" s="131">
        <v>36982</v>
      </c>
      <c r="D994" t="s">
        <v>2279</v>
      </c>
      <c r="F994" t="s">
        <v>645</v>
      </c>
      <c r="H994">
        <v>50</v>
      </c>
      <c r="J994" s="1">
        <v>2368.77</v>
      </c>
      <c r="K994" s="1"/>
      <c r="L994" s="1">
        <v>2368.77</v>
      </c>
      <c r="M994" s="1">
        <v>1347.46</v>
      </c>
      <c r="N994" s="1">
        <f t="shared" si="21"/>
        <v>47.375399999999999</v>
      </c>
    </row>
    <row r="995" spans="1:14" hidden="1" x14ac:dyDescent="0.4">
      <c r="A995" t="s">
        <v>2280</v>
      </c>
      <c r="B995" t="s">
        <v>2185</v>
      </c>
      <c r="C995" s="131">
        <v>36982</v>
      </c>
      <c r="D995" t="s">
        <v>2281</v>
      </c>
      <c r="F995" t="s">
        <v>645</v>
      </c>
      <c r="H995">
        <v>50</v>
      </c>
      <c r="J995" s="1">
        <v>2430.7399999999998</v>
      </c>
      <c r="K995" s="1"/>
      <c r="L995" s="1">
        <v>2430.7399999999998</v>
      </c>
      <c r="M995" s="1">
        <v>1382.72</v>
      </c>
      <c r="N995" s="1">
        <f t="shared" si="21"/>
        <v>48.614799999999995</v>
      </c>
    </row>
    <row r="996" spans="1:14" hidden="1" x14ac:dyDescent="0.4">
      <c r="A996" t="s">
        <v>2282</v>
      </c>
      <c r="B996" t="s">
        <v>2185</v>
      </c>
      <c r="C996" s="131">
        <v>36982</v>
      </c>
      <c r="D996" t="s">
        <v>2283</v>
      </c>
      <c r="F996" t="s">
        <v>645</v>
      </c>
      <c r="H996">
        <v>50</v>
      </c>
      <c r="J996" s="1">
        <v>2626.23</v>
      </c>
      <c r="K996" s="1"/>
      <c r="L996" s="1">
        <v>2626.23</v>
      </c>
      <c r="M996" s="1">
        <v>1493.99</v>
      </c>
      <c r="N996" s="1">
        <f t="shared" si="21"/>
        <v>52.5246</v>
      </c>
    </row>
    <row r="997" spans="1:14" hidden="1" x14ac:dyDescent="0.4">
      <c r="A997" t="s">
        <v>2284</v>
      </c>
      <c r="B997" t="s">
        <v>2185</v>
      </c>
      <c r="C997" s="131">
        <v>36982</v>
      </c>
      <c r="D997" t="s">
        <v>2285</v>
      </c>
      <c r="F997" t="s">
        <v>645</v>
      </c>
      <c r="H997">
        <v>50</v>
      </c>
      <c r="J997" s="1">
        <v>2390.52</v>
      </c>
      <c r="K997" s="1"/>
      <c r="L997" s="1">
        <v>2390.52</v>
      </c>
      <c r="M997" s="1">
        <v>1359.75</v>
      </c>
      <c r="N997" s="1">
        <f t="shared" si="21"/>
        <v>47.810400000000001</v>
      </c>
    </row>
    <row r="998" spans="1:14" hidden="1" x14ac:dyDescent="0.4">
      <c r="A998" t="s">
        <v>2286</v>
      </c>
      <c r="B998" t="s">
        <v>2185</v>
      </c>
      <c r="C998" s="131">
        <v>36982</v>
      </c>
      <c r="D998" t="s">
        <v>2287</v>
      </c>
      <c r="F998" t="s">
        <v>645</v>
      </c>
      <c r="H998">
        <v>50</v>
      </c>
      <c r="J998" s="1">
        <v>2234.09</v>
      </c>
      <c r="K998" s="1"/>
      <c r="L998" s="1">
        <v>2234.09</v>
      </c>
      <c r="M998" s="1">
        <v>1270.78</v>
      </c>
      <c r="N998" s="1">
        <f t="shared" si="21"/>
        <v>44.681800000000003</v>
      </c>
    </row>
    <row r="999" spans="1:14" hidden="1" x14ac:dyDescent="0.4">
      <c r="A999" t="s">
        <v>2288</v>
      </c>
      <c r="B999" t="s">
        <v>2185</v>
      </c>
      <c r="C999" s="131">
        <v>36982</v>
      </c>
      <c r="D999" t="s">
        <v>2289</v>
      </c>
      <c r="F999" t="s">
        <v>645</v>
      </c>
      <c r="H999">
        <v>50</v>
      </c>
      <c r="J999" s="1">
        <v>2442.02</v>
      </c>
      <c r="K999" s="1"/>
      <c r="L999" s="1">
        <v>2442.02</v>
      </c>
      <c r="M999" s="1">
        <v>1389.1</v>
      </c>
      <c r="N999" s="1">
        <f t="shared" si="21"/>
        <v>48.840400000000002</v>
      </c>
    </row>
    <row r="1000" spans="1:14" hidden="1" x14ac:dyDescent="0.4">
      <c r="A1000" t="s">
        <v>2290</v>
      </c>
      <c r="B1000" t="s">
        <v>2185</v>
      </c>
      <c r="C1000" s="131">
        <v>36982</v>
      </c>
      <c r="D1000" t="s">
        <v>2291</v>
      </c>
      <c r="F1000" t="s">
        <v>645</v>
      </c>
      <c r="H1000">
        <v>50</v>
      </c>
      <c r="J1000" s="1">
        <v>1668.3</v>
      </c>
      <c r="K1000" s="1"/>
      <c r="L1000" s="1">
        <v>1668.3</v>
      </c>
      <c r="M1000" s="1">
        <v>949.04</v>
      </c>
      <c r="N1000" s="1">
        <f t="shared" si="21"/>
        <v>33.366</v>
      </c>
    </row>
    <row r="1001" spans="1:14" hidden="1" x14ac:dyDescent="0.4">
      <c r="A1001" t="s">
        <v>2292</v>
      </c>
      <c r="B1001" t="s">
        <v>2185</v>
      </c>
      <c r="C1001" s="131">
        <v>37073</v>
      </c>
      <c r="D1001" t="s">
        <v>2293</v>
      </c>
      <c r="F1001" t="s">
        <v>645</v>
      </c>
      <c r="H1001">
        <v>50</v>
      </c>
      <c r="J1001" s="1">
        <v>1683.68</v>
      </c>
      <c r="K1001" s="1"/>
      <c r="L1001" s="1">
        <v>1683.68</v>
      </c>
      <c r="M1001" s="1">
        <v>947.2</v>
      </c>
      <c r="N1001" s="1">
        <f t="shared" si="21"/>
        <v>33.6736</v>
      </c>
    </row>
    <row r="1002" spans="1:14" hidden="1" x14ac:dyDescent="0.4">
      <c r="A1002" t="s">
        <v>2294</v>
      </c>
      <c r="B1002" t="s">
        <v>2185</v>
      </c>
      <c r="C1002" s="131">
        <v>37073</v>
      </c>
      <c r="D1002" t="s">
        <v>2287</v>
      </c>
      <c r="F1002" t="s">
        <v>645</v>
      </c>
      <c r="H1002">
        <v>50</v>
      </c>
      <c r="J1002" s="1">
        <v>2258.5500000000002</v>
      </c>
      <c r="K1002" s="1"/>
      <c r="L1002" s="1">
        <v>2258.5500000000002</v>
      </c>
      <c r="M1002" s="1">
        <v>1270.58</v>
      </c>
      <c r="N1002" s="1">
        <f t="shared" si="21"/>
        <v>45.171000000000006</v>
      </c>
    </row>
    <row r="1003" spans="1:14" hidden="1" x14ac:dyDescent="0.4">
      <c r="A1003" t="s">
        <v>2295</v>
      </c>
      <c r="B1003" t="s">
        <v>2185</v>
      </c>
      <c r="C1003" s="131">
        <v>37287</v>
      </c>
      <c r="D1003" t="s">
        <v>2296</v>
      </c>
      <c r="F1003" t="s">
        <v>645</v>
      </c>
      <c r="H1003">
        <v>50</v>
      </c>
      <c r="J1003" s="1">
        <v>2813.67</v>
      </c>
      <c r="K1003" s="1"/>
      <c r="L1003" s="1">
        <v>2813.67</v>
      </c>
      <c r="M1003" s="1">
        <v>1541.7</v>
      </c>
      <c r="N1003" s="1">
        <f t="shared" si="21"/>
        <v>56.273400000000002</v>
      </c>
    </row>
    <row r="1004" spans="1:14" hidden="1" x14ac:dyDescent="0.4">
      <c r="A1004" t="s">
        <v>2297</v>
      </c>
      <c r="B1004" t="s">
        <v>2185</v>
      </c>
      <c r="C1004" s="131">
        <v>37287</v>
      </c>
      <c r="D1004" t="s">
        <v>2298</v>
      </c>
      <c r="F1004" t="s">
        <v>645</v>
      </c>
      <c r="H1004">
        <v>50</v>
      </c>
      <c r="J1004" s="1">
        <v>1790.35</v>
      </c>
      <c r="K1004" s="1"/>
      <c r="L1004" s="1">
        <v>1790.35</v>
      </c>
      <c r="M1004" s="1">
        <v>981.04</v>
      </c>
      <c r="N1004" s="1">
        <f t="shared" si="21"/>
        <v>35.806999999999995</v>
      </c>
    </row>
    <row r="1005" spans="1:14" hidden="1" x14ac:dyDescent="0.4">
      <c r="A1005" t="s">
        <v>2299</v>
      </c>
      <c r="B1005" t="s">
        <v>2185</v>
      </c>
      <c r="C1005" s="131">
        <v>37287</v>
      </c>
      <c r="D1005" t="s">
        <v>2300</v>
      </c>
      <c r="F1005" t="s">
        <v>645</v>
      </c>
      <c r="H1005">
        <v>50</v>
      </c>
      <c r="J1005" s="1">
        <v>1461.72</v>
      </c>
      <c r="K1005" s="1"/>
      <c r="L1005" s="1">
        <v>1461.72</v>
      </c>
      <c r="M1005" s="1">
        <v>800.88</v>
      </c>
      <c r="N1005" s="1">
        <f t="shared" si="21"/>
        <v>29.234400000000001</v>
      </c>
    </row>
    <row r="1006" spans="1:14" hidden="1" x14ac:dyDescent="0.4">
      <c r="A1006" t="s">
        <v>2301</v>
      </c>
      <c r="B1006" t="s">
        <v>2185</v>
      </c>
      <c r="C1006" s="131">
        <v>37287</v>
      </c>
      <c r="D1006" t="s">
        <v>2302</v>
      </c>
      <c r="F1006" t="s">
        <v>645</v>
      </c>
      <c r="H1006">
        <v>50</v>
      </c>
      <c r="J1006" s="1">
        <v>2594.2399999999998</v>
      </c>
      <c r="K1006" s="1"/>
      <c r="L1006" s="1">
        <v>2594.2399999999998</v>
      </c>
      <c r="M1006" s="1">
        <v>1421.59</v>
      </c>
      <c r="N1006" s="1">
        <f t="shared" si="21"/>
        <v>51.884799999999998</v>
      </c>
    </row>
    <row r="1007" spans="1:14" hidden="1" x14ac:dyDescent="0.4">
      <c r="A1007" t="s">
        <v>2303</v>
      </c>
      <c r="B1007" t="s">
        <v>2185</v>
      </c>
      <c r="C1007" s="131">
        <v>37287</v>
      </c>
      <c r="D1007" t="s">
        <v>2304</v>
      </c>
      <c r="F1007" t="s">
        <v>645</v>
      </c>
      <c r="H1007">
        <v>50</v>
      </c>
      <c r="J1007" s="1">
        <v>2672.94</v>
      </c>
      <c r="K1007" s="1"/>
      <c r="L1007" s="1">
        <v>2672.94</v>
      </c>
      <c r="M1007" s="1">
        <v>1464.55</v>
      </c>
      <c r="N1007" s="1">
        <f t="shared" si="21"/>
        <v>53.458800000000004</v>
      </c>
    </row>
    <row r="1008" spans="1:14" hidden="1" x14ac:dyDescent="0.4">
      <c r="A1008" t="s">
        <v>2305</v>
      </c>
      <c r="B1008" t="s">
        <v>2185</v>
      </c>
      <c r="C1008" s="131">
        <v>37287</v>
      </c>
      <c r="D1008" t="s">
        <v>2306</v>
      </c>
      <c r="F1008" t="s">
        <v>645</v>
      </c>
      <c r="H1008">
        <v>50</v>
      </c>
      <c r="J1008" s="1">
        <v>2380.36</v>
      </c>
      <c r="K1008" s="1"/>
      <c r="L1008" s="1">
        <v>2380.36</v>
      </c>
      <c r="M1008" s="1">
        <v>1304.33</v>
      </c>
      <c r="N1008" s="1">
        <f t="shared" ref="N1008:N1071" si="22">L1008/H1008</f>
        <v>47.607200000000006</v>
      </c>
    </row>
    <row r="1009" spans="1:14" hidden="1" x14ac:dyDescent="0.4">
      <c r="A1009" t="s">
        <v>2307</v>
      </c>
      <c r="B1009" t="s">
        <v>2185</v>
      </c>
      <c r="C1009" s="131">
        <v>37316</v>
      </c>
      <c r="D1009" t="s">
        <v>2308</v>
      </c>
      <c r="F1009" t="s">
        <v>645</v>
      </c>
      <c r="H1009">
        <v>50</v>
      </c>
      <c r="J1009" s="1">
        <v>1580.33</v>
      </c>
      <c r="K1009" s="1"/>
      <c r="L1009" s="1">
        <v>1580.33</v>
      </c>
      <c r="M1009" s="1">
        <v>862.83</v>
      </c>
      <c r="N1009" s="1">
        <f t="shared" si="22"/>
        <v>31.6066</v>
      </c>
    </row>
    <row r="1010" spans="1:14" hidden="1" x14ac:dyDescent="0.4">
      <c r="A1010" t="s">
        <v>2309</v>
      </c>
      <c r="B1010" t="s">
        <v>2185</v>
      </c>
      <c r="C1010" s="131">
        <v>37316</v>
      </c>
      <c r="D1010" t="s">
        <v>2310</v>
      </c>
      <c r="F1010" t="s">
        <v>645</v>
      </c>
      <c r="H1010">
        <v>50</v>
      </c>
      <c r="J1010" s="1">
        <v>2582.83</v>
      </c>
      <c r="K1010" s="1"/>
      <c r="L1010" s="1">
        <v>2582.83</v>
      </c>
      <c r="M1010" s="1">
        <v>1410.1</v>
      </c>
      <c r="N1010" s="1">
        <f t="shared" si="22"/>
        <v>51.656599999999997</v>
      </c>
    </row>
    <row r="1011" spans="1:14" hidden="1" x14ac:dyDescent="0.4">
      <c r="A1011" t="s">
        <v>2311</v>
      </c>
      <c r="B1011" t="s">
        <v>2185</v>
      </c>
      <c r="C1011" s="131">
        <v>37316</v>
      </c>
      <c r="D1011" t="s">
        <v>2312</v>
      </c>
      <c r="F1011" t="s">
        <v>645</v>
      </c>
      <c r="H1011">
        <v>50</v>
      </c>
      <c r="J1011" s="1">
        <v>2534.6</v>
      </c>
      <c r="K1011" s="1"/>
      <c r="L1011" s="1">
        <v>2534.6</v>
      </c>
      <c r="M1011" s="1">
        <v>1383.89</v>
      </c>
      <c r="N1011" s="1">
        <f t="shared" si="22"/>
        <v>50.692</v>
      </c>
    </row>
    <row r="1012" spans="1:14" hidden="1" x14ac:dyDescent="0.4">
      <c r="A1012" t="s">
        <v>2313</v>
      </c>
      <c r="B1012" t="s">
        <v>2185</v>
      </c>
      <c r="C1012" s="131">
        <v>37529</v>
      </c>
      <c r="D1012" t="s">
        <v>2314</v>
      </c>
      <c r="F1012" t="s">
        <v>645</v>
      </c>
      <c r="H1012">
        <v>50</v>
      </c>
      <c r="J1012" s="1">
        <v>1752.53</v>
      </c>
      <c r="K1012" s="1"/>
      <c r="L1012" s="1">
        <v>1752.53</v>
      </c>
      <c r="M1012" s="1">
        <v>931.17</v>
      </c>
      <c r="N1012" s="1">
        <f t="shared" si="22"/>
        <v>35.050600000000003</v>
      </c>
    </row>
    <row r="1013" spans="1:14" hidden="1" x14ac:dyDescent="0.4">
      <c r="A1013" t="s">
        <v>2315</v>
      </c>
      <c r="B1013" t="s">
        <v>2185</v>
      </c>
      <c r="C1013" s="131">
        <v>37499</v>
      </c>
      <c r="D1013" t="s">
        <v>2316</v>
      </c>
      <c r="F1013" t="s">
        <v>645</v>
      </c>
      <c r="H1013">
        <v>50</v>
      </c>
      <c r="J1013" s="1">
        <v>1530.35</v>
      </c>
      <c r="K1013" s="1"/>
      <c r="L1013" s="1">
        <v>1530.35</v>
      </c>
      <c r="M1013" s="1">
        <v>816.35</v>
      </c>
      <c r="N1013" s="1">
        <f t="shared" si="22"/>
        <v>30.606999999999999</v>
      </c>
    </row>
    <row r="1014" spans="1:14" hidden="1" x14ac:dyDescent="0.4">
      <c r="A1014" t="s">
        <v>2317</v>
      </c>
      <c r="B1014" t="s">
        <v>2185</v>
      </c>
      <c r="C1014" s="131">
        <v>37499</v>
      </c>
      <c r="D1014" t="s">
        <v>2318</v>
      </c>
      <c r="F1014" t="s">
        <v>645</v>
      </c>
      <c r="H1014">
        <v>50</v>
      </c>
      <c r="J1014" s="1">
        <v>1495.23</v>
      </c>
      <c r="K1014" s="1"/>
      <c r="L1014" s="1">
        <v>1495.23</v>
      </c>
      <c r="M1014" s="1">
        <v>797.58</v>
      </c>
      <c r="N1014" s="1">
        <f t="shared" si="22"/>
        <v>29.904600000000002</v>
      </c>
    </row>
    <row r="1015" spans="1:14" hidden="1" x14ac:dyDescent="0.4">
      <c r="A1015" t="s">
        <v>2319</v>
      </c>
      <c r="B1015" t="s">
        <v>2185</v>
      </c>
      <c r="C1015" s="131">
        <v>37499</v>
      </c>
      <c r="D1015" t="s">
        <v>2320</v>
      </c>
      <c r="F1015" t="s">
        <v>645</v>
      </c>
      <c r="H1015">
        <v>50</v>
      </c>
      <c r="J1015" s="1">
        <v>2482.5100000000002</v>
      </c>
      <c r="K1015" s="1"/>
      <c r="L1015" s="1">
        <v>2482.5100000000002</v>
      </c>
      <c r="M1015" s="1">
        <v>1324.17</v>
      </c>
      <c r="N1015" s="1">
        <f t="shared" si="22"/>
        <v>49.650200000000005</v>
      </c>
    </row>
    <row r="1016" spans="1:14" hidden="1" x14ac:dyDescent="0.4">
      <c r="A1016" t="s">
        <v>2321</v>
      </c>
      <c r="B1016" t="s">
        <v>2185</v>
      </c>
      <c r="C1016" s="131">
        <v>37499</v>
      </c>
      <c r="D1016" t="s">
        <v>2322</v>
      </c>
      <c r="F1016" t="s">
        <v>645</v>
      </c>
      <c r="H1016">
        <v>50</v>
      </c>
      <c r="J1016" s="1">
        <v>1645.99</v>
      </c>
      <c r="K1016" s="1"/>
      <c r="L1016" s="1">
        <v>1645.99</v>
      </c>
      <c r="M1016" s="1">
        <v>878.02</v>
      </c>
      <c r="N1016" s="1">
        <f t="shared" si="22"/>
        <v>32.919800000000002</v>
      </c>
    </row>
    <row r="1017" spans="1:14" hidden="1" x14ac:dyDescent="0.4">
      <c r="A1017" t="s">
        <v>2323</v>
      </c>
      <c r="B1017" t="s">
        <v>2185</v>
      </c>
      <c r="C1017" s="131">
        <v>37499</v>
      </c>
      <c r="D1017" t="s">
        <v>2324</v>
      </c>
      <c r="F1017" t="s">
        <v>645</v>
      </c>
      <c r="H1017">
        <v>50</v>
      </c>
      <c r="J1017" s="1">
        <v>1769.61</v>
      </c>
      <c r="K1017" s="1"/>
      <c r="L1017" s="1">
        <v>1769.61</v>
      </c>
      <c r="M1017" s="1">
        <v>943.95</v>
      </c>
      <c r="N1017" s="1">
        <f t="shared" si="22"/>
        <v>35.392199999999995</v>
      </c>
    </row>
    <row r="1018" spans="1:14" hidden="1" x14ac:dyDescent="0.4">
      <c r="A1018" t="s">
        <v>2325</v>
      </c>
      <c r="B1018" t="s">
        <v>2185</v>
      </c>
      <c r="C1018" s="131">
        <v>37499</v>
      </c>
      <c r="D1018" t="s">
        <v>2326</v>
      </c>
      <c r="F1018" t="s">
        <v>645</v>
      </c>
      <c r="H1018">
        <v>50</v>
      </c>
      <c r="J1018" s="1">
        <v>1716.6</v>
      </c>
      <c r="K1018" s="1"/>
      <c r="L1018" s="1">
        <v>1716.6</v>
      </c>
      <c r="M1018" s="1">
        <v>915.78</v>
      </c>
      <c r="N1018" s="1">
        <f t="shared" si="22"/>
        <v>34.332000000000001</v>
      </c>
    </row>
    <row r="1019" spans="1:14" hidden="1" x14ac:dyDescent="0.4">
      <c r="A1019" t="s">
        <v>2327</v>
      </c>
      <c r="B1019" t="s">
        <v>2185</v>
      </c>
      <c r="C1019" s="131">
        <v>37499</v>
      </c>
      <c r="D1019" t="s">
        <v>2328</v>
      </c>
      <c r="F1019" t="s">
        <v>645</v>
      </c>
      <c r="H1019">
        <v>50</v>
      </c>
      <c r="J1019" s="1">
        <v>1669.06</v>
      </c>
      <c r="K1019" s="1"/>
      <c r="L1019" s="1">
        <v>1669.06</v>
      </c>
      <c r="M1019" s="1">
        <v>890.39</v>
      </c>
      <c r="N1019" s="1">
        <f t="shared" si="22"/>
        <v>33.3812</v>
      </c>
    </row>
    <row r="1020" spans="1:14" hidden="1" x14ac:dyDescent="0.4">
      <c r="A1020" t="s">
        <v>2329</v>
      </c>
      <c r="B1020" t="s">
        <v>2185</v>
      </c>
      <c r="C1020" s="131">
        <v>37499</v>
      </c>
      <c r="D1020" t="s">
        <v>2330</v>
      </c>
      <c r="F1020" t="s">
        <v>645</v>
      </c>
      <c r="H1020">
        <v>50</v>
      </c>
      <c r="J1020" s="1">
        <v>1634.58</v>
      </c>
      <c r="K1020" s="1"/>
      <c r="L1020" s="1">
        <v>1634.58</v>
      </c>
      <c r="M1020" s="1">
        <v>871.83</v>
      </c>
      <c r="N1020" s="1">
        <f t="shared" si="22"/>
        <v>32.691600000000001</v>
      </c>
    </row>
    <row r="1021" spans="1:14" hidden="1" x14ac:dyDescent="0.4">
      <c r="A1021" t="s">
        <v>2331</v>
      </c>
      <c r="B1021" t="s">
        <v>2185</v>
      </c>
      <c r="C1021" s="131">
        <v>37529</v>
      </c>
      <c r="D1021" t="s">
        <v>2314</v>
      </c>
      <c r="F1021" t="s">
        <v>645</v>
      </c>
      <c r="H1021">
        <v>50</v>
      </c>
      <c r="J1021" s="1">
        <v>1608.89</v>
      </c>
      <c r="K1021" s="1"/>
      <c r="L1021" s="1">
        <v>1608.89</v>
      </c>
      <c r="M1021" s="1">
        <v>854.87</v>
      </c>
      <c r="N1021" s="1">
        <f t="shared" si="22"/>
        <v>32.177800000000005</v>
      </c>
    </row>
    <row r="1022" spans="1:14" hidden="1" x14ac:dyDescent="0.4">
      <c r="A1022" t="s">
        <v>2332</v>
      </c>
      <c r="B1022" t="s">
        <v>2185</v>
      </c>
      <c r="C1022" s="131">
        <v>37499</v>
      </c>
      <c r="D1022" t="s">
        <v>2333</v>
      </c>
      <c r="F1022" t="s">
        <v>645</v>
      </c>
      <c r="H1022">
        <v>50</v>
      </c>
      <c r="J1022" s="1">
        <v>1553.81</v>
      </c>
      <c r="K1022" s="1"/>
      <c r="L1022" s="1">
        <v>1553.81</v>
      </c>
      <c r="M1022" s="1">
        <v>828.94</v>
      </c>
      <c r="N1022" s="1">
        <f t="shared" si="22"/>
        <v>31.0762</v>
      </c>
    </row>
    <row r="1023" spans="1:14" hidden="1" x14ac:dyDescent="0.4">
      <c r="A1023" t="s">
        <v>2334</v>
      </c>
      <c r="B1023" t="s">
        <v>2185</v>
      </c>
      <c r="C1023" s="131">
        <v>37864</v>
      </c>
      <c r="D1023" t="s">
        <v>2335</v>
      </c>
      <c r="F1023" t="s">
        <v>645</v>
      </c>
      <c r="H1023">
        <v>50</v>
      </c>
      <c r="J1023" s="1">
        <v>3069.9</v>
      </c>
      <c r="K1023" s="1"/>
      <c r="L1023" s="1">
        <v>3069.9</v>
      </c>
      <c r="M1023" s="1">
        <v>1560.86</v>
      </c>
      <c r="N1023" s="1">
        <f t="shared" si="22"/>
        <v>61.398000000000003</v>
      </c>
    </row>
    <row r="1024" spans="1:14" hidden="1" x14ac:dyDescent="0.4">
      <c r="A1024" t="s">
        <v>2336</v>
      </c>
      <c r="B1024" t="s">
        <v>2185</v>
      </c>
      <c r="C1024" s="131">
        <v>38046</v>
      </c>
      <c r="D1024" t="s">
        <v>2337</v>
      </c>
      <c r="F1024" t="s">
        <v>645</v>
      </c>
      <c r="H1024">
        <v>50</v>
      </c>
      <c r="J1024" s="1">
        <v>4049.22</v>
      </c>
      <c r="K1024" s="1"/>
      <c r="L1024" s="1">
        <v>4049.22</v>
      </c>
      <c r="M1024" s="1">
        <v>2008.28</v>
      </c>
      <c r="N1024" s="1">
        <f t="shared" si="22"/>
        <v>80.984399999999994</v>
      </c>
    </row>
    <row r="1025" spans="1:14" hidden="1" x14ac:dyDescent="0.4">
      <c r="A1025" t="s">
        <v>2338</v>
      </c>
      <c r="B1025" t="s">
        <v>2185</v>
      </c>
      <c r="C1025" s="131">
        <v>38138</v>
      </c>
      <c r="D1025" t="s">
        <v>2339</v>
      </c>
      <c r="F1025" t="s">
        <v>645</v>
      </c>
      <c r="H1025">
        <v>50</v>
      </c>
      <c r="J1025" s="1">
        <v>2776.37</v>
      </c>
      <c r="K1025" s="1"/>
      <c r="L1025" s="1">
        <v>2776.37</v>
      </c>
      <c r="M1025" s="1">
        <v>1359.56</v>
      </c>
      <c r="N1025" s="1">
        <f t="shared" si="22"/>
        <v>55.5274</v>
      </c>
    </row>
    <row r="1026" spans="1:14" hidden="1" x14ac:dyDescent="0.4">
      <c r="A1026" t="s">
        <v>2340</v>
      </c>
      <c r="B1026" t="s">
        <v>2185</v>
      </c>
      <c r="C1026" s="131">
        <v>38138</v>
      </c>
      <c r="D1026" t="s">
        <v>2341</v>
      </c>
      <c r="F1026" t="s">
        <v>645</v>
      </c>
      <c r="H1026">
        <v>50</v>
      </c>
      <c r="J1026" s="1">
        <v>2285.02</v>
      </c>
      <c r="K1026" s="1"/>
      <c r="L1026" s="1">
        <v>2285.02</v>
      </c>
      <c r="M1026" s="1">
        <v>1119.03</v>
      </c>
      <c r="N1026" s="1">
        <f t="shared" si="22"/>
        <v>45.700400000000002</v>
      </c>
    </row>
    <row r="1027" spans="1:14" hidden="1" x14ac:dyDescent="0.4">
      <c r="A1027" t="s">
        <v>2342</v>
      </c>
      <c r="B1027" t="s">
        <v>2185</v>
      </c>
      <c r="C1027" s="131">
        <v>38168</v>
      </c>
      <c r="D1027" t="s">
        <v>2343</v>
      </c>
      <c r="F1027" t="s">
        <v>645</v>
      </c>
      <c r="H1027">
        <v>50</v>
      </c>
      <c r="J1027" s="1">
        <v>2254.89</v>
      </c>
      <c r="K1027" s="1"/>
      <c r="L1027" s="1">
        <v>2254.89</v>
      </c>
      <c r="M1027" s="1">
        <v>1099.52</v>
      </c>
      <c r="N1027" s="1">
        <f t="shared" si="22"/>
        <v>45.097799999999999</v>
      </c>
    </row>
    <row r="1028" spans="1:14" hidden="1" x14ac:dyDescent="0.4">
      <c r="A1028" t="s">
        <v>2344</v>
      </c>
      <c r="B1028" t="s">
        <v>2185</v>
      </c>
      <c r="C1028" s="131">
        <v>38352</v>
      </c>
      <c r="D1028" t="s">
        <v>2345</v>
      </c>
      <c r="F1028" t="s">
        <v>645</v>
      </c>
      <c r="H1028">
        <v>50</v>
      </c>
      <c r="J1028" s="1">
        <v>3104.06</v>
      </c>
      <c r="K1028" s="1"/>
      <c r="L1028" s="1">
        <v>3104.06</v>
      </c>
      <c r="M1028" s="1">
        <v>1474.61</v>
      </c>
      <c r="N1028" s="1">
        <f t="shared" si="22"/>
        <v>62.081199999999995</v>
      </c>
    </row>
    <row r="1029" spans="1:14" hidden="1" x14ac:dyDescent="0.4">
      <c r="A1029" t="s">
        <v>2346</v>
      </c>
      <c r="B1029" t="s">
        <v>2185</v>
      </c>
      <c r="C1029" s="131">
        <v>38411</v>
      </c>
      <c r="D1029" t="s">
        <v>2347</v>
      </c>
      <c r="F1029" t="s">
        <v>645</v>
      </c>
      <c r="H1029">
        <v>50</v>
      </c>
      <c r="J1029" s="1">
        <v>1476</v>
      </c>
      <c r="K1029" s="1"/>
      <c r="L1029" s="1">
        <v>1476</v>
      </c>
      <c r="M1029" s="1">
        <v>695.24</v>
      </c>
      <c r="N1029" s="1">
        <f t="shared" si="22"/>
        <v>29.52</v>
      </c>
    </row>
    <row r="1030" spans="1:14" hidden="1" x14ac:dyDescent="0.4">
      <c r="A1030" t="s">
        <v>2348</v>
      </c>
      <c r="B1030" t="s">
        <v>2185</v>
      </c>
      <c r="C1030" s="131">
        <v>38503</v>
      </c>
      <c r="D1030" t="s">
        <v>2349</v>
      </c>
      <c r="F1030" t="s">
        <v>645</v>
      </c>
      <c r="H1030">
        <v>50</v>
      </c>
      <c r="J1030" s="1">
        <v>1451.69</v>
      </c>
      <c r="K1030" s="1"/>
      <c r="L1030" s="1">
        <v>1451.69</v>
      </c>
      <c r="M1030" s="1">
        <v>674.6</v>
      </c>
      <c r="N1030" s="1">
        <f t="shared" si="22"/>
        <v>29.033799999999999</v>
      </c>
    </row>
    <row r="1031" spans="1:14" hidden="1" x14ac:dyDescent="0.4">
      <c r="A1031" t="s">
        <v>2350</v>
      </c>
      <c r="B1031" t="s">
        <v>2185</v>
      </c>
      <c r="C1031" s="131">
        <v>38686</v>
      </c>
      <c r="D1031" t="s">
        <v>2351</v>
      </c>
      <c r="F1031" t="s">
        <v>645</v>
      </c>
      <c r="H1031">
        <v>50</v>
      </c>
      <c r="J1031" s="1">
        <v>3643.24</v>
      </c>
      <c r="K1031" s="1"/>
      <c r="L1031" s="1">
        <v>3643.24</v>
      </c>
      <c r="M1031" s="1">
        <v>1647.43</v>
      </c>
      <c r="N1031" s="1">
        <f t="shared" si="22"/>
        <v>72.864800000000002</v>
      </c>
    </row>
    <row r="1032" spans="1:14" hidden="1" x14ac:dyDescent="0.4">
      <c r="A1032" t="s">
        <v>2352</v>
      </c>
      <c r="B1032" t="s">
        <v>2185</v>
      </c>
      <c r="C1032" s="131">
        <v>41347</v>
      </c>
      <c r="D1032" t="s">
        <v>2214</v>
      </c>
      <c r="F1032" t="s">
        <v>645</v>
      </c>
      <c r="H1032">
        <v>50</v>
      </c>
      <c r="J1032" s="1">
        <v>1904.04</v>
      </c>
      <c r="K1032" s="1"/>
      <c r="L1032" s="1">
        <v>1904.04</v>
      </c>
      <c r="M1032" s="1">
        <v>499.8</v>
      </c>
      <c r="N1032" s="1">
        <f t="shared" si="22"/>
        <v>38.080799999999996</v>
      </c>
    </row>
    <row r="1033" spans="1:14" hidden="1" x14ac:dyDescent="0.4">
      <c r="A1033" t="s">
        <v>2353</v>
      </c>
      <c r="B1033" t="s">
        <v>2354</v>
      </c>
      <c r="C1033" s="131">
        <v>39026</v>
      </c>
      <c r="D1033" t="s">
        <v>2355</v>
      </c>
      <c r="F1033" t="s">
        <v>645</v>
      </c>
      <c r="H1033">
        <v>50</v>
      </c>
      <c r="J1033" s="1">
        <v>68398.52</v>
      </c>
      <c r="K1033" s="1"/>
      <c r="L1033" s="1">
        <v>68398.52</v>
      </c>
      <c r="M1033" s="1">
        <v>29924.31</v>
      </c>
      <c r="N1033" s="1">
        <f t="shared" si="22"/>
        <v>1367.9704000000002</v>
      </c>
    </row>
    <row r="1034" spans="1:14" hidden="1" x14ac:dyDescent="0.4">
      <c r="A1034" t="s">
        <v>2356</v>
      </c>
      <c r="B1034" t="s">
        <v>2354</v>
      </c>
      <c r="C1034" s="131">
        <v>39538</v>
      </c>
      <c r="D1034" t="s">
        <v>2357</v>
      </c>
      <c r="F1034" t="s">
        <v>645</v>
      </c>
      <c r="H1034">
        <v>50</v>
      </c>
      <c r="J1034" s="1">
        <v>14854.91</v>
      </c>
      <c r="K1034" s="1"/>
      <c r="L1034" s="1">
        <v>14854.91</v>
      </c>
      <c r="M1034" s="1">
        <v>5756.24</v>
      </c>
      <c r="N1034" s="1">
        <f t="shared" si="22"/>
        <v>297.09820000000002</v>
      </c>
    </row>
    <row r="1035" spans="1:14" hidden="1" x14ac:dyDescent="0.4">
      <c r="A1035" t="s">
        <v>2358</v>
      </c>
      <c r="B1035" t="s">
        <v>2354</v>
      </c>
      <c r="C1035" s="131">
        <v>39599</v>
      </c>
      <c r="D1035" t="s">
        <v>2359</v>
      </c>
      <c r="F1035" t="s">
        <v>645</v>
      </c>
      <c r="H1035">
        <v>50</v>
      </c>
      <c r="J1035" s="1">
        <v>2739.63</v>
      </c>
      <c r="K1035" s="1"/>
      <c r="L1035" s="1">
        <v>2739.63</v>
      </c>
      <c r="M1035" s="1">
        <v>1061.5999999999999</v>
      </c>
      <c r="N1035" s="1">
        <f t="shared" si="22"/>
        <v>54.7926</v>
      </c>
    </row>
    <row r="1036" spans="1:14" hidden="1" x14ac:dyDescent="0.4">
      <c r="A1036" t="s">
        <v>2360</v>
      </c>
      <c r="B1036" t="s">
        <v>2354</v>
      </c>
      <c r="C1036" s="131">
        <v>39599</v>
      </c>
      <c r="D1036" t="s">
        <v>2361</v>
      </c>
      <c r="F1036" t="s">
        <v>645</v>
      </c>
      <c r="H1036">
        <v>50</v>
      </c>
      <c r="J1036" s="1">
        <v>2602.31</v>
      </c>
      <c r="K1036" s="1"/>
      <c r="L1036" s="1">
        <v>2602.31</v>
      </c>
      <c r="M1036" s="1">
        <v>1008.43</v>
      </c>
      <c r="N1036" s="1">
        <f t="shared" si="22"/>
        <v>52.046199999999999</v>
      </c>
    </row>
    <row r="1037" spans="1:14" hidden="1" x14ac:dyDescent="0.4">
      <c r="A1037" t="s">
        <v>2362</v>
      </c>
      <c r="B1037" t="s">
        <v>2354</v>
      </c>
      <c r="C1037" s="131">
        <v>39599</v>
      </c>
      <c r="D1037" t="s">
        <v>2363</v>
      </c>
      <c r="F1037" t="s">
        <v>645</v>
      </c>
      <c r="H1037">
        <v>50</v>
      </c>
      <c r="J1037" s="1">
        <v>3390.65</v>
      </c>
      <c r="K1037" s="1"/>
      <c r="L1037" s="1">
        <v>3390.65</v>
      </c>
      <c r="M1037" s="1">
        <v>1313.91</v>
      </c>
      <c r="N1037" s="1">
        <f t="shared" si="22"/>
        <v>67.813000000000002</v>
      </c>
    </row>
    <row r="1038" spans="1:14" hidden="1" x14ac:dyDescent="0.4">
      <c r="A1038" t="s">
        <v>2364</v>
      </c>
      <c r="B1038" t="s">
        <v>2354</v>
      </c>
      <c r="C1038" s="131">
        <v>39629</v>
      </c>
      <c r="D1038" t="s">
        <v>2365</v>
      </c>
      <c r="F1038" t="s">
        <v>645</v>
      </c>
      <c r="H1038">
        <v>50</v>
      </c>
      <c r="J1038" s="1">
        <v>2608.3000000000002</v>
      </c>
      <c r="K1038" s="1"/>
      <c r="L1038" s="1">
        <v>2608.3000000000002</v>
      </c>
      <c r="M1038" s="1">
        <v>1010.75</v>
      </c>
      <c r="N1038" s="1">
        <f t="shared" si="22"/>
        <v>52.166000000000004</v>
      </c>
    </row>
    <row r="1039" spans="1:14" hidden="1" x14ac:dyDescent="0.4">
      <c r="A1039" t="s">
        <v>2366</v>
      </c>
      <c r="B1039" t="s">
        <v>2354</v>
      </c>
      <c r="C1039" s="131">
        <v>39629</v>
      </c>
      <c r="D1039" t="s">
        <v>2367</v>
      </c>
      <c r="F1039" t="s">
        <v>645</v>
      </c>
      <c r="H1039">
        <v>50</v>
      </c>
      <c r="J1039" s="1">
        <v>1466.26</v>
      </c>
      <c r="K1039" s="1"/>
      <c r="L1039" s="1">
        <v>1466.26</v>
      </c>
      <c r="M1039" s="1">
        <v>568.21</v>
      </c>
      <c r="N1039" s="1">
        <f t="shared" si="22"/>
        <v>29.325199999999999</v>
      </c>
    </row>
    <row r="1040" spans="1:14" hidden="1" x14ac:dyDescent="0.4">
      <c r="A1040" t="s">
        <v>2368</v>
      </c>
      <c r="B1040" t="s">
        <v>2354</v>
      </c>
      <c r="C1040" s="131">
        <v>39629</v>
      </c>
      <c r="D1040" t="s">
        <v>2369</v>
      </c>
      <c r="F1040" t="s">
        <v>645</v>
      </c>
      <c r="H1040">
        <v>50</v>
      </c>
      <c r="J1040" s="1">
        <v>1689.05</v>
      </c>
      <c r="K1040" s="1"/>
      <c r="L1040" s="1">
        <v>1689.05</v>
      </c>
      <c r="M1040" s="1">
        <v>654.54</v>
      </c>
      <c r="N1040" s="1">
        <f t="shared" si="22"/>
        <v>33.780999999999999</v>
      </c>
    </row>
    <row r="1041" spans="1:14" hidden="1" x14ac:dyDescent="0.4">
      <c r="A1041" t="s">
        <v>2370</v>
      </c>
      <c r="B1041" t="s">
        <v>2354</v>
      </c>
      <c r="C1041" s="131">
        <v>39629</v>
      </c>
      <c r="D1041" t="s">
        <v>2371</v>
      </c>
      <c r="F1041" t="s">
        <v>645</v>
      </c>
      <c r="H1041">
        <v>50</v>
      </c>
      <c r="J1041" s="1">
        <v>3288.9</v>
      </c>
      <c r="K1041" s="1"/>
      <c r="L1041" s="1">
        <v>3288.9</v>
      </c>
      <c r="M1041" s="1">
        <v>1274.4100000000001</v>
      </c>
      <c r="N1041" s="1">
        <f t="shared" si="22"/>
        <v>65.778000000000006</v>
      </c>
    </row>
    <row r="1042" spans="1:14" hidden="1" x14ac:dyDescent="0.4">
      <c r="A1042" t="s">
        <v>2372</v>
      </c>
      <c r="B1042" t="s">
        <v>2354</v>
      </c>
      <c r="C1042" s="131">
        <v>39629</v>
      </c>
      <c r="D1042" t="s">
        <v>2373</v>
      </c>
      <c r="F1042" t="s">
        <v>645</v>
      </c>
      <c r="H1042">
        <v>50</v>
      </c>
      <c r="J1042" s="1">
        <v>2828.38</v>
      </c>
      <c r="K1042" s="1"/>
      <c r="L1042" s="1">
        <v>2828.38</v>
      </c>
      <c r="M1042" s="1">
        <v>1096</v>
      </c>
      <c r="N1042" s="1">
        <f t="shared" si="22"/>
        <v>56.567599999999999</v>
      </c>
    </row>
    <row r="1043" spans="1:14" hidden="1" x14ac:dyDescent="0.4">
      <c r="A1043" t="s">
        <v>2374</v>
      </c>
      <c r="B1043" t="s">
        <v>2354</v>
      </c>
      <c r="C1043" s="131">
        <v>39629</v>
      </c>
      <c r="D1043" t="s">
        <v>2375</v>
      </c>
      <c r="F1043" t="s">
        <v>645</v>
      </c>
      <c r="H1043">
        <v>50</v>
      </c>
      <c r="J1043" s="1">
        <v>2541.5500000000002</v>
      </c>
      <c r="K1043" s="1"/>
      <c r="L1043" s="1">
        <v>2541.5500000000002</v>
      </c>
      <c r="M1043" s="1">
        <v>984.87</v>
      </c>
      <c r="N1043" s="1">
        <f t="shared" si="22"/>
        <v>50.831000000000003</v>
      </c>
    </row>
    <row r="1044" spans="1:14" hidden="1" x14ac:dyDescent="0.4">
      <c r="A1044" t="s">
        <v>2376</v>
      </c>
      <c r="B1044" t="s">
        <v>2354</v>
      </c>
      <c r="C1044" s="131">
        <v>39629</v>
      </c>
      <c r="D1044" t="s">
        <v>2377</v>
      </c>
      <c r="F1044" t="s">
        <v>645</v>
      </c>
      <c r="H1044">
        <v>50</v>
      </c>
      <c r="J1044" s="1">
        <v>2752.65</v>
      </c>
      <c r="K1044" s="1"/>
      <c r="L1044" s="1">
        <v>2752.65</v>
      </c>
      <c r="M1044" s="1">
        <v>1066.68</v>
      </c>
      <c r="N1044" s="1">
        <f t="shared" si="22"/>
        <v>55.053000000000004</v>
      </c>
    </row>
    <row r="1045" spans="1:14" hidden="1" x14ac:dyDescent="0.4">
      <c r="A1045" t="s">
        <v>2378</v>
      </c>
      <c r="B1045" t="s">
        <v>2354</v>
      </c>
      <c r="C1045" s="131">
        <v>39660</v>
      </c>
      <c r="D1045" t="s">
        <v>2379</v>
      </c>
      <c r="F1045" t="s">
        <v>645</v>
      </c>
      <c r="H1045">
        <v>50</v>
      </c>
      <c r="J1045" s="1">
        <v>2483.67</v>
      </c>
      <c r="K1045" s="1"/>
      <c r="L1045" s="1">
        <v>2483.67</v>
      </c>
      <c r="M1045" s="1">
        <v>962.4</v>
      </c>
      <c r="N1045" s="1">
        <f t="shared" si="22"/>
        <v>49.673400000000001</v>
      </c>
    </row>
    <row r="1046" spans="1:14" hidden="1" x14ac:dyDescent="0.4">
      <c r="A1046" t="s">
        <v>2380</v>
      </c>
      <c r="B1046" t="s">
        <v>2354</v>
      </c>
      <c r="C1046" s="131">
        <v>39660</v>
      </c>
      <c r="D1046" t="s">
        <v>2381</v>
      </c>
      <c r="F1046" t="s">
        <v>645</v>
      </c>
      <c r="H1046">
        <v>50</v>
      </c>
      <c r="J1046" s="1">
        <v>2409.0100000000002</v>
      </c>
      <c r="K1046" s="1"/>
      <c r="L1046" s="1">
        <v>2409.0100000000002</v>
      </c>
      <c r="M1046" s="1">
        <v>933.5</v>
      </c>
      <c r="N1046" s="1">
        <f t="shared" si="22"/>
        <v>48.180200000000006</v>
      </c>
    </row>
    <row r="1047" spans="1:14" hidden="1" x14ac:dyDescent="0.4">
      <c r="A1047" t="s">
        <v>2382</v>
      </c>
      <c r="B1047" t="s">
        <v>2354</v>
      </c>
      <c r="C1047" s="131">
        <v>39691</v>
      </c>
      <c r="D1047" t="s">
        <v>2383</v>
      </c>
      <c r="F1047" t="s">
        <v>645</v>
      </c>
      <c r="H1047">
        <v>50</v>
      </c>
      <c r="J1047" s="1">
        <v>3935.6</v>
      </c>
      <c r="K1047" s="1"/>
      <c r="L1047" s="1">
        <v>3935.6</v>
      </c>
      <c r="M1047" s="1">
        <v>1525.05</v>
      </c>
      <c r="N1047" s="1">
        <f t="shared" si="22"/>
        <v>78.712000000000003</v>
      </c>
    </row>
    <row r="1048" spans="1:14" hidden="1" x14ac:dyDescent="0.4">
      <c r="A1048" t="s">
        <v>2384</v>
      </c>
      <c r="B1048" t="s">
        <v>2354</v>
      </c>
      <c r="C1048" s="131">
        <v>39691</v>
      </c>
      <c r="D1048" t="s">
        <v>2385</v>
      </c>
      <c r="F1048" t="s">
        <v>645</v>
      </c>
      <c r="H1048">
        <v>50</v>
      </c>
      <c r="J1048" s="1">
        <v>3491.31</v>
      </c>
      <c r="K1048" s="1"/>
      <c r="L1048" s="1">
        <v>3491.31</v>
      </c>
      <c r="M1048" s="1">
        <v>1352.84</v>
      </c>
      <c r="N1048" s="1">
        <f t="shared" si="22"/>
        <v>69.8262</v>
      </c>
    </row>
    <row r="1049" spans="1:14" hidden="1" x14ac:dyDescent="0.4">
      <c r="A1049" t="s">
        <v>2386</v>
      </c>
      <c r="B1049" t="s">
        <v>2354</v>
      </c>
      <c r="C1049" s="131">
        <v>39691</v>
      </c>
      <c r="D1049" t="s">
        <v>2387</v>
      </c>
      <c r="F1049" t="s">
        <v>645</v>
      </c>
      <c r="H1049">
        <v>50</v>
      </c>
      <c r="J1049" s="1">
        <v>3328.23</v>
      </c>
      <c r="K1049" s="1"/>
      <c r="L1049" s="1">
        <v>3328.23</v>
      </c>
      <c r="M1049" s="1">
        <v>1289.71</v>
      </c>
      <c r="N1049" s="1">
        <f t="shared" si="22"/>
        <v>66.564599999999999</v>
      </c>
    </row>
    <row r="1050" spans="1:14" hidden="1" x14ac:dyDescent="0.4">
      <c r="A1050" t="s">
        <v>2388</v>
      </c>
      <c r="B1050" t="s">
        <v>2354</v>
      </c>
      <c r="C1050" s="131">
        <v>39691</v>
      </c>
      <c r="D1050" t="s">
        <v>2389</v>
      </c>
      <c r="F1050" t="s">
        <v>645</v>
      </c>
      <c r="H1050">
        <v>50</v>
      </c>
      <c r="J1050" s="1">
        <v>2483.36</v>
      </c>
      <c r="K1050" s="1"/>
      <c r="L1050" s="1">
        <v>2483.36</v>
      </c>
      <c r="M1050" s="1">
        <v>962.28</v>
      </c>
      <c r="N1050" s="1">
        <f t="shared" si="22"/>
        <v>49.667200000000001</v>
      </c>
    </row>
    <row r="1051" spans="1:14" hidden="1" x14ac:dyDescent="0.4">
      <c r="A1051" t="s">
        <v>2390</v>
      </c>
      <c r="B1051" t="s">
        <v>2354</v>
      </c>
      <c r="C1051" s="131">
        <v>39721</v>
      </c>
      <c r="D1051" t="s">
        <v>2391</v>
      </c>
      <c r="F1051" t="s">
        <v>645</v>
      </c>
      <c r="H1051">
        <v>50</v>
      </c>
      <c r="J1051" s="1">
        <v>1945.49</v>
      </c>
      <c r="K1051" s="1"/>
      <c r="L1051" s="1">
        <v>1945.49</v>
      </c>
      <c r="M1051" s="1">
        <v>753.92</v>
      </c>
      <c r="N1051" s="1">
        <f t="shared" si="22"/>
        <v>38.909799999999997</v>
      </c>
    </row>
    <row r="1052" spans="1:14" hidden="1" x14ac:dyDescent="0.4">
      <c r="A1052" t="s">
        <v>2392</v>
      </c>
      <c r="B1052" t="s">
        <v>2354</v>
      </c>
      <c r="C1052" s="131">
        <v>39599</v>
      </c>
      <c r="D1052" t="s">
        <v>2393</v>
      </c>
      <c r="F1052" t="s">
        <v>645</v>
      </c>
      <c r="H1052">
        <v>50</v>
      </c>
      <c r="J1052" s="1">
        <v>3464.78</v>
      </c>
      <c r="K1052" s="1"/>
      <c r="L1052" s="1">
        <v>3464.78</v>
      </c>
      <c r="M1052" s="1">
        <v>1342.61</v>
      </c>
      <c r="N1052" s="1">
        <f t="shared" si="22"/>
        <v>69.295600000000007</v>
      </c>
    </row>
    <row r="1053" spans="1:14" hidden="1" x14ac:dyDescent="0.4">
      <c r="A1053" t="s">
        <v>2394</v>
      </c>
      <c r="B1053" t="s">
        <v>2354</v>
      </c>
      <c r="C1053" s="131">
        <v>39539</v>
      </c>
      <c r="D1053" t="s">
        <v>2395</v>
      </c>
      <c r="F1053" t="s">
        <v>645</v>
      </c>
      <c r="H1053">
        <v>50</v>
      </c>
      <c r="J1053" s="1">
        <v>31700</v>
      </c>
      <c r="K1053" s="1"/>
      <c r="L1053" s="1">
        <v>31700</v>
      </c>
      <c r="M1053" s="1">
        <v>12283.75</v>
      </c>
      <c r="N1053" s="1">
        <f t="shared" si="22"/>
        <v>634</v>
      </c>
    </row>
    <row r="1054" spans="1:14" hidden="1" x14ac:dyDescent="0.4">
      <c r="A1054" t="s">
        <v>2396</v>
      </c>
      <c r="B1054" t="s">
        <v>2354</v>
      </c>
      <c r="C1054" s="131">
        <v>39630</v>
      </c>
      <c r="D1054" t="s">
        <v>2397</v>
      </c>
      <c r="F1054" t="s">
        <v>645</v>
      </c>
      <c r="H1054">
        <v>50</v>
      </c>
      <c r="J1054" s="1">
        <v>61673.760000000002</v>
      </c>
      <c r="K1054" s="1"/>
      <c r="L1054" s="1">
        <v>61673.760000000002</v>
      </c>
      <c r="M1054" s="1">
        <v>23898.560000000001</v>
      </c>
      <c r="N1054" s="1">
        <f t="shared" si="22"/>
        <v>1233.4752000000001</v>
      </c>
    </row>
    <row r="1055" spans="1:14" hidden="1" x14ac:dyDescent="0.4">
      <c r="A1055" t="s">
        <v>2398</v>
      </c>
      <c r="B1055" t="s">
        <v>2354</v>
      </c>
      <c r="C1055" s="131">
        <v>39844</v>
      </c>
      <c r="D1055" t="s">
        <v>2399</v>
      </c>
      <c r="F1055" t="s">
        <v>645</v>
      </c>
      <c r="H1055">
        <v>50</v>
      </c>
      <c r="J1055" s="1">
        <v>2494.4299999999998</v>
      </c>
      <c r="K1055" s="1"/>
      <c r="L1055" s="1">
        <v>2494.4299999999998</v>
      </c>
      <c r="M1055" s="1">
        <v>904.22</v>
      </c>
      <c r="N1055" s="1">
        <f t="shared" si="22"/>
        <v>49.888599999999997</v>
      </c>
    </row>
    <row r="1056" spans="1:14" hidden="1" x14ac:dyDescent="0.4">
      <c r="A1056" t="s">
        <v>2400</v>
      </c>
      <c r="B1056" t="s">
        <v>2354</v>
      </c>
      <c r="C1056" s="131">
        <v>39872</v>
      </c>
      <c r="D1056" t="s">
        <v>2401</v>
      </c>
      <c r="F1056" t="s">
        <v>645</v>
      </c>
      <c r="H1056">
        <v>50</v>
      </c>
      <c r="J1056" s="1">
        <v>3833.19</v>
      </c>
      <c r="K1056" s="1"/>
      <c r="L1056" s="1">
        <v>3833.19</v>
      </c>
      <c r="M1056" s="1">
        <v>1389.53</v>
      </c>
      <c r="N1056" s="1">
        <f t="shared" si="22"/>
        <v>76.663799999999995</v>
      </c>
    </row>
    <row r="1057" spans="1:14" hidden="1" x14ac:dyDescent="0.4">
      <c r="A1057" t="s">
        <v>2402</v>
      </c>
      <c r="B1057" t="s">
        <v>2354</v>
      </c>
      <c r="C1057" s="131">
        <v>40147</v>
      </c>
      <c r="D1057" t="s">
        <v>2403</v>
      </c>
      <c r="F1057" t="s">
        <v>645</v>
      </c>
      <c r="H1057">
        <v>50</v>
      </c>
      <c r="J1057" s="1">
        <v>14277.85</v>
      </c>
      <c r="K1057" s="1"/>
      <c r="L1057" s="1">
        <v>14277.85</v>
      </c>
      <c r="M1057" s="1">
        <v>5175.75</v>
      </c>
      <c r="N1057" s="1">
        <f t="shared" si="22"/>
        <v>285.55700000000002</v>
      </c>
    </row>
    <row r="1058" spans="1:14" hidden="1" x14ac:dyDescent="0.4">
      <c r="A1058" t="s">
        <v>2404</v>
      </c>
      <c r="B1058" t="s">
        <v>2354</v>
      </c>
      <c r="C1058" s="131">
        <v>40209</v>
      </c>
      <c r="D1058" t="s">
        <v>2405</v>
      </c>
      <c r="F1058" t="s">
        <v>645</v>
      </c>
      <c r="H1058">
        <v>50</v>
      </c>
      <c r="J1058" s="1">
        <v>2863.66</v>
      </c>
      <c r="K1058" s="1"/>
      <c r="L1058" s="1">
        <v>2863.66</v>
      </c>
      <c r="M1058" s="1">
        <v>966.47</v>
      </c>
      <c r="N1058" s="1">
        <f t="shared" si="22"/>
        <v>57.273199999999996</v>
      </c>
    </row>
    <row r="1059" spans="1:14" hidden="1" x14ac:dyDescent="0.4">
      <c r="A1059" t="s">
        <v>2406</v>
      </c>
      <c r="B1059" t="s">
        <v>2354</v>
      </c>
      <c r="C1059" s="131">
        <v>40237</v>
      </c>
      <c r="D1059" t="s">
        <v>2407</v>
      </c>
      <c r="F1059" t="s">
        <v>645</v>
      </c>
      <c r="H1059">
        <v>50</v>
      </c>
      <c r="J1059" s="1">
        <v>2797.8</v>
      </c>
      <c r="K1059" s="1"/>
      <c r="L1059" s="1">
        <v>2797.8</v>
      </c>
      <c r="M1059" s="1">
        <v>944.26</v>
      </c>
      <c r="N1059" s="1">
        <f t="shared" si="22"/>
        <v>55.956000000000003</v>
      </c>
    </row>
    <row r="1060" spans="1:14" hidden="1" x14ac:dyDescent="0.4">
      <c r="A1060" t="s">
        <v>2408</v>
      </c>
      <c r="B1060" t="s">
        <v>2354</v>
      </c>
      <c r="C1060" s="131">
        <v>40237</v>
      </c>
      <c r="D1060" t="s">
        <v>2409</v>
      </c>
      <c r="F1060" t="s">
        <v>645</v>
      </c>
      <c r="H1060">
        <v>50</v>
      </c>
      <c r="J1060" s="1">
        <v>3449.58</v>
      </c>
      <c r="K1060" s="1"/>
      <c r="L1060" s="1">
        <v>3449.58</v>
      </c>
      <c r="M1060" s="1">
        <v>1164.24</v>
      </c>
      <c r="N1060" s="1">
        <f t="shared" si="22"/>
        <v>68.991600000000005</v>
      </c>
    </row>
    <row r="1061" spans="1:14" hidden="1" x14ac:dyDescent="0.4">
      <c r="A1061" t="s">
        <v>2410</v>
      </c>
      <c r="B1061" t="s">
        <v>2354</v>
      </c>
      <c r="C1061" s="131">
        <v>40268</v>
      </c>
      <c r="D1061" t="s">
        <v>2411</v>
      </c>
      <c r="F1061" t="s">
        <v>645</v>
      </c>
      <c r="H1061">
        <v>50</v>
      </c>
      <c r="J1061" s="1">
        <v>2606.79</v>
      </c>
      <c r="K1061" s="1"/>
      <c r="L1061" s="1">
        <v>2606.79</v>
      </c>
      <c r="M1061" s="1">
        <v>879.79</v>
      </c>
      <c r="N1061" s="1">
        <f t="shared" si="22"/>
        <v>52.135799999999996</v>
      </c>
    </row>
    <row r="1062" spans="1:14" hidden="1" x14ac:dyDescent="0.4">
      <c r="A1062" t="s">
        <v>2412</v>
      </c>
      <c r="B1062" t="s">
        <v>2354</v>
      </c>
      <c r="C1062" s="131">
        <v>40298</v>
      </c>
      <c r="D1062" t="s">
        <v>2413</v>
      </c>
      <c r="F1062" t="s">
        <v>645</v>
      </c>
      <c r="H1062">
        <v>50</v>
      </c>
      <c r="J1062" s="1">
        <v>2277.3000000000002</v>
      </c>
      <c r="K1062" s="1"/>
      <c r="L1062" s="1">
        <v>2277.3000000000002</v>
      </c>
      <c r="M1062" s="1">
        <v>768.56</v>
      </c>
      <c r="N1062" s="1">
        <f t="shared" si="22"/>
        <v>45.546000000000006</v>
      </c>
    </row>
    <row r="1063" spans="1:14" hidden="1" x14ac:dyDescent="0.4">
      <c r="A1063" t="s">
        <v>2414</v>
      </c>
      <c r="B1063" t="s">
        <v>2354</v>
      </c>
      <c r="C1063" s="131">
        <v>40329</v>
      </c>
      <c r="D1063" t="s">
        <v>2415</v>
      </c>
      <c r="F1063" t="s">
        <v>645</v>
      </c>
      <c r="H1063">
        <v>50</v>
      </c>
      <c r="J1063" s="1">
        <v>4128.1499999999996</v>
      </c>
      <c r="K1063" s="1"/>
      <c r="L1063" s="1">
        <v>4128.1499999999996</v>
      </c>
      <c r="M1063" s="1">
        <v>1393.22</v>
      </c>
      <c r="N1063" s="1">
        <f t="shared" si="22"/>
        <v>82.562999999999988</v>
      </c>
    </row>
    <row r="1064" spans="1:14" hidden="1" x14ac:dyDescent="0.4">
      <c r="A1064" t="s">
        <v>2416</v>
      </c>
      <c r="B1064" t="s">
        <v>2354</v>
      </c>
      <c r="C1064" s="131">
        <v>40329</v>
      </c>
      <c r="D1064" t="s">
        <v>2417</v>
      </c>
      <c r="F1064" t="s">
        <v>645</v>
      </c>
      <c r="H1064">
        <v>50</v>
      </c>
      <c r="J1064" s="1">
        <v>2835.69</v>
      </c>
      <c r="K1064" s="1"/>
      <c r="L1064" s="1">
        <v>2835.69</v>
      </c>
      <c r="M1064" s="1">
        <v>957.02</v>
      </c>
      <c r="N1064" s="1">
        <f t="shared" si="22"/>
        <v>56.713799999999999</v>
      </c>
    </row>
    <row r="1065" spans="1:14" hidden="1" x14ac:dyDescent="0.4">
      <c r="A1065" t="s">
        <v>2418</v>
      </c>
      <c r="B1065" t="s">
        <v>2354</v>
      </c>
      <c r="C1065" s="131">
        <v>40329</v>
      </c>
      <c r="D1065" t="s">
        <v>2419</v>
      </c>
      <c r="F1065" t="s">
        <v>645</v>
      </c>
      <c r="H1065">
        <v>50</v>
      </c>
      <c r="J1065" s="1">
        <v>2660.12</v>
      </c>
      <c r="K1065" s="1"/>
      <c r="L1065" s="1">
        <v>2660.12</v>
      </c>
      <c r="M1065" s="1">
        <v>897.75</v>
      </c>
      <c r="N1065" s="1">
        <f t="shared" si="22"/>
        <v>53.202399999999997</v>
      </c>
    </row>
    <row r="1066" spans="1:14" hidden="1" x14ac:dyDescent="0.4">
      <c r="A1066" t="s">
        <v>2420</v>
      </c>
      <c r="B1066" t="s">
        <v>2354</v>
      </c>
      <c r="C1066" s="131">
        <v>40359</v>
      </c>
      <c r="D1066" t="s">
        <v>2421</v>
      </c>
      <c r="F1066" t="s">
        <v>645</v>
      </c>
      <c r="H1066">
        <v>50</v>
      </c>
      <c r="J1066" s="1">
        <v>2435.38</v>
      </c>
      <c r="K1066" s="1"/>
      <c r="L1066" s="1">
        <v>2435.38</v>
      </c>
      <c r="M1066" s="1">
        <v>821.93</v>
      </c>
      <c r="N1066" s="1">
        <f t="shared" si="22"/>
        <v>48.707599999999999</v>
      </c>
    </row>
    <row r="1067" spans="1:14" hidden="1" x14ac:dyDescent="0.4">
      <c r="A1067" t="s">
        <v>2422</v>
      </c>
      <c r="B1067" t="s">
        <v>2354</v>
      </c>
      <c r="C1067" s="131">
        <v>40421</v>
      </c>
      <c r="D1067" t="s">
        <v>2423</v>
      </c>
      <c r="F1067" t="s">
        <v>645</v>
      </c>
      <c r="H1067">
        <v>50</v>
      </c>
      <c r="J1067" s="1">
        <v>1519.2</v>
      </c>
      <c r="K1067" s="1"/>
      <c r="L1067" s="1">
        <v>1519.2</v>
      </c>
      <c r="M1067" s="1">
        <v>512.73</v>
      </c>
      <c r="N1067" s="1">
        <f t="shared" si="22"/>
        <v>30.384</v>
      </c>
    </row>
    <row r="1068" spans="1:14" hidden="1" x14ac:dyDescent="0.4">
      <c r="A1068" t="s">
        <v>2424</v>
      </c>
      <c r="B1068" t="s">
        <v>2354</v>
      </c>
      <c r="C1068" s="131">
        <v>40421</v>
      </c>
      <c r="D1068" t="s">
        <v>2425</v>
      </c>
      <c r="F1068" t="s">
        <v>645</v>
      </c>
      <c r="H1068">
        <v>50</v>
      </c>
      <c r="J1068" s="1">
        <v>2321.44</v>
      </c>
      <c r="K1068" s="1"/>
      <c r="L1068" s="1">
        <v>2321.44</v>
      </c>
      <c r="M1068" s="1">
        <v>783.51</v>
      </c>
      <c r="N1068" s="1">
        <f t="shared" si="22"/>
        <v>46.428800000000003</v>
      </c>
    </row>
    <row r="1069" spans="1:14" hidden="1" x14ac:dyDescent="0.4">
      <c r="A1069" t="s">
        <v>2426</v>
      </c>
      <c r="B1069" t="s">
        <v>2354</v>
      </c>
      <c r="C1069" s="131">
        <v>40512</v>
      </c>
      <c r="D1069" t="s">
        <v>2427</v>
      </c>
      <c r="F1069" t="s">
        <v>645</v>
      </c>
      <c r="H1069">
        <v>50</v>
      </c>
      <c r="J1069" s="1">
        <v>2248.67</v>
      </c>
      <c r="K1069" s="1"/>
      <c r="L1069" s="1">
        <v>2248.67</v>
      </c>
      <c r="M1069" s="1">
        <v>758.97</v>
      </c>
      <c r="N1069" s="1">
        <f t="shared" si="22"/>
        <v>44.973399999999998</v>
      </c>
    </row>
    <row r="1070" spans="1:14" hidden="1" x14ac:dyDescent="0.4">
      <c r="A1070" t="s">
        <v>2428</v>
      </c>
      <c r="B1070" t="s">
        <v>2354</v>
      </c>
      <c r="C1070" s="131">
        <v>40512</v>
      </c>
      <c r="D1070" t="s">
        <v>2429</v>
      </c>
      <c r="F1070" t="s">
        <v>645</v>
      </c>
      <c r="H1070">
        <v>50</v>
      </c>
      <c r="J1070" s="1">
        <v>2509.6999999999998</v>
      </c>
      <c r="K1070" s="1"/>
      <c r="L1070" s="1">
        <v>2509.6999999999998</v>
      </c>
      <c r="M1070" s="1">
        <v>846.99</v>
      </c>
      <c r="N1070" s="1">
        <f t="shared" si="22"/>
        <v>50.193999999999996</v>
      </c>
    </row>
    <row r="1071" spans="1:14" hidden="1" x14ac:dyDescent="0.4">
      <c r="A1071" t="s">
        <v>2430</v>
      </c>
      <c r="B1071" t="s">
        <v>2354</v>
      </c>
      <c r="C1071" s="131">
        <v>40663</v>
      </c>
      <c r="D1071" t="s">
        <v>2431</v>
      </c>
      <c r="F1071" t="s">
        <v>645</v>
      </c>
      <c r="H1071">
        <v>50</v>
      </c>
      <c r="J1071" s="1">
        <v>2762.43</v>
      </c>
      <c r="K1071" s="1"/>
      <c r="L1071" s="1">
        <v>2762.43</v>
      </c>
      <c r="M1071" s="1">
        <v>863.25</v>
      </c>
      <c r="N1071" s="1">
        <f t="shared" si="22"/>
        <v>55.248599999999996</v>
      </c>
    </row>
    <row r="1072" spans="1:14" hidden="1" x14ac:dyDescent="0.4">
      <c r="A1072" t="s">
        <v>2432</v>
      </c>
      <c r="B1072" t="s">
        <v>2354</v>
      </c>
      <c r="C1072" s="131">
        <v>40663</v>
      </c>
      <c r="D1072" t="s">
        <v>2433</v>
      </c>
      <c r="F1072" t="s">
        <v>645</v>
      </c>
      <c r="H1072">
        <v>50</v>
      </c>
      <c r="J1072" s="1">
        <v>1660.89</v>
      </c>
      <c r="K1072" s="1"/>
      <c r="L1072" s="1">
        <v>1660.89</v>
      </c>
      <c r="M1072" s="1">
        <v>519</v>
      </c>
      <c r="N1072" s="1">
        <f t="shared" ref="N1072:N1098" si="23">L1072/H1072</f>
        <v>33.217800000000004</v>
      </c>
    </row>
    <row r="1073" spans="1:14" hidden="1" x14ac:dyDescent="0.4">
      <c r="A1073" t="s">
        <v>2434</v>
      </c>
      <c r="B1073" t="s">
        <v>2354</v>
      </c>
      <c r="C1073" s="131">
        <v>40554</v>
      </c>
      <c r="D1073" t="s">
        <v>2435</v>
      </c>
      <c r="F1073" t="s">
        <v>645</v>
      </c>
      <c r="H1073">
        <v>50</v>
      </c>
      <c r="J1073" s="1">
        <v>69864.08</v>
      </c>
      <c r="K1073" s="1"/>
      <c r="L1073" s="1">
        <v>69864.08</v>
      </c>
      <c r="M1073" s="1">
        <v>21832.5</v>
      </c>
      <c r="N1073" s="1">
        <f t="shared" si="23"/>
        <v>1397.2816</v>
      </c>
    </row>
    <row r="1074" spans="1:14" hidden="1" x14ac:dyDescent="0.4">
      <c r="A1074" t="s">
        <v>2436</v>
      </c>
      <c r="B1074" t="s">
        <v>2354</v>
      </c>
      <c r="C1074" s="131">
        <v>41090</v>
      </c>
      <c r="D1074" t="s">
        <v>2437</v>
      </c>
      <c r="F1074" t="s">
        <v>645</v>
      </c>
      <c r="H1074">
        <v>50</v>
      </c>
      <c r="J1074" s="1">
        <v>3567.65</v>
      </c>
      <c r="K1074" s="1"/>
      <c r="L1074" s="1">
        <v>3567.65</v>
      </c>
      <c r="M1074" s="1">
        <v>1025.69</v>
      </c>
      <c r="N1074" s="1">
        <f t="shared" si="23"/>
        <v>71.353000000000009</v>
      </c>
    </row>
    <row r="1075" spans="1:14" hidden="1" x14ac:dyDescent="0.4">
      <c r="A1075" t="s">
        <v>2438</v>
      </c>
      <c r="B1075" t="s">
        <v>2354</v>
      </c>
      <c r="C1075" s="131">
        <v>41243</v>
      </c>
      <c r="D1075" t="s">
        <v>2439</v>
      </c>
      <c r="F1075" t="s">
        <v>645</v>
      </c>
      <c r="H1075">
        <v>50</v>
      </c>
      <c r="J1075" s="1">
        <v>3148.03</v>
      </c>
      <c r="K1075" s="1"/>
      <c r="L1075" s="1">
        <v>3148.03</v>
      </c>
      <c r="M1075" s="1">
        <v>905.05</v>
      </c>
      <c r="N1075" s="1">
        <f t="shared" si="23"/>
        <v>62.960600000000007</v>
      </c>
    </row>
    <row r="1076" spans="1:14" hidden="1" x14ac:dyDescent="0.4">
      <c r="A1076" t="s">
        <v>2440</v>
      </c>
      <c r="B1076" t="s">
        <v>2354</v>
      </c>
      <c r="C1076" s="131">
        <v>41274</v>
      </c>
      <c r="D1076" t="s">
        <v>2441</v>
      </c>
      <c r="F1076" t="s">
        <v>645</v>
      </c>
      <c r="H1076">
        <v>50</v>
      </c>
      <c r="J1076" s="1">
        <v>2672.77</v>
      </c>
      <c r="K1076" s="1"/>
      <c r="L1076" s="1">
        <v>2672.77</v>
      </c>
      <c r="M1076" s="1">
        <v>768.43</v>
      </c>
      <c r="N1076" s="1">
        <f t="shared" si="23"/>
        <v>53.455399999999997</v>
      </c>
    </row>
    <row r="1077" spans="1:14" hidden="1" x14ac:dyDescent="0.4">
      <c r="A1077" t="s">
        <v>2442</v>
      </c>
      <c r="B1077" t="s">
        <v>2354</v>
      </c>
      <c r="C1077" s="131">
        <v>41091</v>
      </c>
      <c r="D1077" t="s">
        <v>2443</v>
      </c>
      <c r="F1077" t="s">
        <v>645</v>
      </c>
      <c r="H1077">
        <v>50</v>
      </c>
      <c r="J1077" s="1">
        <v>5515.94</v>
      </c>
      <c r="K1077" s="1"/>
      <c r="L1077" s="1">
        <v>5515.94</v>
      </c>
      <c r="M1077" s="1">
        <v>1585.85</v>
      </c>
      <c r="N1077" s="1">
        <f t="shared" si="23"/>
        <v>110.3188</v>
      </c>
    </row>
    <row r="1078" spans="1:14" hidden="1" x14ac:dyDescent="0.4">
      <c r="A1078" t="s">
        <v>2444</v>
      </c>
      <c r="B1078" t="s">
        <v>2354</v>
      </c>
      <c r="C1078" s="131">
        <v>41698</v>
      </c>
      <c r="D1078" t="s">
        <v>2445</v>
      </c>
      <c r="F1078" t="s">
        <v>645</v>
      </c>
      <c r="H1078">
        <v>50</v>
      </c>
      <c r="J1078" s="1">
        <v>2073.9499999999998</v>
      </c>
      <c r="K1078" s="1"/>
      <c r="L1078" s="1">
        <v>2073.9499999999998</v>
      </c>
      <c r="M1078" s="1">
        <v>492.57</v>
      </c>
      <c r="N1078" s="1">
        <f t="shared" si="23"/>
        <v>41.478999999999999</v>
      </c>
    </row>
    <row r="1079" spans="1:14" hidden="1" x14ac:dyDescent="0.4">
      <c r="A1079" t="s">
        <v>2446</v>
      </c>
      <c r="B1079" t="s">
        <v>2354</v>
      </c>
      <c r="C1079" s="131">
        <v>41790</v>
      </c>
      <c r="D1079" t="s">
        <v>2447</v>
      </c>
      <c r="F1079" t="s">
        <v>645</v>
      </c>
      <c r="H1079">
        <v>50</v>
      </c>
      <c r="J1079" s="1">
        <v>3045.33</v>
      </c>
      <c r="K1079" s="1"/>
      <c r="L1079" s="1">
        <v>3045.33</v>
      </c>
      <c r="M1079" s="1">
        <v>723.24</v>
      </c>
      <c r="N1079" s="1">
        <f t="shared" si="23"/>
        <v>60.906599999999997</v>
      </c>
    </row>
    <row r="1080" spans="1:14" hidden="1" x14ac:dyDescent="0.4">
      <c r="A1080" t="s">
        <v>2448</v>
      </c>
      <c r="B1080" t="s">
        <v>2354</v>
      </c>
      <c r="C1080" s="131">
        <v>41820</v>
      </c>
      <c r="D1080" t="s">
        <v>2449</v>
      </c>
      <c r="F1080" t="s">
        <v>645</v>
      </c>
      <c r="H1080">
        <v>50</v>
      </c>
      <c r="J1080" s="1">
        <v>2751.41</v>
      </c>
      <c r="K1080" s="1"/>
      <c r="L1080" s="1">
        <v>2751.41</v>
      </c>
      <c r="M1080" s="1">
        <v>653.47</v>
      </c>
      <c r="N1080" s="1">
        <f t="shared" si="23"/>
        <v>55.028199999999998</v>
      </c>
    </row>
    <row r="1081" spans="1:14" hidden="1" x14ac:dyDescent="0.4">
      <c r="A1081" t="s">
        <v>2450</v>
      </c>
      <c r="B1081" t="s">
        <v>2354</v>
      </c>
      <c r="C1081" s="131">
        <v>41851</v>
      </c>
      <c r="D1081" t="s">
        <v>2451</v>
      </c>
      <c r="F1081" t="s">
        <v>645</v>
      </c>
      <c r="H1081">
        <v>50</v>
      </c>
      <c r="J1081" s="1">
        <v>3015.66</v>
      </c>
      <c r="K1081" s="1"/>
      <c r="L1081" s="1">
        <v>3015.66</v>
      </c>
      <c r="M1081" s="1">
        <v>716.21</v>
      </c>
      <c r="N1081" s="1">
        <f t="shared" si="23"/>
        <v>60.313199999999995</v>
      </c>
    </row>
    <row r="1082" spans="1:14" hidden="1" x14ac:dyDescent="0.4">
      <c r="A1082" t="s">
        <v>2452</v>
      </c>
      <c r="B1082" t="s">
        <v>2354</v>
      </c>
      <c r="C1082" s="131">
        <v>41943</v>
      </c>
      <c r="D1082" t="s">
        <v>2453</v>
      </c>
      <c r="F1082" t="s">
        <v>645</v>
      </c>
      <c r="H1082">
        <v>50</v>
      </c>
      <c r="J1082" s="1">
        <v>3212.45</v>
      </c>
      <c r="K1082" s="1"/>
      <c r="L1082" s="1">
        <v>3212.45</v>
      </c>
      <c r="M1082" s="1">
        <v>762.95</v>
      </c>
      <c r="N1082" s="1">
        <f t="shared" si="23"/>
        <v>64.248999999999995</v>
      </c>
    </row>
    <row r="1083" spans="1:14" hidden="1" x14ac:dyDescent="0.4">
      <c r="A1083" t="s">
        <v>2454</v>
      </c>
      <c r="B1083" t="s">
        <v>2354</v>
      </c>
      <c r="C1083" s="131">
        <v>41973</v>
      </c>
      <c r="D1083" t="s">
        <v>2455</v>
      </c>
      <c r="F1083" t="s">
        <v>645</v>
      </c>
      <c r="H1083">
        <v>50</v>
      </c>
      <c r="J1083" s="1">
        <v>2924.15</v>
      </c>
      <c r="K1083" s="1"/>
      <c r="L1083" s="1">
        <v>2924.15</v>
      </c>
      <c r="M1083" s="1">
        <v>694.45</v>
      </c>
      <c r="N1083" s="1">
        <f t="shared" si="23"/>
        <v>58.483000000000004</v>
      </c>
    </row>
    <row r="1084" spans="1:14" hidden="1" x14ac:dyDescent="0.4">
      <c r="A1084" t="s">
        <v>2456</v>
      </c>
      <c r="B1084" t="s">
        <v>2354</v>
      </c>
      <c r="C1084" s="131">
        <v>41821</v>
      </c>
      <c r="D1084" t="s">
        <v>2457</v>
      </c>
      <c r="F1084" t="s">
        <v>645</v>
      </c>
      <c r="H1084">
        <v>50</v>
      </c>
      <c r="J1084" s="1">
        <v>7968</v>
      </c>
      <c r="K1084" s="1"/>
      <c r="L1084" s="1">
        <v>7968</v>
      </c>
      <c r="M1084" s="1">
        <v>1892.4</v>
      </c>
      <c r="N1084" s="1">
        <f t="shared" si="23"/>
        <v>159.36000000000001</v>
      </c>
    </row>
    <row r="1085" spans="1:14" hidden="1" x14ac:dyDescent="0.4">
      <c r="A1085" t="s">
        <v>2458</v>
      </c>
      <c r="B1085" t="s">
        <v>2354</v>
      </c>
      <c r="C1085" s="131">
        <v>42277</v>
      </c>
      <c r="D1085" t="s">
        <v>2459</v>
      </c>
      <c r="F1085" t="s">
        <v>645</v>
      </c>
      <c r="H1085">
        <v>50</v>
      </c>
      <c r="J1085" s="1">
        <v>3347.79</v>
      </c>
      <c r="K1085" s="1"/>
      <c r="L1085" s="1">
        <v>3347.79</v>
      </c>
      <c r="M1085" s="1">
        <v>711.4</v>
      </c>
      <c r="N1085" s="1">
        <f t="shared" si="23"/>
        <v>66.955799999999996</v>
      </c>
    </row>
    <row r="1086" spans="1:14" hidden="1" x14ac:dyDescent="0.4">
      <c r="A1086" t="s">
        <v>2460</v>
      </c>
      <c r="B1086" t="s">
        <v>2354</v>
      </c>
      <c r="C1086" s="131">
        <v>42308</v>
      </c>
      <c r="D1086" t="s">
        <v>2461</v>
      </c>
      <c r="F1086" t="s">
        <v>645</v>
      </c>
      <c r="H1086">
        <v>50</v>
      </c>
      <c r="J1086" s="1">
        <v>3197.29</v>
      </c>
      <c r="K1086" s="1"/>
      <c r="L1086" s="1">
        <v>3197.29</v>
      </c>
      <c r="M1086" s="1">
        <v>679.41</v>
      </c>
      <c r="N1086" s="1">
        <f t="shared" si="23"/>
        <v>63.945799999999998</v>
      </c>
    </row>
    <row r="1087" spans="1:14" hidden="1" x14ac:dyDescent="0.4">
      <c r="A1087" t="s">
        <v>2462</v>
      </c>
      <c r="B1087" t="s">
        <v>2354</v>
      </c>
      <c r="C1087" s="131">
        <v>42308</v>
      </c>
      <c r="D1087" t="s">
        <v>2463</v>
      </c>
      <c r="F1087" t="s">
        <v>645</v>
      </c>
      <c r="H1087">
        <v>50</v>
      </c>
      <c r="J1087" s="1">
        <v>2818.6</v>
      </c>
      <c r="K1087" s="1"/>
      <c r="L1087" s="1">
        <v>2818.6</v>
      </c>
      <c r="M1087" s="1">
        <v>598.95000000000005</v>
      </c>
      <c r="N1087" s="1">
        <f t="shared" si="23"/>
        <v>56.372</v>
      </c>
    </row>
    <row r="1088" spans="1:14" hidden="1" x14ac:dyDescent="0.4">
      <c r="A1088" t="s">
        <v>2464</v>
      </c>
      <c r="B1088" t="s">
        <v>2354</v>
      </c>
      <c r="C1088" s="131">
        <v>42338</v>
      </c>
      <c r="D1088" t="s">
        <v>2465</v>
      </c>
      <c r="F1088" t="s">
        <v>645</v>
      </c>
      <c r="H1088">
        <v>50</v>
      </c>
      <c r="J1088" s="1">
        <v>2322.5500000000002</v>
      </c>
      <c r="K1088" s="1"/>
      <c r="L1088" s="1">
        <v>2322.5500000000002</v>
      </c>
      <c r="M1088" s="1">
        <v>493.51</v>
      </c>
      <c r="N1088" s="1">
        <f t="shared" si="23"/>
        <v>46.451000000000001</v>
      </c>
    </row>
    <row r="1089" spans="1:20" hidden="1" x14ac:dyDescent="0.4">
      <c r="A1089" t="s">
        <v>2466</v>
      </c>
      <c r="B1089" t="s">
        <v>2354</v>
      </c>
      <c r="C1089" s="131">
        <v>42312</v>
      </c>
      <c r="D1089" t="s">
        <v>2214</v>
      </c>
      <c r="F1089" t="s">
        <v>645</v>
      </c>
      <c r="H1089">
        <v>50</v>
      </c>
      <c r="J1089" s="1">
        <v>1250</v>
      </c>
      <c r="K1089" s="1"/>
      <c r="L1089" s="1">
        <v>1250</v>
      </c>
      <c r="M1089" s="1">
        <v>265.63</v>
      </c>
      <c r="N1089" s="1">
        <f t="shared" si="23"/>
        <v>25</v>
      </c>
    </row>
    <row r="1090" spans="1:20" hidden="1" x14ac:dyDescent="0.4">
      <c r="A1090" t="s">
        <v>2467</v>
      </c>
      <c r="B1090" t="s">
        <v>2354</v>
      </c>
      <c r="C1090" s="131">
        <v>42460</v>
      </c>
      <c r="D1090" t="s">
        <v>2468</v>
      </c>
      <c r="F1090" t="s">
        <v>645</v>
      </c>
      <c r="H1090">
        <v>50</v>
      </c>
      <c r="J1090" s="1">
        <v>2701.68</v>
      </c>
      <c r="K1090" s="1"/>
      <c r="L1090" s="1">
        <v>2701.68</v>
      </c>
      <c r="M1090" s="1">
        <v>506.55</v>
      </c>
      <c r="N1090" s="1">
        <f t="shared" si="23"/>
        <v>54.0336</v>
      </c>
    </row>
    <row r="1091" spans="1:20" hidden="1" x14ac:dyDescent="0.4">
      <c r="A1091" t="s">
        <v>2469</v>
      </c>
      <c r="B1091" t="s">
        <v>2354</v>
      </c>
      <c r="C1091" s="131">
        <v>42613</v>
      </c>
      <c r="D1091" t="s">
        <v>2470</v>
      </c>
      <c r="F1091" t="s">
        <v>645</v>
      </c>
      <c r="H1091">
        <v>50</v>
      </c>
      <c r="J1091" s="1">
        <v>2233.6</v>
      </c>
      <c r="K1091" s="1"/>
      <c r="L1091" s="1">
        <v>2233.6</v>
      </c>
      <c r="M1091" s="1">
        <v>418.8</v>
      </c>
      <c r="N1091" s="1">
        <f t="shared" si="23"/>
        <v>44.671999999999997</v>
      </c>
    </row>
    <row r="1092" spans="1:20" hidden="1" x14ac:dyDescent="0.4">
      <c r="A1092" t="s">
        <v>2471</v>
      </c>
      <c r="B1092" t="s">
        <v>2354</v>
      </c>
      <c r="C1092" s="131">
        <v>42674</v>
      </c>
      <c r="D1092" t="s">
        <v>2472</v>
      </c>
      <c r="F1092" t="s">
        <v>645</v>
      </c>
      <c r="H1092">
        <v>50</v>
      </c>
      <c r="J1092" s="1">
        <v>3089.11</v>
      </c>
      <c r="K1092" s="1"/>
      <c r="L1092" s="1">
        <v>3089.11</v>
      </c>
      <c r="M1092" s="1">
        <v>579.22</v>
      </c>
      <c r="N1092" s="1">
        <f t="shared" si="23"/>
        <v>61.782200000000003</v>
      </c>
    </row>
    <row r="1093" spans="1:20" hidden="1" x14ac:dyDescent="0.4">
      <c r="A1093" t="s">
        <v>2473</v>
      </c>
      <c r="B1093" t="s">
        <v>2354</v>
      </c>
      <c r="C1093" s="131">
        <v>42978</v>
      </c>
      <c r="D1093" t="s">
        <v>2474</v>
      </c>
      <c r="F1093" t="s">
        <v>645</v>
      </c>
      <c r="H1093">
        <v>50</v>
      </c>
      <c r="J1093" s="1">
        <v>3335.12</v>
      </c>
      <c r="K1093" s="1"/>
      <c r="L1093" s="1">
        <v>3335.12</v>
      </c>
      <c r="M1093" s="1">
        <v>541.97</v>
      </c>
      <c r="N1093" s="1">
        <f t="shared" si="23"/>
        <v>66.702399999999997</v>
      </c>
    </row>
    <row r="1094" spans="1:20" hidden="1" x14ac:dyDescent="0.4">
      <c r="A1094" t="s">
        <v>2475</v>
      </c>
      <c r="B1094" t="s">
        <v>2354</v>
      </c>
      <c r="C1094" s="131">
        <v>43434</v>
      </c>
      <c r="D1094" t="s">
        <v>2476</v>
      </c>
      <c r="F1094" t="s">
        <v>645</v>
      </c>
      <c r="H1094">
        <v>50</v>
      </c>
      <c r="J1094" s="1">
        <v>2895.09</v>
      </c>
      <c r="K1094" s="1"/>
      <c r="L1094" s="1">
        <v>2895.09</v>
      </c>
      <c r="M1094" s="1">
        <v>398.09</v>
      </c>
      <c r="N1094" s="1">
        <f t="shared" si="23"/>
        <v>57.901800000000001</v>
      </c>
    </row>
    <row r="1095" spans="1:20" hidden="1" x14ac:dyDescent="0.4">
      <c r="A1095" t="s">
        <v>2477</v>
      </c>
      <c r="B1095" t="s">
        <v>2354</v>
      </c>
      <c r="C1095" s="131">
        <v>43982</v>
      </c>
      <c r="D1095" t="s">
        <v>2478</v>
      </c>
      <c r="F1095" t="s">
        <v>645</v>
      </c>
      <c r="H1095">
        <v>50</v>
      </c>
      <c r="J1095" s="1">
        <v>7366.48</v>
      </c>
      <c r="K1095" s="1"/>
      <c r="L1095" s="1">
        <v>7366.48</v>
      </c>
      <c r="M1095" s="1">
        <v>644.55999999999995</v>
      </c>
      <c r="N1095" s="1">
        <f t="shared" si="23"/>
        <v>147.3296</v>
      </c>
    </row>
    <row r="1096" spans="1:20" hidden="1" x14ac:dyDescent="0.4">
      <c r="A1096" t="s">
        <v>2479</v>
      </c>
      <c r="B1096" t="s">
        <v>2354</v>
      </c>
      <c r="C1096" s="131">
        <v>44196</v>
      </c>
      <c r="D1096" t="s">
        <v>2480</v>
      </c>
      <c r="F1096" t="s">
        <v>645</v>
      </c>
      <c r="H1096">
        <v>50</v>
      </c>
      <c r="J1096" s="1">
        <v>2114.92</v>
      </c>
      <c r="K1096" s="1"/>
      <c r="L1096" s="1">
        <v>2114.92</v>
      </c>
      <c r="M1096" s="1">
        <v>185.05</v>
      </c>
      <c r="N1096" s="1">
        <f t="shared" si="23"/>
        <v>42.298400000000001</v>
      </c>
    </row>
    <row r="1097" spans="1:20" hidden="1" x14ac:dyDescent="0.4">
      <c r="A1097" t="s">
        <v>2481</v>
      </c>
      <c r="B1097" t="s">
        <v>2354</v>
      </c>
      <c r="C1097" s="131">
        <v>43927</v>
      </c>
      <c r="D1097" t="s">
        <v>2212</v>
      </c>
      <c r="F1097" t="s">
        <v>645</v>
      </c>
      <c r="H1097">
        <v>50</v>
      </c>
      <c r="J1097" s="1">
        <v>3648.33</v>
      </c>
      <c r="K1097" s="1"/>
      <c r="L1097" s="1">
        <v>3648.33</v>
      </c>
      <c r="M1097" s="1">
        <v>319.23</v>
      </c>
      <c r="N1097" s="1">
        <f t="shared" si="23"/>
        <v>72.9666</v>
      </c>
    </row>
    <row r="1098" spans="1:20" hidden="1" x14ac:dyDescent="0.4">
      <c r="A1098" t="s">
        <v>2482</v>
      </c>
      <c r="B1098" t="s">
        <v>2354</v>
      </c>
      <c r="C1098" s="131">
        <v>45046</v>
      </c>
      <c r="D1098" t="s">
        <v>2483</v>
      </c>
      <c r="F1098" t="s">
        <v>645</v>
      </c>
      <c r="H1098">
        <v>50</v>
      </c>
      <c r="J1098" s="1">
        <v>2979.32</v>
      </c>
      <c r="K1098" s="1"/>
      <c r="L1098" s="1">
        <v>2979.32</v>
      </c>
      <c r="M1098" s="1">
        <v>37.24</v>
      </c>
      <c r="N1098" s="1">
        <f t="shared" si="23"/>
        <v>59.586400000000005</v>
      </c>
    </row>
    <row r="1099" spans="1:20" x14ac:dyDescent="0.4">
      <c r="C1099" s="131"/>
      <c r="J1099" s="1"/>
      <c r="K1099" s="1"/>
      <c r="L1099" s="1"/>
      <c r="M1099" s="1"/>
      <c r="N1099" s="1"/>
    </row>
    <row r="1100" spans="1:20" x14ac:dyDescent="0.4">
      <c r="A1100" s="237" t="str">
        <f>A942</f>
        <v>Hydrants</v>
      </c>
      <c r="C1100" s="131"/>
      <c r="J1100" s="1">
        <f>SUM(J943:J1099)</f>
        <v>1135280.3400000008</v>
      </c>
      <c r="K1100" s="1"/>
      <c r="L1100" s="1"/>
      <c r="M1100" s="1"/>
      <c r="N1100" s="1">
        <f>SUM(N943:N1099)</f>
        <v>22705.60679999999</v>
      </c>
      <c r="T1100" t="s">
        <v>2852</v>
      </c>
    </row>
    <row r="1101" spans="1:20" x14ac:dyDescent="0.4">
      <c r="C1101" s="131"/>
      <c r="J1101" s="1"/>
      <c r="K1101" s="1"/>
      <c r="L1101" s="1"/>
      <c r="M1101" s="1"/>
      <c r="N1101" s="1"/>
    </row>
    <row r="1102" spans="1:20" ht="21" x14ac:dyDescent="0.5">
      <c r="A1102" s="242" t="s">
        <v>2484</v>
      </c>
      <c r="C1102" s="131"/>
      <c r="J1102" s="1"/>
      <c r="K1102" s="1"/>
      <c r="L1102" s="1"/>
      <c r="M1102" s="1"/>
      <c r="N1102" s="1"/>
    </row>
    <row r="1103" spans="1:20" x14ac:dyDescent="0.4">
      <c r="A1103" t="s">
        <v>2485</v>
      </c>
      <c r="B1103" t="s">
        <v>2486</v>
      </c>
      <c r="C1103" s="131">
        <v>42978</v>
      </c>
      <c r="D1103" t="s">
        <v>2487</v>
      </c>
      <c r="F1103" t="s">
        <v>645</v>
      </c>
      <c r="H1103">
        <v>10</v>
      </c>
      <c r="J1103" s="1">
        <v>5490</v>
      </c>
      <c r="K1103" s="1"/>
      <c r="L1103" s="1">
        <v>5490</v>
      </c>
      <c r="M1103" s="1">
        <v>3568.5</v>
      </c>
      <c r="N1103" s="1">
        <f>J1103/H1103</f>
        <v>549</v>
      </c>
    </row>
    <row r="1104" spans="1:20" x14ac:dyDescent="0.4">
      <c r="A1104" t="s">
        <v>2488</v>
      </c>
      <c r="B1104" t="s">
        <v>2486</v>
      </c>
      <c r="C1104" s="131">
        <v>43467</v>
      </c>
      <c r="D1104" t="s">
        <v>2489</v>
      </c>
      <c r="F1104" t="s">
        <v>645</v>
      </c>
      <c r="H1104">
        <v>10</v>
      </c>
      <c r="J1104" s="1">
        <v>3316.85</v>
      </c>
      <c r="K1104" s="1"/>
      <c r="L1104" s="1">
        <v>3316.85</v>
      </c>
      <c r="M1104" s="1">
        <v>1492.58</v>
      </c>
      <c r="N1104" s="1">
        <f t="shared" ref="N1104:N1116" si="24">J1104/H1104</f>
        <v>331.685</v>
      </c>
    </row>
    <row r="1105" spans="1:29" x14ac:dyDescent="0.4">
      <c r="A1105" t="s">
        <v>2490</v>
      </c>
      <c r="B1105" t="s">
        <v>2486</v>
      </c>
      <c r="C1105" s="131">
        <v>43649</v>
      </c>
      <c r="D1105" t="s">
        <v>2491</v>
      </c>
      <c r="F1105" t="s">
        <v>645</v>
      </c>
      <c r="H1105">
        <v>22.5</v>
      </c>
      <c r="J1105" s="1">
        <v>1812.93</v>
      </c>
      <c r="K1105" s="1"/>
      <c r="L1105" s="1">
        <v>1812.93</v>
      </c>
      <c r="M1105" s="1">
        <v>815.81</v>
      </c>
      <c r="N1105" s="1">
        <f t="shared" si="24"/>
        <v>80.574666666666673</v>
      </c>
    </row>
    <row r="1106" spans="1:29" x14ac:dyDescent="0.4">
      <c r="A1106" t="s">
        <v>2492</v>
      </c>
      <c r="B1106" t="s">
        <v>2486</v>
      </c>
      <c r="C1106" s="131">
        <v>43908</v>
      </c>
      <c r="D1106" t="s">
        <v>2493</v>
      </c>
      <c r="F1106" t="s">
        <v>645</v>
      </c>
      <c r="H1106">
        <v>22.5</v>
      </c>
      <c r="J1106" s="1">
        <v>985.96</v>
      </c>
      <c r="K1106" s="1"/>
      <c r="L1106" s="1">
        <v>985.96</v>
      </c>
      <c r="M1106" s="1">
        <v>690.17</v>
      </c>
      <c r="N1106" s="1">
        <f t="shared" si="24"/>
        <v>43.820444444444448</v>
      </c>
    </row>
    <row r="1107" spans="1:29" x14ac:dyDescent="0.4">
      <c r="A1107" t="s">
        <v>2494</v>
      </c>
      <c r="B1107" t="s">
        <v>2486</v>
      </c>
      <c r="C1107" s="131">
        <v>43910</v>
      </c>
      <c r="D1107" t="s">
        <v>2495</v>
      </c>
      <c r="F1107" t="s">
        <v>645</v>
      </c>
      <c r="H1107">
        <v>22.5</v>
      </c>
      <c r="J1107" s="1">
        <v>359</v>
      </c>
      <c r="K1107" s="1"/>
      <c r="L1107" s="1">
        <v>359</v>
      </c>
      <c r="M1107" s="1">
        <v>251.3</v>
      </c>
      <c r="N1107" s="1">
        <f t="shared" si="24"/>
        <v>15.955555555555556</v>
      </c>
    </row>
    <row r="1108" spans="1:29" x14ac:dyDescent="0.4">
      <c r="A1108" t="s">
        <v>2496</v>
      </c>
      <c r="B1108" t="s">
        <v>2486</v>
      </c>
      <c r="C1108" s="131">
        <v>44221</v>
      </c>
      <c r="D1108" t="s">
        <v>2497</v>
      </c>
      <c r="F1108" t="s">
        <v>645</v>
      </c>
      <c r="H1108">
        <v>10</v>
      </c>
      <c r="J1108" s="1">
        <v>5267</v>
      </c>
      <c r="K1108" s="1"/>
      <c r="L1108" s="1">
        <v>5267</v>
      </c>
      <c r="M1108" s="1">
        <v>1316.75</v>
      </c>
      <c r="N1108" s="1">
        <f t="shared" si="24"/>
        <v>526.70000000000005</v>
      </c>
    </row>
    <row r="1109" spans="1:29" x14ac:dyDescent="0.4">
      <c r="A1109" t="s">
        <v>2498</v>
      </c>
      <c r="B1109" t="s">
        <v>2486</v>
      </c>
      <c r="C1109" s="131">
        <v>44559</v>
      </c>
      <c r="D1109" t="s">
        <v>2499</v>
      </c>
      <c r="F1109" t="s">
        <v>645</v>
      </c>
      <c r="H1109">
        <v>22.5</v>
      </c>
      <c r="J1109" s="1">
        <v>16596</v>
      </c>
      <c r="K1109" s="1"/>
      <c r="L1109" s="1">
        <v>16596</v>
      </c>
      <c r="M1109" s="1">
        <v>4149</v>
      </c>
      <c r="N1109" s="1">
        <f t="shared" si="24"/>
        <v>737.6</v>
      </c>
      <c r="Y1109" s="2" t="s">
        <v>3252</v>
      </c>
      <c r="AA1109" s="400" t="s">
        <v>3279</v>
      </c>
      <c r="AB1109" s="400"/>
      <c r="AC1109" s="400"/>
    </row>
    <row r="1110" spans="1:29" x14ac:dyDescent="0.4">
      <c r="A1110" t="s">
        <v>2500</v>
      </c>
      <c r="B1110" t="s">
        <v>2486</v>
      </c>
      <c r="C1110" s="131">
        <v>44771</v>
      </c>
      <c r="D1110" t="s">
        <v>2501</v>
      </c>
      <c r="F1110" t="s">
        <v>645</v>
      </c>
      <c r="H1110">
        <v>5</v>
      </c>
      <c r="J1110" s="1">
        <v>1678</v>
      </c>
      <c r="K1110" s="1"/>
      <c r="L1110" s="1">
        <v>1678</v>
      </c>
      <c r="M1110" s="1">
        <v>503.4</v>
      </c>
      <c r="N1110" s="1">
        <f t="shared" si="24"/>
        <v>335.6</v>
      </c>
      <c r="U1110" s="2" t="s">
        <v>2662</v>
      </c>
      <c r="V1110" s="2"/>
      <c r="W1110" s="2"/>
      <c r="Y1110" s="2" t="s">
        <v>3280</v>
      </c>
      <c r="AA1110" s="2" t="s">
        <v>461</v>
      </c>
      <c r="AB1110" s="2"/>
      <c r="AC1110" s="2"/>
    </row>
    <row r="1111" spans="1:29" x14ac:dyDescent="0.4">
      <c r="A1111" t="s">
        <v>2502</v>
      </c>
      <c r="B1111" t="s">
        <v>2486</v>
      </c>
      <c r="C1111" s="131">
        <v>44644</v>
      </c>
      <c r="D1111" t="s">
        <v>2503</v>
      </c>
      <c r="F1111" t="s">
        <v>645</v>
      </c>
      <c r="H1111">
        <v>5</v>
      </c>
      <c r="J1111" s="1">
        <v>4290.54</v>
      </c>
      <c r="K1111" s="1"/>
      <c r="L1111" s="1">
        <v>4290.54</v>
      </c>
      <c r="M1111" s="1">
        <v>1287.1600000000001</v>
      </c>
      <c r="N1111" s="1">
        <f t="shared" si="24"/>
        <v>858.10799999999995</v>
      </c>
      <c r="U1111" s="21" t="s">
        <v>559</v>
      </c>
      <c r="V1111" s="2"/>
      <c r="W1111" s="21" t="s">
        <v>537</v>
      </c>
      <c r="Y1111" s="21" t="s">
        <v>3281</v>
      </c>
      <c r="AA1111" s="21" t="s">
        <v>109</v>
      </c>
      <c r="AB1111" s="2"/>
      <c r="AC1111" s="21" t="s">
        <v>2826</v>
      </c>
    </row>
    <row r="1112" spans="1:29" x14ac:dyDescent="0.4">
      <c r="A1112" t="s">
        <v>2504</v>
      </c>
      <c r="B1112" t="s">
        <v>2486</v>
      </c>
      <c r="C1112" s="131">
        <v>45291</v>
      </c>
      <c r="D1112" t="s">
        <v>2505</v>
      </c>
      <c r="F1112" t="s">
        <v>645</v>
      </c>
      <c r="H1112">
        <v>5</v>
      </c>
      <c r="J1112" s="1">
        <v>50287.56</v>
      </c>
      <c r="K1112" s="1"/>
      <c r="L1112" s="1">
        <v>50287.56</v>
      </c>
      <c r="M1112" s="1">
        <v>5028.76</v>
      </c>
      <c r="N1112" s="1">
        <f>J1112/H1112</f>
        <v>10057.511999999999</v>
      </c>
    </row>
    <row r="1113" spans="1:29" x14ac:dyDescent="0.4">
      <c r="A1113" t="s">
        <v>2506</v>
      </c>
      <c r="B1113" t="s">
        <v>2486</v>
      </c>
      <c r="C1113" s="131">
        <v>45534</v>
      </c>
      <c r="D1113" t="s">
        <v>2507</v>
      </c>
      <c r="F1113" t="s">
        <v>645</v>
      </c>
      <c r="H1113">
        <v>22.5</v>
      </c>
      <c r="J1113" s="1">
        <v>1591.89</v>
      </c>
      <c r="K1113" s="1"/>
      <c r="L1113" s="1">
        <v>1591.89</v>
      </c>
      <c r="M1113" s="1">
        <v>0</v>
      </c>
      <c r="N1113" s="1">
        <f t="shared" si="24"/>
        <v>70.750666666666675</v>
      </c>
      <c r="T1113" s="26" t="s">
        <v>2654</v>
      </c>
      <c r="U1113" s="26">
        <v>16680</v>
      </c>
      <c r="V1113" s="26"/>
      <c r="W1113" s="105">
        <f>U1113/U1116</f>
        <v>0.88067581837381204</v>
      </c>
      <c r="Y1113" s="9">
        <f>W1113*$Y$1116</f>
        <v>12074.046388595565</v>
      </c>
      <c r="Z1113" s="9"/>
      <c r="AA1113" s="9">
        <f>N1112*W1113</f>
        <v>8857.4076114044346</v>
      </c>
      <c r="AB1113" s="9"/>
      <c r="AC1113" s="9">
        <f>Y1113-AA1113</f>
        <v>3216.6387771911304</v>
      </c>
    </row>
    <row r="1114" spans="1:29" x14ac:dyDescent="0.4">
      <c r="A1114" t="s">
        <v>2508</v>
      </c>
      <c r="B1114" t="s">
        <v>2509</v>
      </c>
      <c r="C1114" s="131">
        <v>36586</v>
      </c>
      <c r="D1114" t="s">
        <v>2510</v>
      </c>
      <c r="F1114" t="s">
        <v>645</v>
      </c>
      <c r="H1114">
        <v>22.5</v>
      </c>
      <c r="J1114" s="1">
        <v>466.72</v>
      </c>
      <c r="K1114" s="1"/>
      <c r="L1114" s="1">
        <v>466.72</v>
      </c>
      <c r="M1114" s="1">
        <v>278.17</v>
      </c>
      <c r="N1114" s="1">
        <f t="shared" si="24"/>
        <v>20.743111111111112</v>
      </c>
      <c r="T1114" s="26" t="s">
        <v>49</v>
      </c>
      <c r="U1114" s="10">
        <v>2260</v>
      </c>
      <c r="V1114" s="26"/>
      <c r="W1114" s="112">
        <f>U1114/U1116</f>
        <v>0.11932418162618796</v>
      </c>
      <c r="Y1114" s="10">
        <f>W1114*$Y$1116</f>
        <v>1635.9319447377684</v>
      </c>
      <c r="Z1114" s="35"/>
    </row>
    <row r="1115" spans="1:29" x14ac:dyDescent="0.4">
      <c r="A1115" t="s">
        <v>2511</v>
      </c>
      <c r="B1115" t="s">
        <v>2509</v>
      </c>
      <c r="C1115" s="131">
        <v>37955</v>
      </c>
      <c r="D1115" t="s">
        <v>2512</v>
      </c>
      <c r="F1115" t="s">
        <v>645</v>
      </c>
      <c r="H1115">
        <v>22.5</v>
      </c>
      <c r="J1115" s="1">
        <v>889.74</v>
      </c>
      <c r="K1115" s="1"/>
      <c r="L1115" s="1">
        <v>889.74</v>
      </c>
      <c r="M1115" s="1">
        <v>446.75</v>
      </c>
      <c r="N1115" s="1">
        <f t="shared" si="24"/>
        <v>39.543999999999997</v>
      </c>
      <c r="T1115" s="26"/>
      <c r="U1115" s="26"/>
      <c r="V1115" s="26"/>
      <c r="W1115" s="26"/>
      <c r="Y1115" s="8"/>
    </row>
    <row r="1116" spans="1:29" ht="16.5" thickBot="1" x14ac:dyDescent="0.45">
      <c r="A1116" t="s">
        <v>2513</v>
      </c>
      <c r="B1116" t="s">
        <v>2486</v>
      </c>
      <c r="C1116" s="131">
        <v>43705</v>
      </c>
      <c r="D1116" t="s">
        <v>2514</v>
      </c>
      <c r="F1116" t="s">
        <v>645</v>
      </c>
      <c r="H1116">
        <v>22.5</v>
      </c>
      <c r="J1116" s="1">
        <v>953.66</v>
      </c>
      <c r="K1116" s="1"/>
      <c r="L1116" s="1">
        <v>953.66</v>
      </c>
      <c r="M1116" s="1">
        <v>429.15</v>
      </c>
      <c r="N1116" s="1">
        <f t="shared" si="24"/>
        <v>42.384888888888888</v>
      </c>
      <c r="T1116" s="26" t="s">
        <v>25</v>
      </c>
      <c r="U1116" s="11">
        <f>SUM(U1113:U1115)</f>
        <v>18940</v>
      </c>
      <c r="V1116" s="26"/>
      <c r="W1116" s="273">
        <f>SUM(W1113:W1115)</f>
        <v>1</v>
      </c>
      <c r="Y1116" s="31">
        <f>N1118</f>
        <v>13709.978333333333</v>
      </c>
      <c r="Z1116" s="35"/>
    </row>
    <row r="1117" spans="1:29" ht="16.5" thickTop="1" x14ac:dyDescent="0.4">
      <c r="C1117" s="131"/>
      <c r="J1117" s="1"/>
      <c r="K1117" s="1"/>
      <c r="L1117" s="1"/>
      <c r="M1117" s="1"/>
      <c r="N1117" s="1"/>
    </row>
    <row r="1118" spans="1:29" x14ac:dyDescent="0.4">
      <c r="A1118" s="237" t="str">
        <f>A1102</f>
        <v>Office Furniture and Equipment</v>
      </c>
      <c r="C1118" s="131"/>
      <c r="J1118" s="1">
        <f>SUM(J1103:J1117)</f>
        <v>93985.85</v>
      </c>
      <c r="K1118" s="1"/>
      <c r="L1118" s="1"/>
      <c r="M1118" s="1"/>
      <c r="N1118" s="1">
        <f>SUM(N1103:N1117)</f>
        <v>13709.978333333333</v>
      </c>
      <c r="T1118" s="30"/>
      <c r="U1118" s="26"/>
      <c r="V1118" s="26"/>
      <c r="W1118" s="26"/>
    </row>
    <row r="1119" spans="1:29" x14ac:dyDescent="0.4">
      <c r="C1119" s="131"/>
      <c r="J1119" s="1"/>
      <c r="K1119" s="1"/>
      <c r="L1119" s="1"/>
      <c r="M1119" s="1"/>
      <c r="N1119" s="1"/>
    </row>
    <row r="1120" spans="1:29" x14ac:dyDescent="0.4">
      <c r="C1120" s="131"/>
      <c r="J1120" s="1"/>
      <c r="K1120" s="1"/>
      <c r="L1120" s="1"/>
      <c r="M1120" s="1"/>
      <c r="N1120" s="1"/>
    </row>
    <row r="1121" spans="1:14" ht="21" x14ac:dyDescent="0.5">
      <c r="A1121" s="242" t="s">
        <v>2515</v>
      </c>
      <c r="C1121" s="131"/>
      <c r="J1121" s="1"/>
      <c r="K1121" s="1"/>
      <c r="L1121" s="1"/>
      <c r="M1121" s="1"/>
      <c r="N1121" s="1"/>
    </row>
    <row r="1122" spans="1:14" x14ac:dyDescent="0.4">
      <c r="A1122" t="s">
        <v>2516</v>
      </c>
      <c r="B1122" t="s">
        <v>2517</v>
      </c>
      <c r="C1122" s="131">
        <v>44132</v>
      </c>
      <c r="D1122" t="s">
        <v>2518</v>
      </c>
      <c r="F1122" t="s">
        <v>645</v>
      </c>
      <c r="H1122">
        <v>12.5</v>
      </c>
      <c r="J1122" s="1">
        <v>1025</v>
      </c>
      <c r="K1122" s="1"/>
      <c r="L1122" s="1">
        <v>1025</v>
      </c>
      <c r="M1122" s="1">
        <v>717.5</v>
      </c>
      <c r="N1122" s="1">
        <f>J1122/H1122</f>
        <v>82</v>
      </c>
    </row>
    <row r="1123" spans="1:14" x14ac:dyDescent="0.4">
      <c r="A1123" t="s">
        <v>2519</v>
      </c>
      <c r="B1123" t="s">
        <v>2517</v>
      </c>
      <c r="C1123" s="131">
        <v>44135</v>
      </c>
      <c r="D1123" t="s">
        <v>2520</v>
      </c>
      <c r="F1123" t="s">
        <v>645</v>
      </c>
      <c r="H1123">
        <v>7</v>
      </c>
      <c r="J1123" s="1">
        <v>24844</v>
      </c>
      <c r="K1123" s="1"/>
      <c r="L1123" s="1">
        <v>24844</v>
      </c>
      <c r="M1123" s="1">
        <v>17390.8</v>
      </c>
      <c r="N1123" s="1">
        <f>J1123/H1123</f>
        <v>3549.1428571428573</v>
      </c>
    </row>
    <row r="1124" spans="1:14" x14ac:dyDescent="0.4">
      <c r="A1124" t="s">
        <v>2521</v>
      </c>
      <c r="B1124" t="s">
        <v>2517</v>
      </c>
      <c r="C1124" s="131">
        <v>44135</v>
      </c>
      <c r="D1124" t="s">
        <v>2522</v>
      </c>
      <c r="F1124" t="s">
        <v>645</v>
      </c>
      <c r="H1124">
        <v>7</v>
      </c>
      <c r="J1124" s="1">
        <v>53433</v>
      </c>
      <c r="K1124" s="1"/>
      <c r="L1124" s="1">
        <v>53433</v>
      </c>
      <c r="M1124" s="1">
        <v>37403.1</v>
      </c>
      <c r="N1124" s="1">
        <f>J1124/H1124</f>
        <v>7633.2857142857147</v>
      </c>
    </row>
    <row r="1125" spans="1:14" x14ac:dyDescent="0.4">
      <c r="A1125" t="s">
        <v>2523</v>
      </c>
      <c r="B1125" t="s">
        <v>2517</v>
      </c>
      <c r="C1125" s="131">
        <v>44196</v>
      </c>
      <c r="D1125" t="s">
        <v>2524</v>
      </c>
      <c r="F1125" t="s">
        <v>645</v>
      </c>
      <c r="H1125">
        <v>7</v>
      </c>
      <c r="J1125" s="1">
        <v>33234.400000000001</v>
      </c>
      <c r="K1125" s="1"/>
      <c r="L1125" s="1">
        <v>33234.400000000001</v>
      </c>
      <c r="M1125" s="1">
        <v>23264.080000000002</v>
      </c>
      <c r="N1125" s="1">
        <f t="shared" ref="N1125:N1151" si="25">J1125/H1125</f>
        <v>4747.7714285714292</v>
      </c>
    </row>
    <row r="1126" spans="1:14" x14ac:dyDescent="0.4">
      <c r="A1126" t="s">
        <v>2525</v>
      </c>
      <c r="B1126" t="s">
        <v>2517</v>
      </c>
      <c r="C1126" s="131">
        <v>44196</v>
      </c>
      <c r="D1126" t="s">
        <v>2526</v>
      </c>
      <c r="F1126" t="s">
        <v>645</v>
      </c>
      <c r="H1126">
        <v>7</v>
      </c>
      <c r="J1126" s="1">
        <v>33234.400000000001</v>
      </c>
      <c r="K1126" s="1"/>
      <c r="L1126" s="1">
        <v>33234.400000000001</v>
      </c>
      <c r="M1126" s="1">
        <v>23264.080000000002</v>
      </c>
      <c r="N1126" s="1">
        <f t="shared" si="25"/>
        <v>4747.7714285714292</v>
      </c>
    </row>
    <row r="1127" spans="1:14" x14ac:dyDescent="0.4">
      <c r="A1127" t="s">
        <v>2527</v>
      </c>
      <c r="B1127" t="s">
        <v>2517</v>
      </c>
      <c r="C1127" s="131">
        <v>44196</v>
      </c>
      <c r="D1127" t="s">
        <v>2528</v>
      </c>
      <c r="F1127" t="s">
        <v>645</v>
      </c>
      <c r="H1127">
        <v>7</v>
      </c>
      <c r="J1127" s="1">
        <v>33234.400000000001</v>
      </c>
      <c r="K1127" s="1"/>
      <c r="L1127" s="1">
        <v>33234.400000000001</v>
      </c>
      <c r="M1127" s="1">
        <v>23264.080000000002</v>
      </c>
      <c r="N1127" s="1">
        <f t="shared" si="25"/>
        <v>4747.7714285714292</v>
      </c>
    </row>
    <row r="1128" spans="1:14" x14ac:dyDescent="0.4">
      <c r="A1128" t="s">
        <v>2529</v>
      </c>
      <c r="B1128" t="s">
        <v>2517</v>
      </c>
      <c r="C1128" s="131">
        <v>43921</v>
      </c>
      <c r="D1128" t="s">
        <v>2530</v>
      </c>
      <c r="F1128" t="s">
        <v>645</v>
      </c>
      <c r="H1128">
        <v>7</v>
      </c>
      <c r="J1128" s="1">
        <v>12215</v>
      </c>
      <c r="K1128" s="1"/>
      <c r="L1128" s="1">
        <v>12215</v>
      </c>
      <c r="M1128" s="1">
        <v>8550.5</v>
      </c>
      <c r="N1128" s="1">
        <f t="shared" si="25"/>
        <v>1745</v>
      </c>
    </row>
    <row r="1129" spans="1:14" x14ac:dyDescent="0.4">
      <c r="A1129" t="s">
        <v>2531</v>
      </c>
      <c r="B1129" t="s">
        <v>2517</v>
      </c>
      <c r="C1129" s="131">
        <v>44347</v>
      </c>
      <c r="D1129" t="s">
        <v>2532</v>
      </c>
      <c r="F1129" t="s">
        <v>645</v>
      </c>
      <c r="H1129">
        <v>7</v>
      </c>
      <c r="J1129" s="1">
        <v>39347</v>
      </c>
      <c r="K1129" s="1"/>
      <c r="L1129" s="1">
        <v>39347</v>
      </c>
      <c r="M1129" s="1">
        <v>19673.5</v>
      </c>
      <c r="N1129" s="1">
        <f t="shared" si="25"/>
        <v>5621</v>
      </c>
    </row>
    <row r="1130" spans="1:14" x14ac:dyDescent="0.4">
      <c r="A1130" t="s">
        <v>2533</v>
      </c>
      <c r="B1130" t="s">
        <v>2517</v>
      </c>
      <c r="C1130" s="131">
        <v>44516</v>
      </c>
      <c r="D1130" t="s">
        <v>2534</v>
      </c>
      <c r="F1130" t="s">
        <v>645</v>
      </c>
      <c r="H1130">
        <v>12.5</v>
      </c>
      <c r="J1130" s="1">
        <v>4400</v>
      </c>
      <c r="K1130" s="1"/>
      <c r="L1130" s="1">
        <v>4400</v>
      </c>
      <c r="M1130" s="1">
        <v>2200</v>
      </c>
      <c r="N1130" s="1">
        <f t="shared" si="25"/>
        <v>352</v>
      </c>
    </row>
    <row r="1131" spans="1:14" x14ac:dyDescent="0.4">
      <c r="A1131" t="s">
        <v>2535</v>
      </c>
      <c r="B1131" t="s">
        <v>2517</v>
      </c>
      <c r="C1131" s="131">
        <v>44530</v>
      </c>
      <c r="D1131" t="s">
        <v>2536</v>
      </c>
      <c r="F1131" t="s">
        <v>645</v>
      </c>
      <c r="H1131">
        <v>7</v>
      </c>
      <c r="J1131" s="1">
        <v>30021</v>
      </c>
      <c r="K1131" s="1"/>
      <c r="L1131" s="1">
        <v>30021</v>
      </c>
      <c r="M1131" s="1">
        <v>15010.5</v>
      </c>
      <c r="N1131" s="1">
        <f t="shared" si="25"/>
        <v>4288.7142857142853</v>
      </c>
    </row>
    <row r="1132" spans="1:14" x14ac:dyDescent="0.4">
      <c r="A1132" t="s">
        <v>2537</v>
      </c>
      <c r="B1132" t="s">
        <v>2517</v>
      </c>
      <c r="C1132" s="131">
        <v>44530</v>
      </c>
      <c r="D1132" t="s">
        <v>2538</v>
      </c>
      <c r="F1132" t="s">
        <v>645</v>
      </c>
      <c r="H1132">
        <v>7</v>
      </c>
      <c r="J1132" s="1">
        <v>29711</v>
      </c>
      <c r="K1132" s="1"/>
      <c r="L1132" s="1">
        <v>29711</v>
      </c>
      <c r="M1132" s="1">
        <v>14855.5</v>
      </c>
      <c r="N1132" s="1">
        <f t="shared" si="25"/>
        <v>4244.4285714285716</v>
      </c>
    </row>
    <row r="1133" spans="1:14" x14ac:dyDescent="0.4">
      <c r="A1133" t="s">
        <v>2539</v>
      </c>
      <c r="B1133" t="s">
        <v>2517</v>
      </c>
      <c r="C1133" s="131">
        <v>44530</v>
      </c>
      <c r="D1133" t="s">
        <v>2540</v>
      </c>
      <c r="F1133" t="s">
        <v>645</v>
      </c>
      <c r="H1133">
        <v>7</v>
      </c>
      <c r="J1133" s="1">
        <v>29999</v>
      </c>
      <c r="K1133" s="1"/>
      <c r="L1133" s="1">
        <v>29999</v>
      </c>
      <c r="M1133" s="1">
        <v>14999.5</v>
      </c>
      <c r="N1133" s="1">
        <f t="shared" si="25"/>
        <v>4285.5714285714284</v>
      </c>
    </row>
    <row r="1134" spans="1:14" x14ac:dyDescent="0.4">
      <c r="A1134" t="s">
        <v>2541</v>
      </c>
      <c r="B1134" t="s">
        <v>2517</v>
      </c>
      <c r="C1134" s="131">
        <v>44561</v>
      </c>
      <c r="D1134" t="s">
        <v>2542</v>
      </c>
      <c r="F1134" t="s">
        <v>645</v>
      </c>
      <c r="H1134">
        <v>7</v>
      </c>
      <c r="J1134" s="1">
        <v>58892</v>
      </c>
      <c r="K1134" s="1"/>
      <c r="L1134" s="1">
        <v>58892</v>
      </c>
      <c r="M1134" s="1">
        <v>29446</v>
      </c>
      <c r="N1134" s="1">
        <f t="shared" si="25"/>
        <v>8413.1428571428569</v>
      </c>
    </row>
    <row r="1135" spans="1:14" x14ac:dyDescent="0.4">
      <c r="A1135" t="s">
        <v>2543</v>
      </c>
      <c r="B1135" t="s">
        <v>2517</v>
      </c>
      <c r="C1135" s="131">
        <v>44561</v>
      </c>
      <c r="D1135" t="s">
        <v>2544</v>
      </c>
      <c r="F1135" t="s">
        <v>645</v>
      </c>
      <c r="H1135">
        <v>7</v>
      </c>
      <c r="J1135" s="1">
        <v>7592.85</v>
      </c>
      <c r="K1135" s="1"/>
      <c r="L1135" s="1">
        <v>7592.85</v>
      </c>
      <c r="M1135" s="1">
        <v>3796.43</v>
      </c>
      <c r="N1135" s="1">
        <f t="shared" si="25"/>
        <v>1084.6928571428573</v>
      </c>
    </row>
    <row r="1136" spans="1:14" x14ac:dyDescent="0.4">
      <c r="A1136" t="s">
        <v>2545</v>
      </c>
      <c r="B1136" t="s">
        <v>2517</v>
      </c>
      <c r="C1136" s="131">
        <v>44503</v>
      </c>
      <c r="D1136" t="s">
        <v>2546</v>
      </c>
      <c r="F1136" t="s">
        <v>645</v>
      </c>
      <c r="H1136">
        <v>7</v>
      </c>
      <c r="J1136" s="1">
        <v>25000</v>
      </c>
      <c r="K1136" s="1"/>
      <c r="L1136" s="1">
        <v>25000</v>
      </c>
      <c r="M1136" s="1">
        <v>12500</v>
      </c>
      <c r="N1136" s="1">
        <f t="shared" si="25"/>
        <v>3571.4285714285716</v>
      </c>
    </row>
    <row r="1137" spans="1:31" x14ac:dyDescent="0.4">
      <c r="A1137" t="s">
        <v>2547</v>
      </c>
      <c r="B1137" t="s">
        <v>2517</v>
      </c>
      <c r="C1137" s="131">
        <v>44566</v>
      </c>
      <c r="D1137" t="s">
        <v>2548</v>
      </c>
      <c r="F1137" t="s">
        <v>645</v>
      </c>
      <c r="H1137">
        <v>7</v>
      </c>
      <c r="J1137" s="1">
        <v>28771</v>
      </c>
      <c r="K1137" s="1"/>
      <c r="L1137" s="1">
        <v>28771</v>
      </c>
      <c r="M1137" s="1">
        <v>8631.2999999999993</v>
      </c>
      <c r="N1137" s="1">
        <f t="shared" si="25"/>
        <v>4110.1428571428569</v>
      </c>
    </row>
    <row r="1138" spans="1:31" x14ac:dyDescent="0.4">
      <c r="A1138" t="s">
        <v>2549</v>
      </c>
      <c r="B1138" t="s">
        <v>2517</v>
      </c>
      <c r="C1138" s="131">
        <v>44573</v>
      </c>
      <c r="D1138" t="s">
        <v>2550</v>
      </c>
      <c r="F1138" t="s">
        <v>645</v>
      </c>
      <c r="H1138">
        <v>7</v>
      </c>
      <c r="J1138" s="1">
        <v>29020</v>
      </c>
      <c r="K1138" s="1"/>
      <c r="L1138" s="1">
        <v>29020</v>
      </c>
      <c r="M1138" s="1">
        <v>8706</v>
      </c>
      <c r="N1138" s="1">
        <f t="shared" si="25"/>
        <v>4145.7142857142853</v>
      </c>
    </row>
    <row r="1139" spans="1:31" x14ac:dyDescent="0.4">
      <c r="A1139" t="s">
        <v>2551</v>
      </c>
      <c r="B1139" t="s">
        <v>2517</v>
      </c>
      <c r="C1139" s="131">
        <v>44587</v>
      </c>
      <c r="D1139" t="s">
        <v>2552</v>
      </c>
      <c r="F1139" t="s">
        <v>645</v>
      </c>
      <c r="H1139">
        <v>7</v>
      </c>
      <c r="J1139" s="1">
        <v>27155</v>
      </c>
      <c r="K1139" s="1"/>
      <c r="L1139" s="1">
        <v>27155</v>
      </c>
      <c r="M1139" s="1">
        <v>8146.5</v>
      </c>
      <c r="N1139" s="1">
        <f t="shared" si="25"/>
        <v>3879.2857142857142</v>
      </c>
    </row>
    <row r="1140" spans="1:31" x14ac:dyDescent="0.4">
      <c r="A1140" t="s">
        <v>2553</v>
      </c>
      <c r="B1140" t="s">
        <v>2517</v>
      </c>
      <c r="C1140" s="131">
        <v>44587</v>
      </c>
      <c r="D1140" t="s">
        <v>2554</v>
      </c>
      <c r="F1140" t="s">
        <v>645</v>
      </c>
      <c r="H1140">
        <v>7</v>
      </c>
      <c r="J1140" s="1">
        <v>27155</v>
      </c>
      <c r="K1140" s="1"/>
      <c r="L1140" s="1">
        <v>27155</v>
      </c>
      <c r="M1140" s="1">
        <v>8146.5</v>
      </c>
      <c r="N1140" s="1">
        <f t="shared" si="25"/>
        <v>3879.2857142857142</v>
      </c>
    </row>
    <row r="1141" spans="1:31" x14ac:dyDescent="0.4">
      <c r="A1141" t="s">
        <v>2555</v>
      </c>
      <c r="B1141" t="s">
        <v>2517</v>
      </c>
      <c r="C1141" s="131">
        <v>44607</v>
      </c>
      <c r="D1141" t="s">
        <v>2556</v>
      </c>
      <c r="F1141" t="s">
        <v>645</v>
      </c>
      <c r="H1141">
        <v>7</v>
      </c>
      <c r="J1141" s="1">
        <v>27133</v>
      </c>
      <c r="K1141" s="1"/>
      <c r="L1141" s="1">
        <v>27133</v>
      </c>
      <c r="M1141" s="1">
        <v>8139.9</v>
      </c>
      <c r="N1141" s="1">
        <f t="shared" si="25"/>
        <v>3876.1428571428573</v>
      </c>
    </row>
    <row r="1142" spans="1:31" x14ac:dyDescent="0.4">
      <c r="A1142" t="s">
        <v>2557</v>
      </c>
      <c r="B1142" t="s">
        <v>2517</v>
      </c>
      <c r="C1142" s="131">
        <v>44587</v>
      </c>
      <c r="D1142" t="s">
        <v>2558</v>
      </c>
      <c r="F1142" t="s">
        <v>645</v>
      </c>
      <c r="H1142">
        <v>7</v>
      </c>
      <c r="J1142" s="1">
        <v>49911</v>
      </c>
      <c r="K1142" s="1"/>
      <c r="L1142" s="1">
        <v>49911</v>
      </c>
      <c r="M1142" s="1">
        <v>14973.3</v>
      </c>
      <c r="N1142" s="1">
        <f t="shared" si="25"/>
        <v>7130.1428571428569</v>
      </c>
    </row>
    <row r="1143" spans="1:31" x14ac:dyDescent="0.4">
      <c r="A1143" t="s">
        <v>2559</v>
      </c>
      <c r="B1143" t="s">
        <v>2517</v>
      </c>
      <c r="C1143" s="131">
        <v>45046</v>
      </c>
      <c r="D1143" t="s">
        <v>2560</v>
      </c>
      <c r="F1143" t="s">
        <v>645</v>
      </c>
      <c r="H1143">
        <v>7</v>
      </c>
      <c r="J1143" s="1">
        <v>18842.990000000002</v>
      </c>
      <c r="K1143" s="1"/>
      <c r="L1143" s="1">
        <v>18842.990000000002</v>
      </c>
      <c r="M1143" s="1">
        <v>1884.3</v>
      </c>
      <c r="N1143" s="1">
        <f t="shared" si="25"/>
        <v>2691.8557142857144</v>
      </c>
    </row>
    <row r="1144" spans="1:31" x14ac:dyDescent="0.4">
      <c r="A1144" t="s">
        <v>2561</v>
      </c>
      <c r="B1144" t="s">
        <v>2517</v>
      </c>
      <c r="C1144" s="131">
        <v>45077</v>
      </c>
      <c r="D1144" t="s">
        <v>2562</v>
      </c>
      <c r="F1144" t="s">
        <v>645</v>
      </c>
      <c r="H1144">
        <v>7</v>
      </c>
      <c r="J1144" s="1">
        <v>52325</v>
      </c>
      <c r="K1144" s="1"/>
      <c r="L1144" s="1">
        <v>52325</v>
      </c>
      <c r="M1144" s="1">
        <v>5232.5</v>
      </c>
      <c r="N1144" s="1">
        <f t="shared" si="25"/>
        <v>7475</v>
      </c>
    </row>
    <row r="1145" spans="1:31" x14ac:dyDescent="0.4">
      <c r="A1145" t="s">
        <v>2563</v>
      </c>
      <c r="B1145" t="s">
        <v>2517</v>
      </c>
      <c r="C1145" s="131">
        <v>45138</v>
      </c>
      <c r="D1145" t="s">
        <v>2564</v>
      </c>
      <c r="F1145" t="s">
        <v>645</v>
      </c>
      <c r="H1145">
        <v>12.5</v>
      </c>
      <c r="J1145" s="1">
        <v>34722.22</v>
      </c>
      <c r="K1145" s="1"/>
      <c r="L1145" s="1">
        <v>34722.22</v>
      </c>
      <c r="M1145" s="1">
        <v>3472.22</v>
      </c>
      <c r="N1145" s="1">
        <f t="shared" si="25"/>
        <v>2777.7775999999999</v>
      </c>
    </row>
    <row r="1146" spans="1:31" x14ac:dyDescent="0.4">
      <c r="A1146" t="s">
        <v>2565</v>
      </c>
      <c r="B1146" t="s">
        <v>2517</v>
      </c>
      <c r="C1146" s="131">
        <v>45412</v>
      </c>
      <c r="D1146" t="s">
        <v>2566</v>
      </c>
      <c r="F1146" t="s">
        <v>645</v>
      </c>
      <c r="H1146">
        <v>7</v>
      </c>
      <c r="J1146" s="1">
        <v>54596</v>
      </c>
      <c r="K1146" s="1"/>
      <c r="L1146" s="1">
        <v>54596</v>
      </c>
      <c r="M1146" s="1">
        <v>0</v>
      </c>
      <c r="N1146" s="1">
        <f>J1146/H1146</f>
        <v>7799.4285714285716</v>
      </c>
      <c r="W1146" t="s">
        <v>464</v>
      </c>
    </row>
    <row r="1147" spans="1:31" x14ac:dyDescent="0.4">
      <c r="A1147" t="s">
        <v>2567</v>
      </c>
      <c r="B1147" t="s">
        <v>2517</v>
      </c>
      <c r="C1147" s="131">
        <v>45412</v>
      </c>
      <c r="D1147" t="s">
        <v>2568</v>
      </c>
      <c r="F1147" t="s">
        <v>645</v>
      </c>
      <c r="H1147">
        <v>7</v>
      </c>
      <c r="J1147" s="1">
        <v>49936</v>
      </c>
      <c r="K1147" s="1"/>
      <c r="L1147" s="1">
        <v>49936</v>
      </c>
      <c r="M1147" s="1">
        <v>0</v>
      </c>
      <c r="N1147" s="1">
        <f t="shared" si="25"/>
        <v>7133.7142857142853</v>
      </c>
      <c r="T1147" t="s">
        <v>459</v>
      </c>
      <c r="W1147" t="s">
        <v>465</v>
      </c>
      <c r="Y1147" t="s">
        <v>460</v>
      </c>
    </row>
    <row r="1148" spans="1:31" x14ac:dyDescent="0.4">
      <c r="A1148" t="s">
        <v>2569</v>
      </c>
      <c r="B1148" t="s">
        <v>2517</v>
      </c>
      <c r="C1148" s="131">
        <v>45412</v>
      </c>
      <c r="D1148" t="s">
        <v>2570</v>
      </c>
      <c r="F1148" t="s">
        <v>645</v>
      </c>
      <c r="H1148">
        <v>7</v>
      </c>
      <c r="J1148" s="1">
        <v>41121</v>
      </c>
      <c r="K1148" s="1"/>
      <c r="L1148" s="1">
        <v>41121</v>
      </c>
      <c r="M1148" s="1">
        <v>0</v>
      </c>
      <c r="N1148" s="1">
        <f t="shared" si="25"/>
        <v>5874.4285714285716</v>
      </c>
    </row>
    <row r="1149" spans="1:31" x14ac:dyDescent="0.4">
      <c r="A1149" t="s">
        <v>2571</v>
      </c>
      <c r="B1149" t="s">
        <v>2517</v>
      </c>
      <c r="C1149" s="131">
        <v>45412</v>
      </c>
      <c r="D1149" t="s">
        <v>2572</v>
      </c>
      <c r="F1149" t="s">
        <v>645</v>
      </c>
      <c r="H1149">
        <v>12.5</v>
      </c>
      <c r="J1149" s="1">
        <v>19099.3</v>
      </c>
      <c r="K1149" s="1"/>
      <c r="L1149" s="1">
        <v>19099.3</v>
      </c>
      <c r="M1149" s="1">
        <v>0</v>
      </c>
      <c r="N1149" s="1">
        <f t="shared" si="25"/>
        <v>1527.944</v>
      </c>
    </row>
    <row r="1150" spans="1:31" x14ac:dyDescent="0.4">
      <c r="A1150" t="s">
        <v>2573</v>
      </c>
      <c r="B1150" t="s">
        <v>2517</v>
      </c>
      <c r="C1150" s="131">
        <v>45600</v>
      </c>
      <c r="D1150" t="s">
        <v>2574</v>
      </c>
      <c r="F1150" t="s">
        <v>645</v>
      </c>
      <c r="H1150">
        <v>7</v>
      </c>
      <c r="J1150" s="1">
        <v>38704</v>
      </c>
      <c r="K1150" s="1"/>
      <c r="L1150" s="1">
        <v>38704</v>
      </c>
      <c r="M1150" s="1">
        <v>0</v>
      </c>
      <c r="N1150" s="1">
        <f t="shared" si="25"/>
        <v>5529.1428571428569</v>
      </c>
    </row>
    <row r="1151" spans="1:31" x14ac:dyDescent="0.4">
      <c r="A1151" t="s">
        <v>2575</v>
      </c>
      <c r="B1151" t="s">
        <v>2517</v>
      </c>
      <c r="C1151" s="131">
        <v>45260</v>
      </c>
      <c r="D1151" t="s">
        <v>2576</v>
      </c>
      <c r="F1151" t="s">
        <v>645</v>
      </c>
      <c r="H1151">
        <v>7</v>
      </c>
      <c r="J1151" s="1">
        <v>34116.22</v>
      </c>
      <c r="K1151" s="1"/>
      <c r="L1151" s="1">
        <v>34116.22</v>
      </c>
      <c r="M1151" s="1">
        <v>3411.62</v>
      </c>
      <c r="N1151" s="1">
        <f t="shared" si="25"/>
        <v>4873.7457142857147</v>
      </c>
      <c r="U1151" t="s">
        <v>2853</v>
      </c>
    </row>
    <row r="1152" spans="1:31" x14ac:dyDescent="0.4">
      <c r="C1152" s="131"/>
      <c r="J1152" s="1"/>
      <c r="K1152" s="1"/>
      <c r="L1152" s="1"/>
      <c r="M1152" s="1"/>
      <c r="N1152" s="1"/>
      <c r="W1152" s="400" t="s">
        <v>571</v>
      </c>
      <c r="X1152" s="400"/>
      <c r="Y1152" s="400"/>
      <c r="Z1152" s="400"/>
      <c r="AA1152" s="400"/>
      <c r="AB1152" s="400"/>
      <c r="AC1152" s="400"/>
      <c r="AD1152" s="400"/>
      <c r="AE1152" s="2"/>
    </row>
    <row r="1153" spans="1:32" x14ac:dyDescent="0.4">
      <c r="A1153" s="237" t="str">
        <f>A1121</f>
        <v>Transportation Equipment</v>
      </c>
      <c r="C1153" s="131"/>
      <c r="J1153" s="1">
        <f>SUM(J1122:J1152)</f>
        <v>948790.77999999991</v>
      </c>
      <c r="K1153" s="1"/>
      <c r="L1153" s="1"/>
      <c r="M1153" s="1"/>
      <c r="N1153" s="1">
        <f>SUM(N1122:N1152)</f>
        <v>131817.4730285714</v>
      </c>
      <c r="Y1153" s="400" t="s">
        <v>17</v>
      </c>
      <c r="Z1153" s="400"/>
      <c r="AA1153" s="400"/>
      <c r="AB1153" s="400"/>
      <c r="AC1153" s="400"/>
      <c r="AD1153" s="400"/>
      <c r="AE1153" s="2"/>
    </row>
    <row r="1154" spans="1:32" x14ac:dyDescent="0.4">
      <c r="C1154" s="131"/>
      <c r="J1154" s="1"/>
      <c r="K1154" s="1"/>
      <c r="L1154" s="1"/>
      <c r="M1154" s="1"/>
      <c r="N1154" s="1"/>
      <c r="AB1154" s="2" t="s">
        <v>464</v>
      </c>
      <c r="AC1154" s="2"/>
      <c r="AD1154" s="2"/>
      <c r="AE1154" s="2"/>
    </row>
    <row r="1155" spans="1:32" x14ac:dyDescent="0.4">
      <c r="C1155" s="131"/>
      <c r="J1155" s="1"/>
      <c r="K1155" s="1"/>
      <c r="L1155" s="1"/>
      <c r="M1155" s="1"/>
      <c r="N1155" s="1"/>
      <c r="W1155" s="21" t="s">
        <v>25</v>
      </c>
      <c r="Y1155" s="21" t="s">
        <v>459</v>
      </c>
      <c r="Z1155" s="2"/>
      <c r="AA1155" s="2"/>
      <c r="AB1155" s="21" t="s">
        <v>2825</v>
      </c>
      <c r="AC1155" s="2"/>
      <c r="AD1155" s="21" t="s">
        <v>460</v>
      </c>
      <c r="AE1155" s="2"/>
      <c r="AF1155" s="2" t="s">
        <v>25</v>
      </c>
    </row>
    <row r="1156" spans="1:32" x14ac:dyDescent="0.4">
      <c r="C1156" s="131"/>
      <c r="J1156" s="1"/>
      <c r="K1156" s="1"/>
      <c r="L1156" s="1"/>
      <c r="M1156" s="1"/>
      <c r="N1156" s="1"/>
      <c r="U1156" s="270" t="s">
        <v>2820</v>
      </c>
      <c r="V1156" s="270"/>
    </row>
    <row r="1157" spans="1:32" x14ac:dyDescent="0.4">
      <c r="C1157" s="131"/>
      <c r="J1157" s="1"/>
      <c r="K1157" s="1"/>
      <c r="L1157" s="1"/>
      <c r="M1157" s="1"/>
      <c r="N1157" s="1"/>
      <c r="U1157" t="s">
        <v>459</v>
      </c>
      <c r="W1157" s="8">
        <v>11813</v>
      </c>
      <c r="X1157" s="8"/>
      <c r="Y1157" s="8">
        <f>Transportaion!O11</f>
        <v>11813</v>
      </c>
      <c r="Z1157" s="8"/>
      <c r="AA1157" s="8"/>
      <c r="AB1157" s="8">
        <f>Transportaion!Q11</f>
        <v>0</v>
      </c>
      <c r="AC1157" s="8"/>
      <c r="AD1157" s="8">
        <f>Transportaion!S11</f>
        <v>0</v>
      </c>
      <c r="AE1157" s="8"/>
      <c r="AF1157" s="24">
        <f t="shared" ref="AF1157:AF1162" si="26">SUM(Y1157:AD1157)</f>
        <v>11813</v>
      </c>
    </row>
    <row r="1158" spans="1:32" ht="21" x14ac:dyDescent="0.5">
      <c r="A1158" s="242" t="s">
        <v>2577</v>
      </c>
      <c r="C1158" s="131"/>
      <c r="J1158" s="1"/>
      <c r="K1158" s="1"/>
      <c r="L1158" s="1"/>
      <c r="M1158" s="1"/>
      <c r="N1158" s="1"/>
      <c r="U1158" t="s">
        <v>574</v>
      </c>
      <c r="W1158" s="8">
        <v>304387</v>
      </c>
      <c r="X1158" s="8"/>
      <c r="Y1158" s="8">
        <f>Transportaion!O12</f>
        <v>0</v>
      </c>
      <c r="Z1158" s="8"/>
      <c r="AA1158" s="8"/>
      <c r="AB1158" s="8">
        <f>Transportaion!Q12</f>
        <v>304387</v>
      </c>
      <c r="AC1158" s="8"/>
      <c r="AD1158" s="8">
        <f>Transportaion!S12</f>
        <v>0</v>
      </c>
      <c r="AE1158" s="8"/>
      <c r="AF1158" s="24">
        <f t="shared" si="26"/>
        <v>304387</v>
      </c>
    </row>
    <row r="1159" spans="1:32" x14ac:dyDescent="0.4">
      <c r="A1159" t="s">
        <v>2578</v>
      </c>
      <c r="B1159" t="s">
        <v>2579</v>
      </c>
      <c r="C1159" s="131">
        <v>43769</v>
      </c>
      <c r="D1159" t="s">
        <v>2580</v>
      </c>
      <c r="F1159" t="s">
        <v>645</v>
      </c>
      <c r="H1159">
        <v>12.5</v>
      </c>
      <c r="J1159" s="1">
        <v>44560</v>
      </c>
      <c r="K1159" s="1"/>
      <c r="L1159" s="1">
        <v>44560</v>
      </c>
      <c r="M1159" s="1">
        <v>40104</v>
      </c>
      <c r="N1159" s="1">
        <f>J1159/H1159</f>
        <v>3564.8</v>
      </c>
      <c r="U1159" t="s">
        <v>565</v>
      </c>
      <c r="W1159" s="8">
        <v>69199</v>
      </c>
      <c r="X1159" s="8"/>
      <c r="Y1159" s="8">
        <f>Transportaion!O13</f>
        <v>0</v>
      </c>
      <c r="Z1159" s="8"/>
      <c r="AA1159" s="8"/>
      <c r="AB1159" s="8">
        <f>Transportaion!Q13</f>
        <v>69199</v>
      </c>
      <c r="AC1159" s="8"/>
      <c r="AD1159" s="8">
        <f>Transportaion!S13</f>
        <v>0</v>
      </c>
      <c r="AE1159" s="8"/>
      <c r="AF1159" s="24">
        <f t="shared" si="26"/>
        <v>69199</v>
      </c>
    </row>
    <row r="1160" spans="1:32" x14ac:dyDescent="0.4">
      <c r="A1160" t="s">
        <v>2581</v>
      </c>
      <c r="B1160" t="s">
        <v>2579</v>
      </c>
      <c r="C1160" s="131">
        <v>44021</v>
      </c>
      <c r="D1160" t="s">
        <v>2582</v>
      </c>
      <c r="F1160" t="s">
        <v>645</v>
      </c>
      <c r="H1160">
        <v>12.5</v>
      </c>
      <c r="J1160" s="1">
        <v>4000</v>
      </c>
      <c r="K1160" s="1"/>
      <c r="L1160" s="1">
        <v>4000</v>
      </c>
      <c r="M1160" s="1">
        <v>2800</v>
      </c>
      <c r="N1160" s="1">
        <f t="shared" ref="N1160:N1162" si="27">J1160/H1160</f>
        <v>320</v>
      </c>
      <c r="U1160" t="s">
        <v>278</v>
      </c>
      <c r="W1160" s="8">
        <v>160331</v>
      </c>
      <c r="X1160" s="8"/>
      <c r="Y1160" s="8">
        <f>Transportaion!O14</f>
        <v>0</v>
      </c>
      <c r="Z1160" s="8"/>
      <c r="AA1160" s="8"/>
      <c r="AB1160" s="8">
        <f>Transportaion!Q14</f>
        <v>0</v>
      </c>
      <c r="AC1160" s="8"/>
      <c r="AD1160" s="8">
        <f>Transportaion!S14</f>
        <v>160331</v>
      </c>
      <c r="AE1160" s="8"/>
      <c r="AF1160" s="24">
        <f t="shared" si="26"/>
        <v>160331</v>
      </c>
    </row>
    <row r="1161" spans="1:32" x14ac:dyDescent="0.4">
      <c r="A1161" t="s">
        <v>2583</v>
      </c>
      <c r="B1161" t="s">
        <v>2579</v>
      </c>
      <c r="C1161" s="131">
        <v>44518</v>
      </c>
      <c r="D1161" t="s">
        <v>2584</v>
      </c>
      <c r="F1161" t="s">
        <v>645</v>
      </c>
      <c r="H1161">
        <v>12.5</v>
      </c>
      <c r="J1161" s="1">
        <v>51500</v>
      </c>
      <c r="K1161" s="1"/>
      <c r="L1161" s="1">
        <v>51500</v>
      </c>
      <c r="M1161" s="1">
        <v>25750</v>
      </c>
      <c r="N1161" s="1">
        <f t="shared" si="27"/>
        <v>4120</v>
      </c>
      <c r="U1161" t="s">
        <v>2821</v>
      </c>
      <c r="W1161" s="8">
        <v>52928</v>
      </c>
      <c r="X1161" s="8"/>
      <c r="Y1161" s="8">
        <f>Transportaion!O15</f>
        <v>14492.933564573939</v>
      </c>
      <c r="Z1161" s="8"/>
      <c r="AA1161" s="8"/>
      <c r="AB1161" s="8">
        <f>Transportaion!Q15</f>
        <v>38435.066435426059</v>
      </c>
      <c r="AC1161" s="8"/>
      <c r="AD1161" s="8">
        <f>Transportaion!S15</f>
        <v>0</v>
      </c>
      <c r="AE1161" s="8"/>
      <c r="AF1161" s="24">
        <f t="shared" si="26"/>
        <v>52928</v>
      </c>
    </row>
    <row r="1162" spans="1:32" x14ac:dyDescent="0.4">
      <c r="A1162" t="s">
        <v>2585</v>
      </c>
      <c r="B1162" t="s">
        <v>2579</v>
      </c>
      <c r="C1162" s="131">
        <v>44518</v>
      </c>
      <c r="D1162" t="s">
        <v>2586</v>
      </c>
      <c r="F1162" t="s">
        <v>645</v>
      </c>
      <c r="H1162">
        <v>12.5</v>
      </c>
      <c r="J1162" s="1">
        <v>85250</v>
      </c>
      <c r="K1162" s="1"/>
      <c r="L1162" s="1">
        <v>85250</v>
      </c>
      <c r="M1162" s="1">
        <v>42625</v>
      </c>
      <c r="N1162" s="1">
        <f t="shared" si="27"/>
        <v>6820</v>
      </c>
      <c r="U1162" t="s">
        <v>2822</v>
      </c>
      <c r="W1162" s="8">
        <v>29209</v>
      </c>
      <c r="X1162" s="8"/>
      <c r="Y1162" s="8">
        <f>Transportaion!O16</f>
        <v>0</v>
      </c>
      <c r="Z1162" s="8"/>
      <c r="AA1162" s="8"/>
      <c r="AB1162" s="8">
        <f>Transportaion!Q16</f>
        <v>29209</v>
      </c>
      <c r="AC1162" s="8"/>
      <c r="AD1162" s="8">
        <f>Transportaion!S16</f>
        <v>0</v>
      </c>
      <c r="AE1162" s="8"/>
      <c r="AF1162" s="24">
        <f t="shared" si="26"/>
        <v>29209</v>
      </c>
    </row>
    <row r="1163" spans="1:32" x14ac:dyDescent="0.4">
      <c r="C1163" s="131"/>
      <c r="J1163" s="1"/>
      <c r="K1163" s="1"/>
      <c r="L1163" s="1"/>
      <c r="M1163" s="1"/>
      <c r="N1163" s="1"/>
      <c r="W1163" s="8"/>
      <c r="X1163" s="8"/>
      <c r="Y1163" s="8">
        <f>Transportaion!O17</f>
        <v>0</v>
      </c>
      <c r="Z1163" s="8"/>
      <c r="AA1163" s="8"/>
      <c r="AB1163" s="8">
        <f>Transportaion!Q17</f>
        <v>0</v>
      </c>
      <c r="AC1163" s="8"/>
      <c r="AD1163" s="8">
        <f>Transportaion!S17</f>
        <v>0</v>
      </c>
      <c r="AE1163" s="8"/>
      <c r="AF1163" s="24"/>
    </row>
    <row r="1164" spans="1:32" x14ac:dyDescent="0.4">
      <c r="A1164" s="237" t="str">
        <f>A1158</f>
        <v>Power Operated Equipment</v>
      </c>
      <c r="C1164" s="131"/>
      <c r="J1164" s="1">
        <f>SUM(J1159:J1163)</f>
        <v>185310</v>
      </c>
      <c r="K1164" s="1"/>
      <c r="L1164" s="1"/>
      <c r="M1164" s="1"/>
      <c r="N1164" s="1">
        <f>SUM(N1159:N1163)</f>
        <v>14824.8</v>
      </c>
      <c r="U1164" s="270" t="s">
        <v>49</v>
      </c>
      <c r="V1164" s="270"/>
      <c r="W1164" s="8">
        <v>125458</v>
      </c>
      <c r="X1164" s="8"/>
      <c r="Y1164" s="8">
        <f>Transportaion!O18</f>
        <v>0</v>
      </c>
      <c r="Z1164" s="8"/>
      <c r="AA1164" s="8"/>
      <c r="AB1164" s="8">
        <f>Transportaion!Q18</f>
        <v>0</v>
      </c>
      <c r="AC1164" s="8"/>
      <c r="AD1164" s="8">
        <f>Transportaion!S18</f>
        <v>0</v>
      </c>
      <c r="AE1164" s="8"/>
      <c r="AF1164" s="24">
        <f>SUM(Y1164:AD1164)</f>
        <v>0</v>
      </c>
    </row>
    <row r="1165" spans="1:32" x14ac:dyDescent="0.4">
      <c r="C1165" s="131"/>
      <c r="J1165" s="1"/>
      <c r="K1165" s="1"/>
      <c r="L1165" s="1"/>
      <c r="M1165" s="1"/>
      <c r="N1165" s="1"/>
      <c r="W1165" s="8"/>
      <c r="X1165" s="8"/>
      <c r="Y1165" s="8">
        <f>Transportaion!O19</f>
        <v>0</v>
      </c>
      <c r="Z1165" s="8"/>
      <c r="AA1165" s="8"/>
      <c r="AB1165" s="8">
        <f>Transportaion!Q19</f>
        <v>0</v>
      </c>
      <c r="AC1165" s="8"/>
      <c r="AD1165" s="8">
        <f>Transportaion!S19</f>
        <v>0</v>
      </c>
      <c r="AE1165" s="8"/>
      <c r="AF1165" s="24"/>
    </row>
    <row r="1166" spans="1:32" x14ac:dyDescent="0.4">
      <c r="U1166" s="270" t="s">
        <v>2823</v>
      </c>
      <c r="V1166" s="270"/>
      <c r="W1166" s="8"/>
      <c r="X1166" s="8"/>
      <c r="Y1166" s="8">
        <f>Transportaion!O20</f>
        <v>0</v>
      </c>
      <c r="Z1166" s="8"/>
      <c r="AA1166" s="8"/>
      <c r="AB1166" s="8">
        <f>Transportaion!Q20</f>
        <v>0</v>
      </c>
      <c r="AC1166" s="8"/>
      <c r="AD1166" s="8">
        <f>Transportaion!S20</f>
        <v>0</v>
      </c>
      <c r="AE1166" s="8"/>
      <c r="AF1166" s="24"/>
    </row>
    <row r="1167" spans="1:32" x14ac:dyDescent="0.4">
      <c r="J1167" s="35">
        <f>J92+J173+J439+J936+J1100+J1118+J1153+J1164</f>
        <v>95438628.85999994</v>
      </c>
      <c r="N1167" s="35">
        <f>N92+N173+N439+N936+N1100+N1118+N1153+N1164</f>
        <v>2136699.4770307932</v>
      </c>
      <c r="U1167" t="s">
        <v>2824</v>
      </c>
      <c r="W1167" s="8">
        <v>81823</v>
      </c>
      <c r="X1167" s="8"/>
      <c r="Y1167" s="8">
        <f>Transportaion!O21</f>
        <v>19731.223160901125</v>
      </c>
      <c r="Z1167" s="8"/>
      <c r="AA1167" s="8"/>
      <c r="AB1167" s="8">
        <f>Transportaion!Q21</f>
        <v>52328.190567613638</v>
      </c>
      <c r="AC1167" s="8"/>
      <c r="AD1167" s="8">
        <f>Transportaion!S21</f>
        <v>0</v>
      </c>
      <c r="AE1167" s="8"/>
      <c r="AF1167" s="24">
        <f>SUM(Y1167:AD1167)</f>
        <v>72059.413728514759</v>
      </c>
    </row>
    <row r="1168" spans="1:32" x14ac:dyDescent="0.4">
      <c r="U1168" t="s">
        <v>526</v>
      </c>
      <c r="W1168" s="22">
        <v>37943</v>
      </c>
      <c r="X1168" s="8"/>
      <c r="Y1168" s="8">
        <f>Transportaion!O22</f>
        <v>0</v>
      </c>
      <c r="Z1168" s="8"/>
      <c r="AA1168" s="8"/>
      <c r="AB1168" s="8">
        <f>Transportaion!Q22</f>
        <v>0</v>
      </c>
      <c r="AC1168" s="8"/>
      <c r="AD1168" s="8">
        <f>Transportaion!S22</f>
        <v>0</v>
      </c>
      <c r="AE1168" s="8"/>
      <c r="AF1168" s="24">
        <f>SUM(Y1168:AD1168)</f>
        <v>0</v>
      </c>
    </row>
    <row r="1169" spans="21:32" x14ac:dyDescent="0.4">
      <c r="W1169" s="8"/>
      <c r="X1169" s="8"/>
    </row>
    <row r="1170" spans="21:32" x14ac:dyDescent="0.4">
      <c r="U1170" t="s">
        <v>25</v>
      </c>
      <c r="W1170" s="8"/>
      <c r="X1170" s="8"/>
      <c r="Y1170" s="24">
        <f>SUM(Y1157:AA1169)</f>
        <v>46037.15672547507</v>
      </c>
      <c r="Z1170" s="24"/>
      <c r="AB1170" s="24">
        <f>SUM(AB1157:AC1169)</f>
        <v>493558.2570030397</v>
      </c>
      <c r="AD1170" s="24">
        <f>SUM(AD1157:AD1169)</f>
        <v>160331</v>
      </c>
      <c r="AE1170" s="24"/>
      <c r="AF1170" s="24">
        <f>SUM(AF1157:AF1169)</f>
        <v>699926.4137285148</v>
      </c>
    </row>
    <row r="1171" spans="21:32" x14ac:dyDescent="0.4">
      <c r="U1171" t="s">
        <v>56</v>
      </c>
      <c r="W1171" s="281"/>
      <c r="Y1171" s="321">
        <f>Y1170/$AF$1170</f>
        <v>6.5774281156549999E-2</v>
      </c>
      <c r="Z1171" s="333"/>
      <c r="AA1171" s="5"/>
      <c r="AB1171" s="321">
        <f>AB1170/$AF$1170</f>
        <v>0.70515735271919522</v>
      </c>
      <c r="AC1171" s="5"/>
      <c r="AD1171" s="321">
        <f>AD1170/$AF$1170</f>
        <v>0.22906836612425471</v>
      </c>
      <c r="AE1171" s="105"/>
      <c r="AF1171" s="24">
        <f>SUM(Y1170:AD1170)</f>
        <v>699926.4137285148</v>
      </c>
    </row>
    <row r="1173" spans="21:32" ht="16.5" thickBot="1" x14ac:dyDescent="0.45">
      <c r="U1173" t="s">
        <v>2850</v>
      </c>
      <c r="W1173" s="25"/>
      <c r="X1173" s="9"/>
      <c r="Y1173" s="31">
        <f>Y1171*$N$1153</f>
        <v>8670.1995323272022</v>
      </c>
      <c r="Z1173" s="25"/>
      <c r="AA1173" s="9"/>
      <c r="AB1173" s="31">
        <f>AB1171*$N$1153</f>
        <v>92952.060322961333</v>
      </c>
      <c r="AC1173" s="9"/>
      <c r="AD1173" s="31">
        <f>AD1171*$N$1153</f>
        <v>30195.213173282864</v>
      </c>
      <c r="AE1173" s="25"/>
      <c r="AF1173" s="9">
        <f>SUM(Y1173:AD1173)</f>
        <v>131817.4730285714</v>
      </c>
    </row>
    <row r="1174" spans="21:32" ht="16.5" thickTop="1" x14ac:dyDescent="0.4"/>
    <row r="1175" spans="21:32" x14ac:dyDescent="0.4">
      <c r="U1175" t="s">
        <v>2851</v>
      </c>
      <c r="Y1175" s="35">
        <f>$J$1153*Y1171</f>
        <v>62406.03152246237</v>
      </c>
      <c r="Z1175" s="35"/>
      <c r="AB1175" s="35">
        <f>$J$1153*AB1171</f>
        <v>669046.79470918025</v>
      </c>
      <c r="AD1175" s="35">
        <f>$J$1153*AD1171</f>
        <v>217337.9537683572</v>
      </c>
      <c r="AF1175" s="35">
        <f>SUM(Y1175:AE1175)</f>
        <v>948790.7799999998</v>
      </c>
    </row>
  </sheetData>
  <mergeCells count="8">
    <mergeCell ref="AI1:AR1"/>
    <mergeCell ref="AK2:AQ2"/>
    <mergeCell ref="D1:F1"/>
    <mergeCell ref="H1:L1"/>
    <mergeCell ref="W1152:AD1152"/>
    <mergeCell ref="Y1153:AD1153"/>
    <mergeCell ref="AA1109:AC1109"/>
    <mergeCell ref="U1:AC1"/>
  </mergeCells>
  <pageMargins left="0.7" right="0.7" top="0.75" bottom="0.75" header="0.3" footer="0.3"/>
  <pageSetup orientation="portrait" r:id="rId1"/>
  <ignoredErrors>
    <ignoredError sqref="J6" formula="1"/>
    <ignoredError sqref="D12 F14 F16 F6 D5:D6 D16 D14"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B4766-69AA-4AC3-8458-31CB119C9CA9}">
  <dimension ref="A1:AD561"/>
  <sheetViews>
    <sheetView showGridLines="0" topLeftCell="M1" workbookViewId="0">
      <selection activeCell="R1" sqref="R1:Z15"/>
    </sheetView>
  </sheetViews>
  <sheetFormatPr defaultRowHeight="16" x14ac:dyDescent="0.4"/>
  <cols>
    <col min="1" max="1" width="23.08203125" customWidth="1"/>
    <col min="2" max="2" width="28.5" bestFit="1" customWidth="1"/>
    <col min="3" max="3" width="18.08203125" customWidth="1"/>
    <col min="4" max="4" width="37" bestFit="1" customWidth="1"/>
    <col min="5" max="5" width="11.58203125" bestFit="1" customWidth="1"/>
    <col min="6" max="6" width="8.1640625" bestFit="1" customWidth="1"/>
    <col min="7" max="7" width="13.6640625" bestFit="1" customWidth="1"/>
    <col min="8" max="8" width="15.33203125" bestFit="1" customWidth="1"/>
    <col min="9" max="9" width="15.58203125" bestFit="1" customWidth="1"/>
    <col min="10" max="10" width="17.5" bestFit="1" customWidth="1"/>
    <col min="11" max="11" width="23.08203125" customWidth="1"/>
    <col min="12" max="12" width="22" bestFit="1" customWidth="1"/>
    <col min="14" max="15" width="12.58203125" bestFit="1" customWidth="1"/>
    <col min="17" max="17" width="9.08203125" bestFit="1" customWidth="1"/>
    <col min="18" max="18" width="10.08203125" bestFit="1" customWidth="1"/>
    <col min="21" max="21" width="0.83203125" customWidth="1"/>
    <col min="22" max="22" width="10" bestFit="1" customWidth="1"/>
    <col min="23" max="23" width="0.9140625" customWidth="1"/>
    <col min="24" max="24" width="11" bestFit="1" customWidth="1"/>
    <col min="25" max="25" width="0.9140625" customWidth="1"/>
    <col min="26" max="26" width="12.08203125" bestFit="1" customWidth="1"/>
    <col min="28" max="28" width="11.08203125" bestFit="1" customWidth="1"/>
  </cols>
  <sheetData>
    <row r="1" spans="18:30" x14ac:dyDescent="0.4">
      <c r="V1" s="400" t="s">
        <v>2607</v>
      </c>
      <c r="W1" s="400"/>
      <c r="X1" s="400"/>
      <c r="Y1" s="2"/>
      <c r="Z1" s="2" t="s">
        <v>623</v>
      </c>
    </row>
    <row r="2" spans="18:30" x14ac:dyDescent="0.4">
      <c r="R2" s="41" t="s">
        <v>3528</v>
      </c>
      <c r="S2" s="41"/>
      <c r="T2" s="41"/>
      <c r="V2" s="109" t="s">
        <v>2608</v>
      </c>
      <c r="X2" s="109" t="s">
        <v>2609</v>
      </c>
      <c r="Z2" s="21" t="s">
        <v>3252</v>
      </c>
      <c r="AB2" s="2"/>
      <c r="AD2" s="2"/>
    </row>
    <row r="3" spans="18:30" x14ac:dyDescent="0.4">
      <c r="V3" s="2"/>
      <c r="X3" s="2"/>
      <c r="Z3" s="2"/>
      <c r="AB3" s="2"/>
      <c r="AD3" s="2"/>
    </row>
    <row r="4" spans="18:30" x14ac:dyDescent="0.4">
      <c r="R4" t="s">
        <v>2587</v>
      </c>
      <c r="V4" s="2" t="s">
        <v>3255</v>
      </c>
      <c r="W4" s="2"/>
      <c r="X4" s="329">
        <v>37.5</v>
      </c>
      <c r="Y4" s="2"/>
      <c r="Z4" s="9">
        <f>J521</f>
        <v>1922.9455999999998</v>
      </c>
      <c r="AA4" s="9"/>
      <c r="AB4" s="25"/>
      <c r="AC4" s="25"/>
      <c r="AD4" s="25"/>
    </row>
    <row r="5" spans="18:30" x14ac:dyDescent="0.4">
      <c r="R5" t="s">
        <v>3247</v>
      </c>
      <c r="V5" s="2">
        <v>40</v>
      </c>
      <c r="W5" s="2"/>
      <c r="X5" s="329">
        <v>62.5</v>
      </c>
      <c r="Y5" s="2"/>
      <c r="Z5" s="8">
        <f>J56</f>
        <v>364188.01599999995</v>
      </c>
      <c r="AA5" s="8"/>
      <c r="AB5" s="25"/>
      <c r="AC5" s="25"/>
      <c r="AD5" s="26"/>
    </row>
    <row r="6" spans="18:30" x14ac:dyDescent="0.4">
      <c r="R6" t="s">
        <v>3248</v>
      </c>
      <c r="V6" s="2" t="s">
        <v>3256</v>
      </c>
      <c r="W6" s="2"/>
      <c r="X6" s="330">
        <v>37.5</v>
      </c>
      <c r="Y6" s="2"/>
      <c r="Z6" s="24">
        <f>J98</f>
        <v>447337.5164666666</v>
      </c>
      <c r="AA6" s="8"/>
      <c r="AB6" s="26"/>
      <c r="AC6" s="26"/>
      <c r="AD6" s="26"/>
    </row>
    <row r="7" spans="18:30" x14ac:dyDescent="0.4">
      <c r="R7" t="s">
        <v>3253</v>
      </c>
      <c r="V7" s="2" t="s">
        <v>3254</v>
      </c>
      <c r="W7" s="2"/>
      <c r="X7" s="329">
        <v>20</v>
      </c>
      <c r="Y7" s="2"/>
      <c r="Z7" s="8">
        <f>J122</f>
        <v>47671.395499999999</v>
      </c>
      <c r="AA7" s="8"/>
      <c r="AB7" s="26"/>
      <c r="AC7" s="26"/>
      <c r="AD7" s="26"/>
    </row>
    <row r="8" spans="18:30" x14ac:dyDescent="0.4">
      <c r="R8" t="s">
        <v>3250</v>
      </c>
      <c r="V8" s="2" t="s">
        <v>2603</v>
      </c>
      <c r="W8" s="2"/>
      <c r="X8" s="329">
        <v>7</v>
      </c>
      <c r="Y8" s="2"/>
      <c r="Z8" s="8">
        <f>J495</f>
        <v>500346.85571428586</v>
      </c>
      <c r="AA8" s="8"/>
      <c r="AB8" s="26">
        <f>Q283+R461</f>
        <v>56081.971428571414</v>
      </c>
      <c r="AC8" s="26"/>
      <c r="AD8" s="26"/>
    </row>
    <row r="9" spans="18:30" x14ac:dyDescent="0.4">
      <c r="R9" t="s">
        <v>2577</v>
      </c>
      <c r="V9" s="2" t="s">
        <v>2598</v>
      </c>
      <c r="W9" s="2"/>
      <c r="X9" s="329">
        <v>17.5</v>
      </c>
      <c r="Y9" s="2"/>
      <c r="Z9" s="10">
        <f>J553</f>
        <v>4026.4708571428573</v>
      </c>
      <c r="AA9" s="8"/>
      <c r="AB9" s="26"/>
      <c r="AC9" s="26"/>
      <c r="AD9" s="26"/>
    </row>
    <row r="10" spans="18:30" x14ac:dyDescent="0.4">
      <c r="V10" s="2"/>
      <c r="W10" s="2"/>
      <c r="X10" s="23"/>
      <c r="Y10" s="23"/>
      <c r="Z10" s="8"/>
      <c r="AA10" s="8"/>
      <c r="AB10" s="26"/>
      <c r="AC10" s="26"/>
      <c r="AD10" s="26"/>
    </row>
    <row r="11" spans="18:30" x14ac:dyDescent="0.4">
      <c r="R11" t="s">
        <v>3529</v>
      </c>
      <c r="V11" s="2"/>
      <c r="W11" s="2"/>
      <c r="X11" s="2"/>
      <c r="Y11" s="2"/>
      <c r="Z11" s="8">
        <f>SUM(Z4:Z10)</f>
        <v>1365493.2001380953</v>
      </c>
      <c r="AA11" s="8"/>
      <c r="AB11" s="26"/>
      <c r="AC11" s="26"/>
      <c r="AD11" s="26"/>
    </row>
    <row r="12" spans="18:30" x14ac:dyDescent="0.4">
      <c r="R12" t="s">
        <v>181</v>
      </c>
      <c r="V12" s="2"/>
      <c r="W12" s="2"/>
      <c r="X12" s="23"/>
      <c r="Y12" s="23"/>
      <c r="Z12" s="10">
        <f>-'Sewer Pro forma Rev Req'!E53</f>
        <v>-1263407</v>
      </c>
      <c r="AA12" s="8"/>
      <c r="AB12" s="26"/>
      <c r="AC12" s="26"/>
      <c r="AD12" s="26"/>
    </row>
    <row r="13" spans="18:30" x14ac:dyDescent="0.4">
      <c r="V13" s="2"/>
      <c r="W13" s="2"/>
      <c r="X13" s="23"/>
      <c r="Y13" s="23"/>
      <c r="Z13" s="8"/>
      <c r="AA13" s="8"/>
      <c r="AB13" s="26"/>
      <c r="AC13" s="26"/>
      <c r="AD13" s="26"/>
    </row>
    <row r="14" spans="18:30" ht="16.5" thickBot="1" x14ac:dyDescent="0.45">
      <c r="R14" t="s">
        <v>182</v>
      </c>
      <c r="V14" s="2"/>
      <c r="W14" s="2"/>
      <c r="X14" s="23"/>
      <c r="Y14" s="23"/>
      <c r="Z14" s="31">
        <f>Z11+Z12</f>
        <v>102086.2001380953</v>
      </c>
      <c r="AA14" s="8"/>
      <c r="AB14" s="26"/>
      <c r="AC14" s="26"/>
      <c r="AD14" s="26"/>
    </row>
    <row r="15" spans="18:30" ht="16.5" thickTop="1" x14ac:dyDescent="0.4">
      <c r="V15" s="2"/>
      <c r="W15" s="2"/>
      <c r="X15" s="2"/>
      <c r="Y15" s="2"/>
      <c r="Z15" s="122"/>
      <c r="AA15" s="122"/>
      <c r="AB15" s="101"/>
      <c r="AC15" s="101"/>
      <c r="AD15" s="101"/>
    </row>
    <row r="16" spans="18:30" x14ac:dyDescent="0.4">
      <c r="V16" s="2"/>
      <c r="W16" s="2"/>
      <c r="X16" s="2"/>
      <c r="Y16" s="2"/>
      <c r="Z16" s="101"/>
      <c r="AA16" s="101"/>
      <c r="AB16" s="101"/>
      <c r="AC16" s="101"/>
      <c r="AD16" s="101"/>
    </row>
    <row r="17" spans="1:30" x14ac:dyDescent="0.4">
      <c r="R17" t="s">
        <v>3526</v>
      </c>
      <c r="V17" s="2"/>
      <c r="W17" s="2"/>
      <c r="X17" s="2"/>
      <c r="Y17" s="2"/>
      <c r="Z17" s="346">
        <f>-'Sewer Pro forma Rev Req'!G38</f>
        <v>17699.43</v>
      </c>
      <c r="AA17" s="2"/>
      <c r="AB17" s="2"/>
      <c r="AC17" s="2"/>
      <c r="AD17" s="2"/>
    </row>
    <row r="18" spans="1:30" x14ac:dyDescent="0.4">
      <c r="R18" t="s">
        <v>3527</v>
      </c>
      <c r="V18" s="2"/>
      <c r="W18" s="2"/>
      <c r="X18" s="2"/>
      <c r="Y18" s="2"/>
      <c r="Z18" s="22">
        <v>20</v>
      </c>
      <c r="AA18" s="243"/>
      <c r="AB18" s="243"/>
      <c r="AC18" s="243"/>
      <c r="AD18" s="243"/>
    </row>
    <row r="19" spans="1:30" x14ac:dyDescent="0.4">
      <c r="V19" s="2"/>
      <c r="W19" s="2"/>
      <c r="X19" s="2"/>
      <c r="Y19" s="2"/>
      <c r="Z19" s="2"/>
      <c r="AA19" s="2"/>
      <c r="AB19" s="2"/>
      <c r="AC19" s="2"/>
      <c r="AD19" s="2"/>
    </row>
    <row r="20" spans="1:30" ht="16.5" thickBot="1" x14ac:dyDescent="0.45">
      <c r="A20" s="2" t="s">
        <v>719</v>
      </c>
      <c r="B20" s="2" t="s">
        <v>720</v>
      </c>
      <c r="C20" s="2" t="s">
        <v>721</v>
      </c>
      <c r="D20" s="2" t="s">
        <v>722</v>
      </c>
      <c r="E20" s="2" t="s">
        <v>723</v>
      </c>
      <c r="F20" s="2" t="s">
        <v>724</v>
      </c>
      <c r="G20" s="2" t="s">
        <v>725</v>
      </c>
      <c r="H20" s="2" t="s">
        <v>726</v>
      </c>
      <c r="I20" s="2" t="s">
        <v>727</v>
      </c>
      <c r="J20" s="2" t="s">
        <v>2900</v>
      </c>
      <c r="K20" s="2" t="s">
        <v>2901</v>
      </c>
      <c r="L20" s="2" t="s">
        <v>2902</v>
      </c>
      <c r="R20" t="s">
        <v>182</v>
      </c>
      <c r="Z20" s="52">
        <f>Z17/Z18</f>
        <v>884.97149999999999</v>
      </c>
    </row>
    <row r="21" spans="1:30" ht="16.5" thickTop="1" x14ac:dyDescent="0.4">
      <c r="A21">
        <v>1</v>
      </c>
      <c r="B21" t="s">
        <v>2903</v>
      </c>
      <c r="C21" s="131">
        <v>45120</v>
      </c>
      <c r="D21" t="s">
        <v>2904</v>
      </c>
      <c r="E21" t="s">
        <v>2905</v>
      </c>
      <c r="F21">
        <v>0</v>
      </c>
      <c r="G21" s="1">
        <v>28000</v>
      </c>
      <c r="H21" s="1">
        <v>28000</v>
      </c>
      <c r="I21" s="1">
        <v>0</v>
      </c>
      <c r="J21" s="1">
        <v>0</v>
      </c>
      <c r="K21" s="1">
        <v>0</v>
      </c>
    </row>
    <row r="22" spans="1:30" x14ac:dyDescent="0.4">
      <c r="A22">
        <v>2</v>
      </c>
      <c r="B22" t="s">
        <v>2903</v>
      </c>
      <c r="C22" s="131">
        <v>45148</v>
      </c>
      <c r="D22" t="s">
        <v>2906</v>
      </c>
      <c r="E22" t="s">
        <v>2905</v>
      </c>
      <c r="F22">
        <v>0</v>
      </c>
      <c r="G22" s="1">
        <v>780</v>
      </c>
      <c r="H22" s="1">
        <v>780</v>
      </c>
      <c r="I22" s="1">
        <v>0</v>
      </c>
      <c r="J22" s="1">
        <v>0</v>
      </c>
      <c r="K22" s="1">
        <v>0</v>
      </c>
      <c r="L22" s="35">
        <f>SUM(J21:J22)</f>
        <v>0</v>
      </c>
    </row>
    <row r="23" spans="1:30" x14ac:dyDescent="0.4">
      <c r="C23" s="131"/>
      <c r="G23" s="1"/>
      <c r="H23" s="1"/>
      <c r="I23" s="1"/>
      <c r="J23" s="1"/>
      <c r="K23" s="1"/>
      <c r="L23" s="35"/>
    </row>
    <row r="24" spans="1:30" x14ac:dyDescent="0.4">
      <c r="C24" s="131"/>
      <c r="D24" t="s">
        <v>2862</v>
      </c>
      <c r="G24" s="1">
        <f>SUM(G21:G23)</f>
        <v>28780</v>
      </c>
      <c r="H24" s="1"/>
      <c r="I24" s="1"/>
      <c r="J24" s="1"/>
      <c r="K24" s="1"/>
      <c r="L24" s="35"/>
    </row>
    <row r="25" spans="1:30" x14ac:dyDescent="0.4">
      <c r="C25" s="131"/>
      <c r="G25" s="1"/>
      <c r="H25" s="1"/>
      <c r="I25" s="1"/>
      <c r="J25" s="1"/>
      <c r="K25" s="1"/>
      <c r="L25" s="35"/>
    </row>
    <row r="26" spans="1:30" x14ac:dyDescent="0.4">
      <c r="C26" s="131"/>
      <c r="G26" s="1"/>
      <c r="H26" s="1"/>
      <c r="I26" s="1"/>
      <c r="J26" s="1"/>
      <c r="K26" s="1"/>
    </row>
    <row r="27" spans="1:30" x14ac:dyDescent="0.4">
      <c r="A27">
        <v>7</v>
      </c>
      <c r="B27" t="s">
        <v>2912</v>
      </c>
      <c r="C27" s="131">
        <v>33970</v>
      </c>
      <c r="D27" t="s">
        <v>2913</v>
      </c>
      <c r="E27" t="s">
        <v>645</v>
      </c>
      <c r="F27">
        <v>62.5</v>
      </c>
      <c r="G27" s="1">
        <v>5000</v>
      </c>
      <c r="H27" s="1">
        <v>5000</v>
      </c>
      <c r="I27" s="1">
        <v>3812.5</v>
      </c>
      <c r="J27" s="1">
        <f t="shared" ref="J27:J53" si="0">G27/F27</f>
        <v>80</v>
      </c>
      <c r="K27" s="1">
        <v>3937.5</v>
      </c>
      <c r="N27" s="35">
        <f t="shared" ref="N27:N68" si="1">G27-K27</f>
        <v>1062.5</v>
      </c>
      <c r="O27" s="35">
        <f t="shared" ref="O27:O68" si="2">N27-J27</f>
        <v>982.5</v>
      </c>
    </row>
    <row r="28" spans="1:30" hidden="1" x14ac:dyDescent="0.4">
      <c r="A28">
        <v>8</v>
      </c>
      <c r="B28" t="s">
        <v>2912</v>
      </c>
      <c r="C28" s="131">
        <v>33970</v>
      </c>
      <c r="D28" t="s">
        <v>2914</v>
      </c>
      <c r="E28" t="s">
        <v>645</v>
      </c>
      <c r="F28">
        <v>62.5</v>
      </c>
      <c r="G28" s="1">
        <v>5000</v>
      </c>
      <c r="H28" s="1">
        <v>5000</v>
      </c>
      <c r="I28" s="1">
        <v>3812.5</v>
      </c>
      <c r="J28" s="1">
        <f t="shared" si="0"/>
        <v>80</v>
      </c>
      <c r="K28" s="1">
        <v>3937.5</v>
      </c>
      <c r="N28" s="35">
        <f t="shared" si="1"/>
        <v>1062.5</v>
      </c>
      <c r="O28" s="35">
        <f t="shared" si="2"/>
        <v>982.5</v>
      </c>
    </row>
    <row r="29" spans="1:30" hidden="1" x14ac:dyDescent="0.4">
      <c r="A29">
        <v>9</v>
      </c>
      <c r="B29" t="s">
        <v>2912</v>
      </c>
      <c r="C29" s="131">
        <v>34335</v>
      </c>
      <c r="D29" t="s">
        <v>2915</v>
      </c>
      <c r="E29" t="s">
        <v>645</v>
      </c>
      <c r="F29">
        <v>62.5</v>
      </c>
      <c r="G29" s="1">
        <v>2000</v>
      </c>
      <c r="H29" s="1">
        <v>2000</v>
      </c>
      <c r="I29" s="1">
        <v>1475</v>
      </c>
      <c r="J29" s="1">
        <f t="shared" si="0"/>
        <v>32</v>
      </c>
      <c r="K29" s="1">
        <v>1525</v>
      </c>
      <c r="N29" s="35">
        <f t="shared" si="1"/>
        <v>475</v>
      </c>
      <c r="O29" s="35">
        <f t="shared" si="2"/>
        <v>443</v>
      </c>
    </row>
    <row r="30" spans="1:30" hidden="1" x14ac:dyDescent="0.4">
      <c r="A30">
        <v>10</v>
      </c>
      <c r="B30" t="s">
        <v>2912</v>
      </c>
      <c r="C30" s="131">
        <v>34335</v>
      </c>
      <c r="D30" t="s">
        <v>2916</v>
      </c>
      <c r="E30" t="s">
        <v>645</v>
      </c>
      <c r="F30">
        <v>62.5</v>
      </c>
      <c r="G30" s="1">
        <v>5000</v>
      </c>
      <c r="H30" s="1">
        <v>5000</v>
      </c>
      <c r="I30" s="1">
        <v>3687.5</v>
      </c>
      <c r="J30" s="1">
        <f t="shared" si="0"/>
        <v>80</v>
      </c>
      <c r="K30" s="1">
        <v>3812.5</v>
      </c>
      <c r="N30" s="35">
        <f t="shared" si="1"/>
        <v>1187.5</v>
      </c>
      <c r="O30" s="35">
        <f t="shared" si="2"/>
        <v>1107.5</v>
      </c>
    </row>
    <row r="31" spans="1:30" hidden="1" x14ac:dyDescent="0.4">
      <c r="A31">
        <v>11</v>
      </c>
      <c r="B31" t="s">
        <v>2912</v>
      </c>
      <c r="C31" s="131">
        <v>34335</v>
      </c>
      <c r="D31" t="s">
        <v>2917</v>
      </c>
      <c r="E31" t="s">
        <v>645</v>
      </c>
      <c r="F31">
        <v>62.5</v>
      </c>
      <c r="G31" s="1">
        <v>5000</v>
      </c>
      <c r="H31" s="1">
        <v>5000</v>
      </c>
      <c r="I31" s="1">
        <v>3687.5</v>
      </c>
      <c r="J31" s="1">
        <f t="shared" si="0"/>
        <v>80</v>
      </c>
      <c r="K31" s="1">
        <v>3812.5</v>
      </c>
      <c r="N31" s="35">
        <f t="shared" si="1"/>
        <v>1187.5</v>
      </c>
      <c r="O31" s="35">
        <f t="shared" si="2"/>
        <v>1107.5</v>
      </c>
    </row>
    <row r="32" spans="1:30" hidden="1" x14ac:dyDescent="0.4">
      <c r="A32">
        <v>12</v>
      </c>
      <c r="B32" t="s">
        <v>2912</v>
      </c>
      <c r="C32" s="131">
        <v>34935</v>
      </c>
      <c r="D32" t="s">
        <v>2918</v>
      </c>
      <c r="E32" t="s">
        <v>645</v>
      </c>
      <c r="F32">
        <v>62.5</v>
      </c>
      <c r="G32" s="1">
        <v>29294.21</v>
      </c>
      <c r="H32" s="1">
        <v>29294.21</v>
      </c>
      <c r="I32" s="1">
        <v>20872.13</v>
      </c>
      <c r="J32" s="1">
        <f t="shared" si="0"/>
        <v>468.70735999999999</v>
      </c>
      <c r="K32" s="1">
        <v>21604.48</v>
      </c>
      <c r="N32" s="35">
        <f t="shared" si="1"/>
        <v>7689.73</v>
      </c>
      <c r="O32" s="35">
        <f t="shared" si="2"/>
        <v>7221.0226399999992</v>
      </c>
    </row>
    <row r="33" spans="1:15" hidden="1" x14ac:dyDescent="0.4">
      <c r="A33">
        <v>481</v>
      </c>
      <c r="B33" t="s">
        <v>3237</v>
      </c>
      <c r="C33" s="131">
        <v>38169</v>
      </c>
      <c r="D33" t="s">
        <v>3239</v>
      </c>
      <c r="E33" t="s">
        <v>645</v>
      </c>
      <c r="F33">
        <v>62.5</v>
      </c>
      <c r="G33" s="1">
        <v>3384986.13</v>
      </c>
      <c r="H33" s="1">
        <v>3384986.13</v>
      </c>
      <c r="I33" s="1">
        <v>1650180.68</v>
      </c>
      <c r="J33" s="1">
        <f>G33/F33</f>
        <v>54159.778079999996</v>
      </c>
      <c r="K33" s="1">
        <v>1734805.3299999998</v>
      </c>
      <c r="N33" s="35">
        <f>G33-K33</f>
        <v>1650180.8</v>
      </c>
      <c r="O33" s="35">
        <f>N33-J33</f>
        <v>1596021.02192</v>
      </c>
    </row>
    <row r="34" spans="1:15" hidden="1" x14ac:dyDescent="0.4">
      <c r="A34">
        <v>470</v>
      </c>
      <c r="B34" t="s">
        <v>3235</v>
      </c>
      <c r="C34" s="131">
        <v>38717</v>
      </c>
      <c r="D34" t="s">
        <v>3236</v>
      </c>
      <c r="E34" t="s">
        <v>645</v>
      </c>
      <c r="F34">
        <v>62.5</v>
      </c>
      <c r="G34" s="1">
        <v>285667.21999999997</v>
      </c>
      <c r="H34" s="1">
        <v>285667.21999999997</v>
      </c>
      <c r="I34" s="1">
        <v>128569.81</v>
      </c>
      <c r="J34" s="1">
        <f>G34/F34</f>
        <v>4570.6755199999998</v>
      </c>
      <c r="K34" s="1">
        <v>135711.49</v>
      </c>
      <c r="L34" s="35">
        <f>+J34</f>
        <v>4570.6755199999998</v>
      </c>
      <c r="N34" s="35">
        <f>G34-K34</f>
        <v>149955.72999999998</v>
      </c>
      <c r="O34" s="35">
        <f>N34-J34</f>
        <v>145385.05447999999</v>
      </c>
    </row>
    <row r="35" spans="1:15" hidden="1" x14ac:dyDescent="0.4">
      <c r="A35">
        <v>13</v>
      </c>
      <c r="B35" t="s">
        <v>2912</v>
      </c>
      <c r="C35" s="131">
        <v>38717</v>
      </c>
      <c r="D35" t="s">
        <v>2919</v>
      </c>
      <c r="E35" t="s">
        <v>645</v>
      </c>
      <c r="F35">
        <v>62.5</v>
      </c>
      <c r="G35" s="1">
        <v>27451.9</v>
      </c>
      <c r="H35" s="1">
        <v>27451.9</v>
      </c>
      <c r="I35" s="1">
        <v>12696.55</v>
      </c>
      <c r="J35" s="1">
        <f t="shared" si="0"/>
        <v>439.23040000000003</v>
      </c>
      <c r="K35" s="1">
        <v>13382.849999999999</v>
      </c>
      <c r="N35" s="35">
        <f t="shared" si="1"/>
        <v>14069.050000000003</v>
      </c>
      <c r="O35" s="35">
        <f t="shared" si="2"/>
        <v>13629.819600000003</v>
      </c>
    </row>
    <row r="36" spans="1:15" hidden="1" x14ac:dyDescent="0.4">
      <c r="A36">
        <v>14</v>
      </c>
      <c r="B36" t="s">
        <v>2912</v>
      </c>
      <c r="C36" s="131">
        <v>38717</v>
      </c>
      <c r="D36" t="s">
        <v>2920</v>
      </c>
      <c r="E36" t="s">
        <v>645</v>
      </c>
      <c r="F36">
        <v>62.5</v>
      </c>
      <c r="G36" s="1">
        <v>63000.99</v>
      </c>
      <c r="H36" s="1">
        <v>63000.99</v>
      </c>
      <c r="I36" s="1">
        <v>29137.95</v>
      </c>
      <c r="J36" s="1">
        <f t="shared" si="0"/>
        <v>1008.0158399999999</v>
      </c>
      <c r="K36" s="1">
        <v>30712.98</v>
      </c>
      <c r="N36" s="35">
        <f t="shared" si="1"/>
        <v>32288.01</v>
      </c>
      <c r="O36" s="35">
        <f t="shared" si="2"/>
        <v>31279.994159999998</v>
      </c>
    </row>
    <row r="37" spans="1:15" hidden="1" x14ac:dyDescent="0.4">
      <c r="A37">
        <v>15</v>
      </c>
      <c r="B37" t="s">
        <v>2912</v>
      </c>
      <c r="C37" s="131">
        <v>38776</v>
      </c>
      <c r="D37" t="s">
        <v>2921</v>
      </c>
      <c r="E37" t="s">
        <v>645</v>
      </c>
      <c r="F37">
        <v>62.5</v>
      </c>
      <c r="G37" s="1">
        <v>58200</v>
      </c>
      <c r="H37" s="1">
        <v>58200</v>
      </c>
      <c r="I37" s="1">
        <v>25462.5</v>
      </c>
      <c r="J37" s="1">
        <f t="shared" si="0"/>
        <v>931.2</v>
      </c>
      <c r="K37" s="1">
        <v>26917.5</v>
      </c>
      <c r="N37" s="35">
        <f t="shared" si="1"/>
        <v>31282.5</v>
      </c>
      <c r="O37" s="35">
        <f t="shared" si="2"/>
        <v>30351.3</v>
      </c>
    </row>
    <row r="38" spans="1:15" hidden="1" x14ac:dyDescent="0.4">
      <c r="A38">
        <v>16</v>
      </c>
      <c r="B38" t="s">
        <v>2912</v>
      </c>
      <c r="C38" s="131">
        <v>39022</v>
      </c>
      <c r="D38" t="s">
        <v>2922</v>
      </c>
      <c r="E38" t="s">
        <v>645</v>
      </c>
      <c r="F38">
        <v>62.5</v>
      </c>
      <c r="G38" s="1">
        <v>30457.52</v>
      </c>
      <c r="H38" s="1">
        <v>30457.52</v>
      </c>
      <c r="I38" s="1">
        <v>13325.2</v>
      </c>
      <c r="J38" s="1">
        <f t="shared" si="0"/>
        <v>487.32031999999998</v>
      </c>
      <c r="K38" s="1">
        <v>14086.640000000001</v>
      </c>
      <c r="N38" s="35">
        <f t="shared" si="1"/>
        <v>16370.88</v>
      </c>
      <c r="O38" s="35">
        <f t="shared" si="2"/>
        <v>15883.559679999998</v>
      </c>
    </row>
    <row r="39" spans="1:15" hidden="1" x14ac:dyDescent="0.4">
      <c r="A39">
        <v>18</v>
      </c>
      <c r="B39" t="s">
        <v>2912</v>
      </c>
      <c r="C39" s="131">
        <v>39462</v>
      </c>
      <c r="D39" t="s">
        <v>2924</v>
      </c>
      <c r="E39" t="s">
        <v>645</v>
      </c>
      <c r="F39">
        <v>62.5</v>
      </c>
      <c r="G39" s="1">
        <v>5022943.34</v>
      </c>
      <c r="H39" s="1">
        <v>5022943.34</v>
      </c>
      <c r="I39" s="1">
        <v>1946390.62</v>
      </c>
      <c r="J39" s="1">
        <f t="shared" si="0"/>
        <v>80367.093439999997</v>
      </c>
      <c r="K39" s="1">
        <v>2071964.2100000002</v>
      </c>
      <c r="N39" s="35">
        <f t="shared" si="1"/>
        <v>2950979.13</v>
      </c>
      <c r="O39" s="35">
        <f t="shared" si="2"/>
        <v>2870612.0365599999</v>
      </c>
    </row>
    <row r="40" spans="1:15" hidden="1" x14ac:dyDescent="0.4">
      <c r="A40">
        <v>20</v>
      </c>
      <c r="B40" t="s">
        <v>2912</v>
      </c>
      <c r="C40" s="131">
        <v>39462</v>
      </c>
      <c r="D40" t="s">
        <v>1217</v>
      </c>
      <c r="E40" t="s">
        <v>645</v>
      </c>
      <c r="F40">
        <v>62.5</v>
      </c>
      <c r="G40" s="1">
        <v>5887317.5</v>
      </c>
      <c r="H40" s="1">
        <v>5887317.5</v>
      </c>
      <c r="I40" s="1">
        <v>2281335.64</v>
      </c>
      <c r="J40" s="1">
        <f t="shared" si="0"/>
        <v>94197.08</v>
      </c>
      <c r="K40" s="1">
        <v>2428518.5900000003</v>
      </c>
      <c r="N40" s="35">
        <f t="shared" si="1"/>
        <v>3458798.9099999997</v>
      </c>
      <c r="O40" s="35">
        <f t="shared" si="2"/>
        <v>3364601.8299999996</v>
      </c>
    </row>
    <row r="41" spans="1:15" hidden="1" x14ac:dyDescent="0.4">
      <c r="A41">
        <v>21</v>
      </c>
      <c r="B41" t="s">
        <v>2912</v>
      </c>
      <c r="C41" s="131">
        <v>40209</v>
      </c>
      <c r="D41" t="s">
        <v>2926</v>
      </c>
      <c r="E41" t="s">
        <v>645</v>
      </c>
      <c r="F41">
        <v>62.5</v>
      </c>
      <c r="G41" s="1">
        <v>629801.4</v>
      </c>
      <c r="H41" s="1">
        <v>629801.4</v>
      </c>
      <c r="I41" s="1">
        <v>212557.99</v>
      </c>
      <c r="J41" s="1">
        <f t="shared" si="0"/>
        <v>10076.822400000001</v>
      </c>
      <c r="K41" s="1">
        <v>228303.02</v>
      </c>
      <c r="N41" s="35">
        <f t="shared" si="1"/>
        <v>401498.38</v>
      </c>
      <c r="O41" s="35">
        <f t="shared" si="2"/>
        <v>391421.5576</v>
      </c>
    </row>
    <row r="42" spans="1:15" hidden="1" x14ac:dyDescent="0.4">
      <c r="A42">
        <v>22</v>
      </c>
      <c r="B42" t="s">
        <v>2912</v>
      </c>
      <c r="C42" s="131">
        <v>40558</v>
      </c>
      <c r="D42" t="s">
        <v>2927</v>
      </c>
      <c r="E42" t="s">
        <v>645</v>
      </c>
      <c r="F42">
        <v>62.5</v>
      </c>
      <c r="G42" s="1">
        <v>652785.47</v>
      </c>
      <c r="H42" s="1">
        <v>652785.47</v>
      </c>
      <c r="I42" s="1">
        <v>203995.49</v>
      </c>
      <c r="J42" s="1">
        <f t="shared" si="0"/>
        <v>10444.567519999999</v>
      </c>
      <c r="K42" s="1">
        <v>220315.13</v>
      </c>
      <c r="N42" s="35">
        <f t="shared" si="1"/>
        <v>432470.33999999997</v>
      </c>
      <c r="O42" s="35">
        <f t="shared" si="2"/>
        <v>422025.77247999999</v>
      </c>
    </row>
    <row r="43" spans="1:15" hidden="1" x14ac:dyDescent="0.4">
      <c r="A43">
        <v>23</v>
      </c>
      <c r="B43" t="s">
        <v>2912</v>
      </c>
      <c r="C43" s="131">
        <v>40686</v>
      </c>
      <c r="D43" t="s">
        <v>2928</v>
      </c>
      <c r="E43" t="s">
        <v>645</v>
      </c>
      <c r="F43">
        <v>62.5</v>
      </c>
      <c r="G43" s="1">
        <v>275000</v>
      </c>
      <c r="H43" s="1">
        <v>275000</v>
      </c>
      <c r="I43" s="1">
        <v>85937.5</v>
      </c>
      <c r="J43" s="1">
        <f t="shared" si="0"/>
        <v>4400</v>
      </c>
      <c r="K43" s="1">
        <v>92812.5</v>
      </c>
      <c r="N43" s="35">
        <f t="shared" si="1"/>
        <v>182187.5</v>
      </c>
      <c r="O43" s="35">
        <f t="shared" si="2"/>
        <v>177787.5</v>
      </c>
    </row>
    <row r="44" spans="1:15" hidden="1" x14ac:dyDescent="0.4">
      <c r="A44">
        <v>25</v>
      </c>
      <c r="B44" t="s">
        <v>2912</v>
      </c>
      <c r="C44" s="131">
        <v>41023</v>
      </c>
      <c r="D44" t="s">
        <v>2930</v>
      </c>
      <c r="E44" t="s">
        <v>645</v>
      </c>
      <c r="F44">
        <v>62.5</v>
      </c>
      <c r="G44" s="1">
        <v>624902.55000000005</v>
      </c>
      <c r="H44" s="1">
        <v>624902.55000000005</v>
      </c>
      <c r="I44" s="1">
        <v>179659.5</v>
      </c>
      <c r="J44" s="1">
        <f t="shared" si="0"/>
        <v>9998.4408000000003</v>
      </c>
      <c r="K44" s="1">
        <v>195282.06</v>
      </c>
      <c r="N44" s="35">
        <f t="shared" si="1"/>
        <v>429620.49000000005</v>
      </c>
      <c r="O44" s="35">
        <f t="shared" si="2"/>
        <v>419622.04920000007</v>
      </c>
    </row>
    <row r="45" spans="1:15" hidden="1" x14ac:dyDescent="0.4">
      <c r="A45">
        <v>26</v>
      </c>
      <c r="B45" t="s">
        <v>2912</v>
      </c>
      <c r="C45" s="131">
        <v>40909</v>
      </c>
      <c r="D45" t="s">
        <v>2931</v>
      </c>
      <c r="E45" t="s">
        <v>645</v>
      </c>
      <c r="F45">
        <v>62.5</v>
      </c>
      <c r="G45" s="1">
        <v>44993.83</v>
      </c>
      <c r="H45" s="1">
        <v>44993.83</v>
      </c>
      <c r="I45" s="1">
        <v>12935.75</v>
      </c>
      <c r="J45" s="1">
        <f t="shared" si="0"/>
        <v>719.90128000000004</v>
      </c>
      <c r="K45" s="1">
        <v>14060.59</v>
      </c>
      <c r="N45" s="35">
        <f t="shared" si="1"/>
        <v>30933.24</v>
      </c>
      <c r="O45" s="35">
        <f t="shared" si="2"/>
        <v>30213.33872</v>
      </c>
    </row>
    <row r="46" spans="1:15" hidden="1" x14ac:dyDescent="0.4">
      <c r="A46">
        <v>28</v>
      </c>
      <c r="B46" t="s">
        <v>2912</v>
      </c>
      <c r="C46" s="131">
        <v>41030</v>
      </c>
      <c r="D46" t="s">
        <v>2933</v>
      </c>
      <c r="E46" t="s">
        <v>645</v>
      </c>
      <c r="F46">
        <v>62.5</v>
      </c>
      <c r="G46" s="1">
        <v>717620.96</v>
      </c>
      <c r="H46" s="1">
        <v>717620.96</v>
      </c>
      <c r="I46" s="1">
        <v>206316.05</v>
      </c>
      <c r="J46" s="1">
        <f t="shared" si="0"/>
        <v>11481.935359999999</v>
      </c>
      <c r="K46" s="1">
        <v>224256.56999999998</v>
      </c>
      <c r="N46" s="35">
        <f t="shared" si="1"/>
        <v>493364.39</v>
      </c>
      <c r="O46" s="35">
        <f t="shared" si="2"/>
        <v>481882.45464000001</v>
      </c>
    </row>
    <row r="47" spans="1:15" hidden="1" x14ac:dyDescent="0.4">
      <c r="A47">
        <v>29</v>
      </c>
      <c r="B47" t="s">
        <v>2912</v>
      </c>
      <c r="C47" s="131">
        <v>41030</v>
      </c>
      <c r="D47" t="s">
        <v>2934</v>
      </c>
      <c r="E47" t="s">
        <v>645</v>
      </c>
      <c r="F47">
        <v>62.5</v>
      </c>
      <c r="G47" s="1">
        <v>29876.21</v>
      </c>
      <c r="H47" s="1">
        <v>29876.21</v>
      </c>
      <c r="I47" s="1">
        <v>8589.42</v>
      </c>
      <c r="J47" s="1">
        <f t="shared" si="0"/>
        <v>478.01936000000001</v>
      </c>
      <c r="K47" s="1">
        <v>9336.32</v>
      </c>
      <c r="N47" s="35">
        <f t="shared" si="1"/>
        <v>20539.89</v>
      </c>
      <c r="O47" s="35">
        <f t="shared" si="2"/>
        <v>20061.870640000001</v>
      </c>
    </row>
    <row r="48" spans="1:15" hidden="1" x14ac:dyDescent="0.4">
      <c r="A48">
        <v>36</v>
      </c>
      <c r="B48" t="s">
        <v>2912</v>
      </c>
      <c r="C48" s="131">
        <v>41358</v>
      </c>
      <c r="D48" t="s">
        <v>2936</v>
      </c>
      <c r="E48" t="s">
        <v>645</v>
      </c>
      <c r="F48">
        <v>62.5</v>
      </c>
      <c r="G48" s="1">
        <v>735546.42</v>
      </c>
      <c r="H48" s="1">
        <v>735546.42</v>
      </c>
      <c r="I48" s="1">
        <v>193080.93</v>
      </c>
      <c r="J48" s="1">
        <f t="shared" si="0"/>
        <v>11768.74272</v>
      </c>
      <c r="K48" s="1">
        <v>211469.59</v>
      </c>
      <c r="N48" s="35">
        <f t="shared" si="1"/>
        <v>524076.83000000007</v>
      </c>
      <c r="O48" s="35">
        <f t="shared" si="2"/>
        <v>512308.08728000009</v>
      </c>
    </row>
    <row r="49" spans="1:15" hidden="1" x14ac:dyDescent="0.4">
      <c r="A49">
        <v>39</v>
      </c>
      <c r="B49" t="s">
        <v>2912</v>
      </c>
      <c r="C49" s="131">
        <v>41275</v>
      </c>
      <c r="D49" t="s">
        <v>2939</v>
      </c>
      <c r="E49" t="s">
        <v>645</v>
      </c>
      <c r="F49">
        <v>62.5</v>
      </c>
      <c r="G49" s="1">
        <v>1683153</v>
      </c>
      <c r="H49" s="1">
        <v>1683153</v>
      </c>
      <c r="I49" s="1">
        <v>441827.67</v>
      </c>
      <c r="J49" s="1">
        <f t="shared" si="0"/>
        <v>26930.448</v>
      </c>
      <c r="K49" s="1">
        <v>483906.5</v>
      </c>
      <c r="N49" s="35">
        <f t="shared" si="1"/>
        <v>1199246.5</v>
      </c>
      <c r="O49" s="35">
        <f t="shared" si="2"/>
        <v>1172316.0519999999</v>
      </c>
    </row>
    <row r="50" spans="1:15" hidden="1" x14ac:dyDescent="0.4">
      <c r="A50">
        <v>40</v>
      </c>
      <c r="B50" t="s">
        <v>2912</v>
      </c>
      <c r="C50" s="131">
        <v>41780</v>
      </c>
      <c r="D50" t="s">
        <v>2940</v>
      </c>
      <c r="E50" t="s">
        <v>645</v>
      </c>
      <c r="F50">
        <v>62.5</v>
      </c>
      <c r="G50" s="1">
        <v>1319547.1599999999</v>
      </c>
      <c r="H50" s="1">
        <v>1319547.1599999999</v>
      </c>
      <c r="I50" s="1">
        <v>313392.45</v>
      </c>
      <c r="J50" s="1">
        <f t="shared" si="0"/>
        <v>21112.754559999998</v>
      </c>
      <c r="K50" s="1">
        <v>346381.13</v>
      </c>
      <c r="N50" s="35">
        <f t="shared" si="1"/>
        <v>973166.02999999991</v>
      </c>
      <c r="O50" s="35">
        <f t="shared" si="2"/>
        <v>952053.27543999988</v>
      </c>
    </row>
    <row r="51" spans="1:15" hidden="1" x14ac:dyDescent="0.4">
      <c r="A51">
        <v>43</v>
      </c>
      <c r="B51" t="s">
        <v>2912</v>
      </c>
      <c r="C51" s="131">
        <v>41780</v>
      </c>
      <c r="D51" t="s">
        <v>2943</v>
      </c>
      <c r="E51" t="s">
        <v>645</v>
      </c>
      <c r="F51">
        <v>62.5</v>
      </c>
      <c r="G51" s="1">
        <v>183187.37</v>
      </c>
      <c r="H51" s="1">
        <v>183187.37</v>
      </c>
      <c r="I51" s="1">
        <v>87014.01</v>
      </c>
      <c r="J51" s="1">
        <f t="shared" si="0"/>
        <v>2930.9979199999998</v>
      </c>
      <c r="K51" s="1">
        <v>96173.37999999999</v>
      </c>
      <c r="N51" s="35">
        <f t="shared" si="1"/>
        <v>87013.99</v>
      </c>
      <c r="O51" s="35">
        <f t="shared" si="2"/>
        <v>84082.992080000011</v>
      </c>
    </row>
    <row r="52" spans="1:15" hidden="1" x14ac:dyDescent="0.4">
      <c r="A52">
        <v>49</v>
      </c>
      <c r="B52" t="s">
        <v>2912</v>
      </c>
      <c r="C52" s="131">
        <v>44892</v>
      </c>
      <c r="D52" t="s">
        <v>2948</v>
      </c>
      <c r="E52" t="s">
        <v>645</v>
      </c>
      <c r="F52">
        <v>62.5</v>
      </c>
      <c r="G52" s="1">
        <v>915154.23</v>
      </c>
      <c r="H52" s="1">
        <v>915154.23</v>
      </c>
      <c r="I52" s="1">
        <v>34318.29</v>
      </c>
      <c r="J52" s="1">
        <f t="shared" si="0"/>
        <v>14642.46768</v>
      </c>
      <c r="K52" s="1">
        <v>57197.15</v>
      </c>
      <c r="N52" s="35">
        <f t="shared" si="1"/>
        <v>857957.08</v>
      </c>
      <c r="O52" s="35">
        <f t="shared" si="2"/>
        <v>843314.61231999996</v>
      </c>
    </row>
    <row r="53" spans="1:15" hidden="1" x14ac:dyDescent="0.4">
      <c r="A53">
        <v>54</v>
      </c>
      <c r="B53" t="s">
        <v>2912</v>
      </c>
      <c r="C53" s="131">
        <v>45433</v>
      </c>
      <c r="D53" t="s">
        <v>2952</v>
      </c>
      <c r="E53" t="s">
        <v>645</v>
      </c>
      <c r="F53">
        <v>62.5</v>
      </c>
      <c r="G53" s="1">
        <v>138863.59</v>
      </c>
      <c r="H53" s="1">
        <v>138863.59</v>
      </c>
      <c r="I53" s="1">
        <v>0</v>
      </c>
      <c r="J53" s="1">
        <f t="shared" si="0"/>
        <v>2221.8174399999998</v>
      </c>
      <c r="K53" s="1">
        <v>1735.79</v>
      </c>
      <c r="N53" s="35">
        <f t="shared" si="1"/>
        <v>137127.79999999999</v>
      </c>
      <c r="O53" s="35">
        <f t="shared" si="2"/>
        <v>134905.98255999997</v>
      </c>
    </row>
    <row r="54" spans="1:15" x14ac:dyDescent="0.4">
      <c r="C54" s="131"/>
      <c r="G54" s="1"/>
      <c r="H54" s="1"/>
      <c r="I54" s="1"/>
      <c r="J54" s="1"/>
      <c r="K54" s="1"/>
      <c r="N54" s="35"/>
      <c r="O54" s="35"/>
    </row>
    <row r="55" spans="1:15" x14ac:dyDescent="0.4">
      <c r="C55" s="131"/>
      <c r="G55" s="1"/>
      <c r="H55" s="1"/>
      <c r="I55" s="1"/>
      <c r="J55" s="1"/>
      <c r="K55" s="1"/>
      <c r="N55" s="35"/>
      <c r="O55" s="35"/>
    </row>
    <row r="56" spans="1:15" x14ac:dyDescent="0.4">
      <c r="C56" s="131"/>
      <c r="D56" t="s">
        <v>3247</v>
      </c>
      <c r="G56" s="1">
        <f>SUM(G27:G55)</f>
        <v>22761751.000000004</v>
      </c>
      <c r="H56" s="1"/>
      <c r="I56" s="1"/>
      <c r="J56" s="1">
        <f>SUM(J27:J55)</f>
        <v>364188.01599999995</v>
      </c>
      <c r="K56" s="1"/>
      <c r="N56" s="35"/>
      <c r="O56" s="35"/>
    </row>
    <row r="57" spans="1:15" x14ac:dyDescent="0.4">
      <c r="C57" s="131"/>
      <c r="G57" s="1"/>
      <c r="H57" s="1"/>
      <c r="I57" s="1"/>
      <c r="J57" s="1"/>
      <c r="K57" s="1"/>
      <c r="N57" s="35"/>
      <c r="O57" s="35"/>
    </row>
    <row r="58" spans="1:15" x14ac:dyDescent="0.4">
      <c r="C58" s="131"/>
      <c r="G58" s="1"/>
      <c r="H58" s="1"/>
      <c r="I58" s="1"/>
      <c r="J58" s="1"/>
      <c r="K58" s="1"/>
      <c r="N58" s="35">
        <f t="shared" si="1"/>
        <v>0</v>
      </c>
      <c r="O58" s="35">
        <f t="shared" si="2"/>
        <v>0</v>
      </c>
    </row>
    <row r="59" spans="1:15" x14ac:dyDescent="0.4">
      <c r="C59" s="131"/>
      <c r="G59" s="1"/>
      <c r="H59" s="1"/>
      <c r="I59" s="1"/>
      <c r="J59" s="1"/>
      <c r="K59" s="1"/>
      <c r="N59" s="35">
        <f t="shared" si="1"/>
        <v>0</v>
      </c>
      <c r="O59" s="35">
        <f t="shared" si="2"/>
        <v>0</v>
      </c>
    </row>
    <row r="60" spans="1:15" x14ac:dyDescent="0.4">
      <c r="A60">
        <v>62</v>
      </c>
      <c r="B60" t="s">
        <v>2959</v>
      </c>
      <c r="C60" s="131">
        <v>33970</v>
      </c>
      <c r="D60" t="s">
        <v>2913</v>
      </c>
      <c r="E60" t="s">
        <v>645</v>
      </c>
      <c r="F60">
        <v>20</v>
      </c>
      <c r="G60" s="1">
        <v>10000</v>
      </c>
      <c r="H60" s="1">
        <v>10000</v>
      </c>
      <c r="I60" s="1">
        <v>10000</v>
      </c>
      <c r="J60" s="1"/>
      <c r="K60" s="1">
        <v>10000</v>
      </c>
      <c r="N60" s="35">
        <f t="shared" si="1"/>
        <v>0</v>
      </c>
      <c r="O60" s="35">
        <f t="shared" si="2"/>
        <v>0</v>
      </c>
    </row>
    <row r="61" spans="1:15" hidden="1" x14ac:dyDescent="0.4">
      <c r="A61">
        <v>63</v>
      </c>
      <c r="B61" t="s">
        <v>2959</v>
      </c>
      <c r="C61" s="131">
        <v>33970</v>
      </c>
      <c r="D61" t="s">
        <v>2914</v>
      </c>
      <c r="E61" t="s">
        <v>645</v>
      </c>
      <c r="F61">
        <v>20</v>
      </c>
      <c r="G61" s="1">
        <v>10000</v>
      </c>
      <c r="H61" s="1">
        <v>10000</v>
      </c>
      <c r="I61" s="1">
        <v>10000</v>
      </c>
      <c r="J61" s="1"/>
      <c r="K61" s="1">
        <v>10000</v>
      </c>
      <c r="N61" s="35">
        <f t="shared" si="1"/>
        <v>0</v>
      </c>
      <c r="O61" s="35">
        <f t="shared" si="2"/>
        <v>0</v>
      </c>
    </row>
    <row r="62" spans="1:15" hidden="1" x14ac:dyDescent="0.4">
      <c r="A62">
        <v>64</v>
      </c>
      <c r="B62" t="s">
        <v>2959</v>
      </c>
      <c r="C62" s="131">
        <v>34335</v>
      </c>
      <c r="D62" t="s">
        <v>2915</v>
      </c>
      <c r="E62" t="s">
        <v>645</v>
      </c>
      <c r="F62">
        <v>20</v>
      </c>
      <c r="G62" s="1">
        <v>10000</v>
      </c>
      <c r="H62" s="1">
        <v>10000</v>
      </c>
      <c r="I62" s="1">
        <v>10000</v>
      </c>
      <c r="J62" s="1"/>
      <c r="K62" s="1">
        <v>10000</v>
      </c>
      <c r="N62" s="35">
        <f t="shared" si="1"/>
        <v>0</v>
      </c>
      <c r="O62" s="35">
        <f t="shared" si="2"/>
        <v>0</v>
      </c>
    </row>
    <row r="63" spans="1:15" hidden="1" x14ac:dyDescent="0.4">
      <c r="A63">
        <v>65</v>
      </c>
      <c r="B63" t="s">
        <v>2959</v>
      </c>
      <c r="C63" s="131">
        <v>34335</v>
      </c>
      <c r="D63" t="s">
        <v>2916</v>
      </c>
      <c r="E63" t="s">
        <v>645</v>
      </c>
      <c r="F63">
        <v>20</v>
      </c>
      <c r="G63" s="1">
        <v>15000</v>
      </c>
      <c r="H63" s="1">
        <v>15000</v>
      </c>
      <c r="I63" s="1">
        <v>15000</v>
      </c>
      <c r="J63" s="1"/>
      <c r="K63" s="1">
        <v>15000</v>
      </c>
      <c r="N63" s="35">
        <f t="shared" si="1"/>
        <v>0</v>
      </c>
      <c r="O63" s="35">
        <f t="shared" si="2"/>
        <v>0</v>
      </c>
    </row>
    <row r="64" spans="1:15" hidden="1" x14ac:dyDescent="0.4">
      <c r="A64">
        <v>66</v>
      </c>
      <c r="B64" t="s">
        <v>2959</v>
      </c>
      <c r="C64" s="131">
        <v>34335</v>
      </c>
      <c r="D64" t="s">
        <v>2917</v>
      </c>
      <c r="E64" t="s">
        <v>645</v>
      </c>
      <c r="F64">
        <v>20</v>
      </c>
      <c r="G64" s="1">
        <v>10000</v>
      </c>
      <c r="H64" s="1">
        <v>10000</v>
      </c>
      <c r="I64" s="1">
        <v>10000</v>
      </c>
      <c r="J64" s="1"/>
      <c r="K64" s="1">
        <v>10000</v>
      </c>
      <c r="N64" s="35">
        <f t="shared" si="1"/>
        <v>0</v>
      </c>
      <c r="O64" s="35">
        <f t="shared" si="2"/>
        <v>0</v>
      </c>
    </row>
    <row r="65" spans="1:15" hidden="1" x14ac:dyDescent="0.4">
      <c r="A65">
        <v>67</v>
      </c>
      <c r="B65" t="s">
        <v>2959</v>
      </c>
      <c r="C65" s="131">
        <v>34935</v>
      </c>
      <c r="D65" t="s">
        <v>2918</v>
      </c>
      <c r="E65" t="s">
        <v>645</v>
      </c>
      <c r="F65">
        <v>20</v>
      </c>
      <c r="G65" s="1">
        <v>65947.33</v>
      </c>
      <c r="H65" s="1">
        <v>65947.33</v>
      </c>
      <c r="I65" s="1">
        <v>65397.65</v>
      </c>
      <c r="J65" s="1"/>
      <c r="K65" s="1">
        <v>65397.65</v>
      </c>
      <c r="N65" s="35">
        <f t="shared" si="1"/>
        <v>549.68000000000029</v>
      </c>
      <c r="O65" s="35">
        <f t="shared" si="2"/>
        <v>549.68000000000029</v>
      </c>
    </row>
    <row r="66" spans="1:15" hidden="1" x14ac:dyDescent="0.4">
      <c r="A66">
        <v>68</v>
      </c>
      <c r="B66" t="s">
        <v>2959</v>
      </c>
      <c r="C66" s="131">
        <v>36068</v>
      </c>
      <c r="D66" t="s">
        <v>2960</v>
      </c>
      <c r="E66" t="s">
        <v>645</v>
      </c>
      <c r="F66">
        <v>20</v>
      </c>
      <c r="G66" s="1">
        <v>1107</v>
      </c>
      <c r="H66" s="1">
        <v>1107</v>
      </c>
      <c r="I66" s="1">
        <v>1107</v>
      </c>
      <c r="J66" s="1"/>
      <c r="K66" s="1">
        <v>1107</v>
      </c>
      <c r="N66" s="35">
        <f t="shared" si="1"/>
        <v>0</v>
      </c>
      <c r="O66" s="35">
        <f t="shared" si="2"/>
        <v>0</v>
      </c>
    </row>
    <row r="67" spans="1:15" hidden="1" x14ac:dyDescent="0.4">
      <c r="A67">
        <v>69</v>
      </c>
      <c r="B67" t="s">
        <v>2959</v>
      </c>
      <c r="C67" s="131">
        <v>36068</v>
      </c>
      <c r="D67" t="s">
        <v>2961</v>
      </c>
      <c r="E67" t="s">
        <v>645</v>
      </c>
      <c r="F67">
        <v>20</v>
      </c>
      <c r="G67" s="1">
        <v>4328.4399999999996</v>
      </c>
      <c r="H67" s="1">
        <v>4328.4399999999996</v>
      </c>
      <c r="I67" s="1">
        <v>4328.4399999999996</v>
      </c>
      <c r="J67" s="1"/>
      <c r="K67" s="1">
        <v>4328.4399999999996</v>
      </c>
      <c r="N67" s="35">
        <f t="shared" si="1"/>
        <v>0</v>
      </c>
      <c r="O67" s="35">
        <f t="shared" si="2"/>
        <v>0</v>
      </c>
    </row>
    <row r="68" spans="1:15" hidden="1" x14ac:dyDescent="0.4">
      <c r="A68">
        <v>70</v>
      </c>
      <c r="B68" t="s">
        <v>2959</v>
      </c>
      <c r="C68" s="131">
        <v>36043</v>
      </c>
      <c r="D68" t="s">
        <v>2962</v>
      </c>
      <c r="E68" t="s">
        <v>645</v>
      </c>
      <c r="F68">
        <v>20</v>
      </c>
      <c r="G68" s="1">
        <v>129395</v>
      </c>
      <c r="H68" s="1">
        <v>129395</v>
      </c>
      <c r="I68" s="1">
        <v>129395</v>
      </c>
      <c r="J68" s="1"/>
      <c r="K68" s="1">
        <v>129395</v>
      </c>
      <c r="N68" s="35">
        <f t="shared" si="1"/>
        <v>0</v>
      </c>
      <c r="O68" s="35">
        <f t="shared" si="2"/>
        <v>0</v>
      </c>
    </row>
    <row r="69" spans="1:15" hidden="1" x14ac:dyDescent="0.4">
      <c r="A69">
        <v>71</v>
      </c>
      <c r="B69" t="s">
        <v>2959</v>
      </c>
      <c r="C69" s="131">
        <v>35916</v>
      </c>
      <c r="D69" t="s">
        <v>2963</v>
      </c>
      <c r="E69" t="s">
        <v>645</v>
      </c>
      <c r="F69">
        <v>20</v>
      </c>
      <c r="G69" s="1">
        <v>50000</v>
      </c>
      <c r="H69" s="1">
        <v>50000</v>
      </c>
      <c r="I69" s="1">
        <v>50000</v>
      </c>
      <c r="J69" s="1"/>
      <c r="K69" s="1">
        <v>50000</v>
      </c>
      <c r="N69" s="35">
        <f t="shared" ref="N69:N170" si="3">G69-K69</f>
        <v>0</v>
      </c>
      <c r="O69" s="35">
        <f t="shared" ref="O69:O170" si="4">N69-J69</f>
        <v>0</v>
      </c>
    </row>
    <row r="70" spans="1:15" hidden="1" x14ac:dyDescent="0.4">
      <c r="A70">
        <v>72</v>
      </c>
      <c r="B70" t="s">
        <v>2959</v>
      </c>
      <c r="C70" s="131">
        <v>35916</v>
      </c>
      <c r="D70" t="s">
        <v>2964</v>
      </c>
      <c r="E70" t="s">
        <v>645</v>
      </c>
      <c r="F70">
        <v>20</v>
      </c>
      <c r="G70" s="1">
        <v>75000</v>
      </c>
      <c r="H70" s="1">
        <v>75000</v>
      </c>
      <c r="I70" s="1">
        <v>75000</v>
      </c>
      <c r="J70" s="1"/>
      <c r="K70" s="1">
        <v>75000</v>
      </c>
      <c r="N70" s="35">
        <f t="shared" si="3"/>
        <v>0</v>
      </c>
      <c r="O70" s="35">
        <f t="shared" si="4"/>
        <v>0</v>
      </c>
    </row>
    <row r="71" spans="1:15" hidden="1" x14ac:dyDescent="0.4">
      <c r="A71">
        <v>73</v>
      </c>
      <c r="B71" t="s">
        <v>2959</v>
      </c>
      <c r="C71" s="131">
        <v>35916</v>
      </c>
      <c r="D71" t="s">
        <v>2965</v>
      </c>
      <c r="E71" t="s">
        <v>645</v>
      </c>
      <c r="F71">
        <v>20</v>
      </c>
      <c r="G71" s="1">
        <v>450000</v>
      </c>
      <c r="H71" s="1">
        <v>450000</v>
      </c>
      <c r="I71" s="1">
        <v>450000</v>
      </c>
      <c r="J71" s="1"/>
      <c r="K71" s="1">
        <v>450000</v>
      </c>
      <c r="N71" s="35">
        <f t="shared" si="3"/>
        <v>0</v>
      </c>
      <c r="O71" s="35">
        <f t="shared" si="4"/>
        <v>0</v>
      </c>
    </row>
    <row r="72" spans="1:15" hidden="1" x14ac:dyDescent="0.4">
      <c r="A72">
        <v>74</v>
      </c>
      <c r="B72" t="s">
        <v>2959</v>
      </c>
      <c r="C72" s="131">
        <v>35916</v>
      </c>
      <c r="D72" t="s">
        <v>2966</v>
      </c>
      <c r="E72" t="s">
        <v>645</v>
      </c>
      <c r="F72">
        <v>20</v>
      </c>
      <c r="G72" s="1">
        <v>85000</v>
      </c>
      <c r="H72" s="1">
        <v>85000</v>
      </c>
      <c r="I72" s="1">
        <v>85000</v>
      </c>
      <c r="J72" s="1"/>
      <c r="K72" s="1">
        <v>85000</v>
      </c>
      <c r="N72" s="35">
        <f t="shared" si="3"/>
        <v>0</v>
      </c>
      <c r="O72" s="35">
        <f t="shared" si="4"/>
        <v>0</v>
      </c>
    </row>
    <row r="73" spans="1:15" hidden="1" x14ac:dyDescent="0.4">
      <c r="A73">
        <v>77</v>
      </c>
      <c r="B73" t="s">
        <v>2959</v>
      </c>
      <c r="C73" s="131">
        <v>35916</v>
      </c>
      <c r="D73" t="s">
        <v>2967</v>
      </c>
      <c r="E73" t="s">
        <v>645</v>
      </c>
      <c r="F73">
        <v>20</v>
      </c>
      <c r="G73" s="1">
        <v>3275</v>
      </c>
      <c r="H73" s="1">
        <v>3275</v>
      </c>
      <c r="I73" s="1">
        <v>3275</v>
      </c>
      <c r="J73" s="1"/>
      <c r="K73" s="1">
        <v>3275</v>
      </c>
      <c r="N73" s="35">
        <f t="shared" si="3"/>
        <v>0</v>
      </c>
      <c r="O73" s="35">
        <f t="shared" si="4"/>
        <v>0</v>
      </c>
    </row>
    <row r="74" spans="1:15" hidden="1" x14ac:dyDescent="0.4">
      <c r="A74">
        <v>78</v>
      </c>
      <c r="B74" t="s">
        <v>2959</v>
      </c>
      <c r="C74" s="131">
        <v>36892</v>
      </c>
      <c r="D74" t="s">
        <v>2968</v>
      </c>
      <c r="E74" t="s">
        <v>645</v>
      </c>
      <c r="F74">
        <v>20</v>
      </c>
      <c r="G74" s="1">
        <v>346313.89</v>
      </c>
      <c r="H74" s="1">
        <v>346313.89</v>
      </c>
      <c r="I74" s="1">
        <v>346313.89</v>
      </c>
      <c r="J74" s="1"/>
      <c r="K74" s="1">
        <v>346313.89</v>
      </c>
      <c r="N74" s="35">
        <f t="shared" si="3"/>
        <v>0</v>
      </c>
      <c r="O74" s="35">
        <f t="shared" si="4"/>
        <v>0</v>
      </c>
    </row>
    <row r="75" spans="1:15" hidden="1" x14ac:dyDescent="0.4">
      <c r="A75">
        <v>79</v>
      </c>
      <c r="B75" t="s">
        <v>2959</v>
      </c>
      <c r="C75" s="131">
        <v>36892</v>
      </c>
      <c r="D75" t="s">
        <v>2969</v>
      </c>
      <c r="E75" t="s">
        <v>645</v>
      </c>
      <c r="F75">
        <v>20</v>
      </c>
      <c r="G75" s="1">
        <v>49642.26</v>
      </c>
      <c r="H75" s="1">
        <v>49642.26</v>
      </c>
      <c r="I75" s="1">
        <v>49642.26</v>
      </c>
      <c r="J75" s="1"/>
      <c r="K75" s="1">
        <v>49642.26</v>
      </c>
      <c r="N75" s="35">
        <f t="shared" si="3"/>
        <v>0</v>
      </c>
      <c r="O75" s="35">
        <f t="shared" si="4"/>
        <v>0</v>
      </c>
    </row>
    <row r="76" spans="1:15" hidden="1" x14ac:dyDescent="0.4">
      <c r="A76">
        <v>80</v>
      </c>
      <c r="B76" t="s">
        <v>2959</v>
      </c>
      <c r="C76" s="131">
        <v>39462</v>
      </c>
      <c r="D76" t="s">
        <v>2970</v>
      </c>
      <c r="E76" t="s">
        <v>645</v>
      </c>
      <c r="F76">
        <v>37.5</v>
      </c>
      <c r="G76" s="1">
        <v>1095865</v>
      </c>
      <c r="H76" s="1">
        <v>1095865</v>
      </c>
      <c r="I76" s="1">
        <v>849295.38</v>
      </c>
      <c r="J76" s="1">
        <f>G76/F76</f>
        <v>29223.066666666666</v>
      </c>
      <c r="K76" s="1">
        <v>904088.63</v>
      </c>
      <c r="N76" s="35">
        <f t="shared" si="3"/>
        <v>191776.37</v>
      </c>
      <c r="O76" s="35">
        <f t="shared" si="4"/>
        <v>162553.30333333334</v>
      </c>
    </row>
    <row r="77" spans="1:15" hidden="1" x14ac:dyDescent="0.4">
      <c r="A77">
        <v>81</v>
      </c>
      <c r="B77" t="s">
        <v>2959</v>
      </c>
      <c r="C77" s="131">
        <v>39462</v>
      </c>
      <c r="D77" t="s">
        <v>2971</v>
      </c>
      <c r="E77" t="s">
        <v>645</v>
      </c>
      <c r="F77">
        <v>37.5</v>
      </c>
      <c r="G77" s="1">
        <v>1620454.91</v>
      </c>
      <c r="H77" s="1">
        <v>1620454.91</v>
      </c>
      <c r="I77" s="1">
        <v>1255852.55</v>
      </c>
      <c r="J77" s="1">
        <f t="shared" ref="J77:J170" si="5">G77/F77</f>
        <v>43212.130933333334</v>
      </c>
      <c r="K77" s="1">
        <v>1336875.3</v>
      </c>
      <c r="N77" s="35">
        <f t="shared" si="3"/>
        <v>283579.60999999987</v>
      </c>
      <c r="O77" s="35">
        <f t="shared" si="4"/>
        <v>240367.47906666654</v>
      </c>
    </row>
    <row r="78" spans="1:15" hidden="1" x14ac:dyDescent="0.4">
      <c r="A78">
        <v>82</v>
      </c>
      <c r="B78" t="s">
        <v>2959</v>
      </c>
      <c r="C78" s="131">
        <v>40209</v>
      </c>
      <c r="D78" t="s">
        <v>2972</v>
      </c>
      <c r="E78" t="s">
        <v>645</v>
      </c>
      <c r="F78">
        <v>37.5</v>
      </c>
      <c r="G78" s="1">
        <v>31800</v>
      </c>
      <c r="H78" s="1">
        <v>31800</v>
      </c>
      <c r="I78" s="1">
        <v>10732.5</v>
      </c>
      <c r="J78" s="1">
        <f t="shared" si="5"/>
        <v>848</v>
      </c>
      <c r="K78" s="1">
        <v>11527.5</v>
      </c>
      <c r="N78" s="35">
        <f t="shared" si="3"/>
        <v>20272.5</v>
      </c>
      <c r="O78" s="35">
        <f t="shared" si="4"/>
        <v>19424.5</v>
      </c>
    </row>
    <row r="79" spans="1:15" hidden="1" x14ac:dyDescent="0.4">
      <c r="A79">
        <v>90</v>
      </c>
      <c r="B79" t="s">
        <v>2959</v>
      </c>
      <c r="C79" s="131">
        <v>41640</v>
      </c>
      <c r="D79" t="s">
        <v>2980</v>
      </c>
      <c r="E79" t="s">
        <v>645</v>
      </c>
      <c r="F79">
        <v>37.5</v>
      </c>
      <c r="G79" s="1">
        <v>49900</v>
      </c>
      <c r="H79" s="1">
        <v>49900</v>
      </c>
      <c r="I79" s="1">
        <v>11851.25</v>
      </c>
      <c r="J79" s="1">
        <f t="shared" si="5"/>
        <v>1330.6666666666667</v>
      </c>
      <c r="K79" s="1">
        <v>13098.75</v>
      </c>
      <c r="N79" s="35">
        <f t="shared" si="3"/>
        <v>36801.25</v>
      </c>
      <c r="O79" s="35">
        <f t="shared" si="4"/>
        <v>35470.583333333336</v>
      </c>
    </row>
    <row r="80" spans="1:15" hidden="1" x14ac:dyDescent="0.4">
      <c r="A80">
        <v>91</v>
      </c>
      <c r="B80" t="s">
        <v>2959</v>
      </c>
      <c r="C80" s="131">
        <v>41780</v>
      </c>
      <c r="D80" t="s">
        <v>2981</v>
      </c>
      <c r="E80" t="s">
        <v>645</v>
      </c>
      <c r="F80">
        <v>37.5</v>
      </c>
      <c r="G80" s="1">
        <v>30295</v>
      </c>
      <c r="H80" s="1">
        <v>30295</v>
      </c>
      <c r="I80" s="1">
        <v>9593.39</v>
      </c>
      <c r="J80" s="1">
        <f t="shared" si="5"/>
        <v>807.86666666666667</v>
      </c>
      <c r="K80" s="1">
        <v>10603.22</v>
      </c>
      <c r="N80" s="35">
        <f t="shared" si="3"/>
        <v>19691.78</v>
      </c>
      <c r="O80" s="35">
        <f t="shared" si="4"/>
        <v>18883.913333333334</v>
      </c>
    </row>
    <row r="81" spans="1:15" hidden="1" x14ac:dyDescent="0.4">
      <c r="A81">
        <v>93</v>
      </c>
      <c r="B81" t="s">
        <v>2959</v>
      </c>
      <c r="C81" s="131">
        <v>42082</v>
      </c>
      <c r="D81" t="s">
        <v>2983</v>
      </c>
      <c r="E81" t="s">
        <v>645</v>
      </c>
      <c r="F81">
        <v>37.5</v>
      </c>
      <c r="G81" s="1">
        <v>18591.63</v>
      </c>
      <c r="H81" s="1">
        <v>18591.63</v>
      </c>
      <c r="I81" s="1">
        <v>3950.72</v>
      </c>
      <c r="J81" s="1">
        <f t="shared" si="5"/>
        <v>495.77680000000004</v>
      </c>
      <c r="K81" s="1">
        <v>4415.51</v>
      </c>
      <c r="N81" s="35">
        <f t="shared" si="3"/>
        <v>14176.12</v>
      </c>
      <c r="O81" s="35">
        <f t="shared" si="4"/>
        <v>13680.343200000001</v>
      </c>
    </row>
    <row r="82" spans="1:15" hidden="1" x14ac:dyDescent="0.4">
      <c r="A82">
        <v>94</v>
      </c>
      <c r="B82" t="s">
        <v>2959</v>
      </c>
      <c r="C82" s="131">
        <v>42082</v>
      </c>
      <c r="D82" t="s">
        <v>2984</v>
      </c>
      <c r="E82" t="s">
        <v>645</v>
      </c>
      <c r="F82">
        <v>37.5</v>
      </c>
      <c r="G82" s="1">
        <v>25000</v>
      </c>
      <c r="H82" s="1">
        <v>25000</v>
      </c>
      <c r="I82" s="1">
        <v>5312.5</v>
      </c>
      <c r="J82" s="1">
        <f t="shared" si="5"/>
        <v>666.66666666666663</v>
      </c>
      <c r="K82" s="1">
        <v>5937.5</v>
      </c>
      <c r="N82" s="35">
        <f t="shared" si="3"/>
        <v>19062.5</v>
      </c>
      <c r="O82" s="35">
        <f t="shared" si="4"/>
        <v>18395.833333333332</v>
      </c>
    </row>
    <row r="83" spans="1:15" hidden="1" x14ac:dyDescent="0.4">
      <c r="A83">
        <v>95</v>
      </c>
      <c r="B83" t="s">
        <v>2959</v>
      </c>
      <c r="C83" s="131">
        <v>42082</v>
      </c>
      <c r="D83" t="s">
        <v>2985</v>
      </c>
      <c r="E83" t="s">
        <v>645</v>
      </c>
      <c r="F83">
        <v>37.5</v>
      </c>
      <c r="G83" s="1">
        <v>1491920.64</v>
      </c>
      <c r="H83" s="1">
        <v>1491920.64</v>
      </c>
      <c r="I83" s="1">
        <v>317033.15000000002</v>
      </c>
      <c r="J83" s="1">
        <f t="shared" si="5"/>
        <v>39784.5504</v>
      </c>
      <c r="K83" s="1">
        <v>354331.16000000003</v>
      </c>
      <c r="N83" s="35">
        <f t="shared" si="3"/>
        <v>1137589.48</v>
      </c>
      <c r="O83" s="35">
        <f t="shared" si="4"/>
        <v>1097804.9295999999</v>
      </c>
    </row>
    <row r="84" spans="1:15" hidden="1" x14ac:dyDescent="0.4">
      <c r="A84">
        <v>97</v>
      </c>
      <c r="B84" t="s">
        <v>2959</v>
      </c>
      <c r="C84" s="131">
        <v>43556</v>
      </c>
      <c r="D84" t="s">
        <v>2987</v>
      </c>
      <c r="E84" t="s">
        <v>645</v>
      </c>
      <c r="F84">
        <v>37.5</v>
      </c>
      <c r="G84" s="1">
        <v>4026269.18</v>
      </c>
      <c r="H84" s="1">
        <v>4026269.18</v>
      </c>
      <c r="I84" s="1">
        <v>452955.32</v>
      </c>
      <c r="J84" s="1">
        <f t="shared" si="5"/>
        <v>107367.17813333333</v>
      </c>
      <c r="K84" s="1">
        <v>553612.03</v>
      </c>
      <c r="N84" s="35">
        <f t="shared" si="3"/>
        <v>3472657.1500000004</v>
      </c>
      <c r="O84" s="35">
        <f t="shared" si="4"/>
        <v>3365289.9718666673</v>
      </c>
    </row>
    <row r="85" spans="1:15" hidden="1" x14ac:dyDescent="0.4">
      <c r="A85">
        <v>98</v>
      </c>
      <c r="B85" t="s">
        <v>2959</v>
      </c>
      <c r="C85" s="131">
        <v>43865</v>
      </c>
      <c r="D85" t="s">
        <v>2988</v>
      </c>
      <c r="E85" t="s">
        <v>645</v>
      </c>
      <c r="F85">
        <v>37.5</v>
      </c>
      <c r="G85" s="1">
        <v>3045</v>
      </c>
      <c r="H85" s="1">
        <v>3045</v>
      </c>
      <c r="I85" s="1">
        <v>266.44</v>
      </c>
      <c r="J85" s="1">
        <f t="shared" si="5"/>
        <v>81.2</v>
      </c>
      <c r="K85" s="1">
        <v>342.56</v>
      </c>
      <c r="N85" s="35">
        <f t="shared" si="3"/>
        <v>2702.44</v>
      </c>
      <c r="O85" s="35">
        <f t="shared" si="4"/>
        <v>2621.2400000000002</v>
      </c>
    </row>
    <row r="86" spans="1:15" hidden="1" x14ac:dyDescent="0.4">
      <c r="A86">
        <v>99</v>
      </c>
      <c r="B86" t="s">
        <v>2959</v>
      </c>
      <c r="C86" s="131">
        <v>43971</v>
      </c>
      <c r="D86" t="s">
        <v>2989</v>
      </c>
      <c r="E86" t="s">
        <v>645</v>
      </c>
      <c r="F86">
        <v>37.5</v>
      </c>
      <c r="G86" s="1">
        <v>10589</v>
      </c>
      <c r="H86" s="1">
        <v>10589</v>
      </c>
      <c r="I86" s="1">
        <v>926.54</v>
      </c>
      <c r="J86" s="1">
        <f t="shared" si="5"/>
        <v>282.37333333333333</v>
      </c>
      <c r="K86" s="1">
        <v>1191.26</v>
      </c>
      <c r="N86" s="35">
        <f t="shared" si="3"/>
        <v>9397.74</v>
      </c>
      <c r="O86" s="35">
        <f t="shared" si="4"/>
        <v>9115.3666666666668</v>
      </c>
    </row>
    <row r="87" spans="1:15" hidden="1" x14ac:dyDescent="0.4">
      <c r="A87">
        <v>101</v>
      </c>
      <c r="B87" t="s">
        <v>2959</v>
      </c>
      <c r="C87" s="131">
        <v>44105</v>
      </c>
      <c r="D87" t="s">
        <v>2990</v>
      </c>
      <c r="E87" t="s">
        <v>645</v>
      </c>
      <c r="F87">
        <v>37.5</v>
      </c>
      <c r="G87" s="1">
        <v>3615</v>
      </c>
      <c r="H87" s="1">
        <v>3615</v>
      </c>
      <c r="I87" s="1">
        <v>316.31</v>
      </c>
      <c r="J87" s="1">
        <f t="shared" si="5"/>
        <v>96.4</v>
      </c>
      <c r="K87" s="1">
        <v>406.69</v>
      </c>
      <c r="N87" s="35">
        <f t="shared" si="3"/>
        <v>3208.31</v>
      </c>
      <c r="O87" s="35">
        <f t="shared" si="4"/>
        <v>3111.91</v>
      </c>
    </row>
    <row r="88" spans="1:15" hidden="1" x14ac:dyDescent="0.4">
      <c r="A88">
        <v>102</v>
      </c>
      <c r="B88" t="s">
        <v>2959</v>
      </c>
      <c r="C88" s="131">
        <v>44194</v>
      </c>
      <c r="D88" t="s">
        <v>2991</v>
      </c>
      <c r="E88" t="s">
        <v>645</v>
      </c>
      <c r="F88">
        <v>37.5</v>
      </c>
      <c r="G88" s="1">
        <v>7293.33</v>
      </c>
      <c r="H88" s="1">
        <v>7293.33</v>
      </c>
      <c r="I88" s="1">
        <v>1701.77</v>
      </c>
      <c r="J88" s="1">
        <f t="shared" si="5"/>
        <v>194.4888</v>
      </c>
      <c r="K88" s="1">
        <v>2187.9899999999998</v>
      </c>
      <c r="N88" s="35">
        <f t="shared" si="3"/>
        <v>5105.34</v>
      </c>
      <c r="O88" s="35">
        <f t="shared" si="4"/>
        <v>4910.8512000000001</v>
      </c>
    </row>
    <row r="89" spans="1:15" hidden="1" x14ac:dyDescent="0.4">
      <c r="A89">
        <v>103</v>
      </c>
      <c r="B89" t="s">
        <v>2959</v>
      </c>
      <c r="C89" s="131">
        <v>44180</v>
      </c>
      <c r="D89" t="s">
        <v>2992</v>
      </c>
      <c r="E89" t="s">
        <v>645</v>
      </c>
      <c r="F89">
        <v>37.5</v>
      </c>
      <c r="G89" s="1">
        <v>36131.129999999997</v>
      </c>
      <c r="H89" s="1">
        <v>36131.129999999997</v>
      </c>
      <c r="I89" s="1">
        <v>3161.48</v>
      </c>
      <c r="J89" s="1">
        <f t="shared" si="5"/>
        <v>963.49679999999989</v>
      </c>
      <c r="K89" s="1">
        <v>4064.76</v>
      </c>
      <c r="N89" s="35">
        <f t="shared" si="3"/>
        <v>32066.369999999995</v>
      </c>
      <c r="O89" s="35">
        <f t="shared" si="4"/>
        <v>31102.873199999995</v>
      </c>
    </row>
    <row r="90" spans="1:15" hidden="1" x14ac:dyDescent="0.4">
      <c r="A90">
        <v>104</v>
      </c>
      <c r="B90" t="s">
        <v>2959</v>
      </c>
      <c r="C90" s="131">
        <v>44488</v>
      </c>
      <c r="D90" t="s">
        <v>2993</v>
      </c>
      <c r="E90" t="s">
        <v>645</v>
      </c>
      <c r="F90">
        <v>20</v>
      </c>
      <c r="G90" s="1">
        <v>9347.4599999999991</v>
      </c>
      <c r="H90" s="1">
        <v>9347.4599999999991</v>
      </c>
      <c r="I90" s="1">
        <v>2336.87</v>
      </c>
      <c r="J90" s="1">
        <f t="shared" si="5"/>
        <v>467.37299999999993</v>
      </c>
      <c r="K90" s="1">
        <v>3271.62</v>
      </c>
      <c r="N90" s="35">
        <f t="shared" si="3"/>
        <v>6075.8399999999992</v>
      </c>
      <c r="O90" s="35">
        <f t="shared" si="4"/>
        <v>5608.4669999999996</v>
      </c>
    </row>
    <row r="91" spans="1:15" hidden="1" x14ac:dyDescent="0.4">
      <c r="A91">
        <v>105</v>
      </c>
      <c r="B91" t="s">
        <v>2959</v>
      </c>
      <c r="C91" s="131">
        <v>44377</v>
      </c>
      <c r="D91" t="s">
        <v>2994</v>
      </c>
      <c r="E91" t="s">
        <v>2905</v>
      </c>
      <c r="F91">
        <v>0</v>
      </c>
      <c r="G91" s="1">
        <v>325000</v>
      </c>
      <c r="H91" s="1">
        <v>325000</v>
      </c>
      <c r="I91" s="1">
        <v>0</v>
      </c>
      <c r="J91" s="1"/>
      <c r="K91" s="1">
        <v>0</v>
      </c>
      <c r="N91" s="35">
        <f t="shared" si="3"/>
        <v>325000</v>
      </c>
      <c r="O91" s="35">
        <f t="shared" si="4"/>
        <v>325000</v>
      </c>
    </row>
    <row r="92" spans="1:15" hidden="1" x14ac:dyDescent="0.4">
      <c r="A92">
        <v>106</v>
      </c>
      <c r="B92" t="s">
        <v>2959</v>
      </c>
      <c r="C92" s="131">
        <v>44377</v>
      </c>
      <c r="D92" t="s">
        <v>2995</v>
      </c>
      <c r="E92" t="s">
        <v>645</v>
      </c>
      <c r="F92">
        <v>37.5</v>
      </c>
      <c r="G92" s="1">
        <v>8225414.5599999996</v>
      </c>
      <c r="H92" s="1">
        <v>8225414.5599999996</v>
      </c>
      <c r="I92" s="1">
        <v>514088.47</v>
      </c>
      <c r="J92" s="1">
        <f t="shared" si="5"/>
        <v>219344.38826666665</v>
      </c>
      <c r="K92" s="1">
        <v>719723.86</v>
      </c>
      <c r="N92" s="35">
        <f t="shared" si="3"/>
        <v>7505690.6999999993</v>
      </c>
      <c r="O92" s="35">
        <f t="shared" si="4"/>
        <v>7286346.3117333325</v>
      </c>
    </row>
    <row r="93" spans="1:15" hidden="1" x14ac:dyDescent="0.4">
      <c r="A93">
        <v>107</v>
      </c>
      <c r="B93" t="s">
        <v>2959</v>
      </c>
      <c r="C93" s="131">
        <v>44352</v>
      </c>
      <c r="D93" t="s">
        <v>2996</v>
      </c>
      <c r="E93" t="s">
        <v>645</v>
      </c>
      <c r="F93">
        <v>37.5</v>
      </c>
      <c r="G93" s="1">
        <v>11300</v>
      </c>
      <c r="H93" s="1">
        <v>11300</v>
      </c>
      <c r="I93" s="1">
        <v>4035.72</v>
      </c>
      <c r="J93" s="1">
        <f t="shared" si="5"/>
        <v>301.33333333333331</v>
      </c>
      <c r="K93" s="1">
        <v>5650</v>
      </c>
      <c r="N93" s="35">
        <f t="shared" si="3"/>
        <v>5650</v>
      </c>
      <c r="O93" s="35">
        <f t="shared" si="4"/>
        <v>5348.666666666667</v>
      </c>
    </row>
    <row r="94" spans="1:15" hidden="1" x14ac:dyDescent="0.4">
      <c r="A94">
        <v>108</v>
      </c>
      <c r="B94" t="s">
        <v>2959</v>
      </c>
      <c r="C94" s="131">
        <v>44439</v>
      </c>
      <c r="D94" t="s">
        <v>2997</v>
      </c>
      <c r="E94" t="s">
        <v>645</v>
      </c>
      <c r="F94">
        <v>37.5</v>
      </c>
      <c r="G94" s="1">
        <v>43000</v>
      </c>
      <c r="H94" s="1">
        <v>43000</v>
      </c>
      <c r="I94" s="1">
        <v>2687.5</v>
      </c>
      <c r="J94" s="1">
        <f t="shared" si="5"/>
        <v>1146.6666666666667</v>
      </c>
      <c r="K94" s="1">
        <v>3762.5</v>
      </c>
      <c r="N94" s="35">
        <f t="shared" si="3"/>
        <v>39237.5</v>
      </c>
      <c r="O94" s="35">
        <f t="shared" si="4"/>
        <v>38090.833333333336</v>
      </c>
    </row>
    <row r="95" spans="1:15" hidden="1" x14ac:dyDescent="0.4">
      <c r="A95">
        <v>110</v>
      </c>
      <c r="B95" t="s">
        <v>2959</v>
      </c>
      <c r="C95" s="131">
        <v>44892</v>
      </c>
      <c r="D95" t="s">
        <v>2999</v>
      </c>
      <c r="E95" t="s">
        <v>2905</v>
      </c>
      <c r="F95">
        <v>0</v>
      </c>
      <c r="G95" s="1">
        <v>36900</v>
      </c>
      <c r="H95" s="1">
        <v>36900</v>
      </c>
      <c r="I95" s="1">
        <v>0</v>
      </c>
      <c r="J95" s="1"/>
      <c r="K95" s="1">
        <v>0</v>
      </c>
      <c r="N95" s="35">
        <f t="shared" si="3"/>
        <v>36900</v>
      </c>
      <c r="O95" s="35">
        <f t="shared" si="4"/>
        <v>36900</v>
      </c>
    </row>
    <row r="96" spans="1:15" hidden="1" x14ac:dyDescent="0.4">
      <c r="A96">
        <v>113</v>
      </c>
      <c r="B96" t="s">
        <v>2959</v>
      </c>
      <c r="C96" s="131">
        <v>45433</v>
      </c>
      <c r="D96" t="s">
        <v>3001</v>
      </c>
      <c r="E96" t="s">
        <v>645</v>
      </c>
      <c r="F96">
        <v>37.5</v>
      </c>
      <c r="G96" s="1">
        <v>27146</v>
      </c>
      <c r="H96" s="1">
        <v>27146</v>
      </c>
      <c r="I96" s="1">
        <v>0</v>
      </c>
      <c r="J96" s="1">
        <f t="shared" si="5"/>
        <v>723.89333333333332</v>
      </c>
      <c r="K96" s="1">
        <v>1357.3</v>
      </c>
      <c r="L96" s="35">
        <f>SUM(J60:J96)</f>
        <v>447337.5164666666</v>
      </c>
      <c r="N96" s="35">
        <f t="shared" si="3"/>
        <v>25788.7</v>
      </c>
      <c r="O96" s="35">
        <f t="shared" si="4"/>
        <v>25064.806666666667</v>
      </c>
    </row>
    <row r="97" spans="1:15" x14ac:dyDescent="0.4">
      <c r="C97" s="131"/>
      <c r="G97" s="1"/>
      <c r="H97" s="1"/>
      <c r="I97" s="1"/>
      <c r="J97" s="1"/>
      <c r="K97" s="1"/>
      <c r="L97" s="35"/>
      <c r="N97" s="35"/>
      <c r="O97" s="35"/>
    </row>
    <row r="98" spans="1:15" x14ac:dyDescent="0.4">
      <c r="D98" s="131" t="s">
        <v>3248</v>
      </c>
      <c r="G98" s="1">
        <f>SUM(G60:G97)</f>
        <v>18443886.760000002</v>
      </c>
      <c r="H98" s="1"/>
      <c r="I98" s="1"/>
      <c r="J98" s="1">
        <f>SUM(J75:J97)</f>
        <v>447337.5164666666</v>
      </c>
      <c r="K98" s="1"/>
      <c r="L98" s="35"/>
      <c r="N98" s="35"/>
      <c r="O98" s="35"/>
    </row>
    <row r="99" spans="1:15" x14ac:dyDescent="0.4">
      <c r="C99" s="131"/>
      <c r="G99" s="1"/>
      <c r="H99" s="1"/>
      <c r="I99" s="1"/>
      <c r="J99" s="1"/>
      <c r="K99" s="1"/>
      <c r="L99" s="35"/>
      <c r="N99" s="35"/>
      <c r="O99" s="35"/>
    </row>
    <row r="100" spans="1:15" x14ac:dyDescent="0.4">
      <c r="C100" s="131"/>
      <c r="G100" s="1"/>
      <c r="H100" s="1"/>
      <c r="I100" s="1"/>
      <c r="J100" s="1"/>
      <c r="K100" s="1"/>
      <c r="L100" s="35"/>
      <c r="N100" s="35"/>
      <c r="O100" s="35"/>
    </row>
    <row r="101" spans="1:15" x14ac:dyDescent="0.4">
      <c r="C101" s="131"/>
      <c r="G101" s="1"/>
      <c r="H101" s="1"/>
      <c r="I101" s="1"/>
      <c r="J101" s="1"/>
      <c r="K101" s="1"/>
      <c r="L101" s="35"/>
      <c r="N101" s="35"/>
      <c r="O101" s="35"/>
    </row>
    <row r="102" spans="1:15" x14ac:dyDescent="0.4">
      <c r="C102" s="131"/>
      <c r="G102" s="1"/>
      <c r="H102" s="1"/>
      <c r="I102" s="1"/>
      <c r="J102" s="1"/>
      <c r="K102" s="1"/>
      <c r="L102" s="35"/>
      <c r="N102" s="35"/>
      <c r="O102" s="35"/>
    </row>
    <row r="103" spans="1:15" x14ac:dyDescent="0.4">
      <c r="C103" s="131"/>
      <c r="G103" s="1"/>
      <c r="H103" s="1"/>
      <c r="I103" s="1"/>
      <c r="J103" s="1"/>
      <c r="K103" s="1"/>
      <c r="L103" s="35"/>
      <c r="N103" s="35"/>
      <c r="O103" s="35"/>
    </row>
    <row r="104" spans="1:15" x14ac:dyDescent="0.4">
      <c r="C104" s="131"/>
      <c r="G104" s="1"/>
      <c r="H104" s="1"/>
      <c r="I104" s="1"/>
      <c r="J104" s="1"/>
      <c r="K104" s="1"/>
      <c r="L104" s="35"/>
      <c r="N104" s="35"/>
      <c r="O104" s="35"/>
    </row>
    <row r="105" spans="1:15" x14ac:dyDescent="0.4">
      <c r="A105">
        <v>56</v>
      </c>
      <c r="B105" t="s">
        <v>2953</v>
      </c>
      <c r="C105" s="131">
        <v>40332</v>
      </c>
      <c r="D105" t="s">
        <v>2954</v>
      </c>
      <c r="E105" t="s">
        <v>645</v>
      </c>
      <c r="F105">
        <v>5</v>
      </c>
      <c r="G105" s="1">
        <v>26000</v>
      </c>
      <c r="H105" s="1">
        <v>26000</v>
      </c>
      <c r="I105" s="1">
        <v>26000</v>
      </c>
      <c r="J105" s="1"/>
      <c r="K105" s="1">
        <v>26000</v>
      </c>
      <c r="N105" s="35">
        <f t="shared" ref="N105:N120" si="6">G105-K105</f>
        <v>0</v>
      </c>
      <c r="O105" s="35">
        <f t="shared" ref="O105:O120" si="7">N105-J105</f>
        <v>0</v>
      </c>
    </row>
    <row r="106" spans="1:15" x14ac:dyDescent="0.4">
      <c r="A106">
        <v>57</v>
      </c>
      <c r="B106" t="s">
        <v>2953</v>
      </c>
      <c r="C106" s="131">
        <v>43542</v>
      </c>
      <c r="D106" t="s">
        <v>2955</v>
      </c>
      <c r="E106" t="s">
        <v>645</v>
      </c>
      <c r="F106">
        <v>20</v>
      </c>
      <c r="G106" s="1">
        <v>6298.77</v>
      </c>
      <c r="H106" s="1">
        <v>6298.77</v>
      </c>
      <c r="I106" s="1">
        <v>708.61</v>
      </c>
      <c r="J106" s="1">
        <f t="shared" ref="J106:J114" si="8">G106/F106</f>
        <v>314.93850000000003</v>
      </c>
      <c r="K106" s="1">
        <v>866.08</v>
      </c>
      <c r="N106" s="35">
        <f t="shared" si="6"/>
        <v>5432.6900000000005</v>
      </c>
      <c r="O106" s="35">
        <f t="shared" si="7"/>
        <v>5117.7515000000003</v>
      </c>
    </row>
    <row r="107" spans="1:15" x14ac:dyDescent="0.4">
      <c r="A107">
        <v>59</v>
      </c>
      <c r="B107" t="s">
        <v>2953</v>
      </c>
      <c r="C107" s="131">
        <v>43587</v>
      </c>
      <c r="D107" t="s">
        <v>2956</v>
      </c>
      <c r="E107" t="s">
        <v>645</v>
      </c>
      <c r="F107">
        <v>20</v>
      </c>
      <c r="G107" s="1">
        <v>1600</v>
      </c>
      <c r="H107" s="1">
        <v>1600</v>
      </c>
      <c r="I107" s="1">
        <v>720</v>
      </c>
      <c r="J107" s="1">
        <f t="shared" si="8"/>
        <v>80</v>
      </c>
      <c r="K107" s="1">
        <v>880</v>
      </c>
      <c r="N107" s="35">
        <f t="shared" si="6"/>
        <v>720</v>
      </c>
      <c r="O107" s="35">
        <f t="shared" si="7"/>
        <v>640</v>
      </c>
    </row>
    <row r="108" spans="1:15" x14ac:dyDescent="0.4">
      <c r="A108">
        <v>60</v>
      </c>
      <c r="B108" t="s">
        <v>2953</v>
      </c>
      <c r="C108" s="131">
        <v>43708</v>
      </c>
      <c r="D108" t="s">
        <v>2957</v>
      </c>
      <c r="E108" t="s">
        <v>645</v>
      </c>
      <c r="F108">
        <v>20</v>
      </c>
      <c r="G108" s="1">
        <v>14459.76</v>
      </c>
      <c r="H108" s="1">
        <v>14459.76</v>
      </c>
      <c r="I108" s="1">
        <v>6506.9</v>
      </c>
      <c r="J108" s="1">
        <f t="shared" si="8"/>
        <v>722.98800000000006</v>
      </c>
      <c r="K108" s="1">
        <v>7952.87</v>
      </c>
      <c r="N108" s="35">
        <f t="shared" si="6"/>
        <v>6506.89</v>
      </c>
      <c r="O108" s="35">
        <f t="shared" si="7"/>
        <v>5783.902</v>
      </c>
    </row>
    <row r="109" spans="1:15" x14ac:dyDescent="0.4">
      <c r="A109">
        <v>61</v>
      </c>
      <c r="B109" t="s">
        <v>2953</v>
      </c>
      <c r="C109" s="131">
        <v>44892</v>
      </c>
      <c r="D109" t="s">
        <v>2958</v>
      </c>
      <c r="E109" t="s">
        <v>645</v>
      </c>
      <c r="F109">
        <v>20</v>
      </c>
      <c r="G109" s="1">
        <v>80000</v>
      </c>
      <c r="H109" s="1">
        <v>80000</v>
      </c>
      <c r="I109" s="1">
        <v>12000</v>
      </c>
      <c r="J109" s="1">
        <f t="shared" si="8"/>
        <v>4000</v>
      </c>
      <c r="K109" s="1">
        <v>20000</v>
      </c>
      <c r="L109" s="35">
        <f>SUM(J105:J109)</f>
        <v>5117.9264999999996</v>
      </c>
      <c r="N109" s="35">
        <f t="shared" si="6"/>
        <v>60000</v>
      </c>
      <c r="O109" s="35">
        <f t="shared" si="7"/>
        <v>56000</v>
      </c>
    </row>
    <row r="110" spans="1:15" x14ac:dyDescent="0.4">
      <c r="A110">
        <v>111</v>
      </c>
      <c r="B110" t="s">
        <v>2959</v>
      </c>
      <c r="C110" s="131">
        <v>44927</v>
      </c>
      <c r="D110" t="s">
        <v>3000</v>
      </c>
      <c r="E110" t="s">
        <v>645</v>
      </c>
      <c r="F110">
        <v>20</v>
      </c>
      <c r="G110" s="1">
        <v>65250</v>
      </c>
      <c r="H110" s="1">
        <v>65250</v>
      </c>
      <c r="I110" s="1">
        <v>815.63</v>
      </c>
      <c r="J110" s="1">
        <f t="shared" si="8"/>
        <v>3262.5</v>
      </c>
      <c r="K110" s="1">
        <v>2446.88</v>
      </c>
      <c r="N110" s="35">
        <f t="shared" si="6"/>
        <v>62803.12</v>
      </c>
      <c r="O110" s="35">
        <f t="shared" si="7"/>
        <v>59540.62</v>
      </c>
    </row>
    <row r="111" spans="1:15" x14ac:dyDescent="0.4">
      <c r="A111">
        <v>109</v>
      </c>
      <c r="B111" t="s">
        <v>2959</v>
      </c>
      <c r="C111" s="131">
        <v>44892</v>
      </c>
      <c r="D111" t="s">
        <v>2998</v>
      </c>
      <c r="E111" t="s">
        <v>645</v>
      </c>
      <c r="F111">
        <v>20</v>
      </c>
      <c r="G111" s="1">
        <v>361000</v>
      </c>
      <c r="H111" s="1">
        <v>361000</v>
      </c>
      <c r="I111" s="1">
        <v>13537.5</v>
      </c>
      <c r="J111" s="1">
        <f t="shared" si="8"/>
        <v>18050</v>
      </c>
      <c r="K111" s="1">
        <v>22562.5</v>
      </c>
      <c r="N111" s="35">
        <f t="shared" si="6"/>
        <v>338437.5</v>
      </c>
      <c r="O111" s="35">
        <f t="shared" si="7"/>
        <v>320387.5</v>
      </c>
    </row>
    <row r="112" spans="1:15" x14ac:dyDescent="0.4">
      <c r="A112">
        <v>96</v>
      </c>
      <c r="B112" t="s">
        <v>2959</v>
      </c>
      <c r="C112" s="131">
        <v>43379</v>
      </c>
      <c r="D112" t="s">
        <v>2986</v>
      </c>
      <c r="E112" t="s">
        <v>645</v>
      </c>
      <c r="F112">
        <v>20</v>
      </c>
      <c r="G112" s="1">
        <v>9333.09</v>
      </c>
      <c r="H112" s="1">
        <v>9333.09</v>
      </c>
      <c r="I112" s="1">
        <v>1283.31</v>
      </c>
      <c r="J112" s="1">
        <f t="shared" si="8"/>
        <v>466.65449999999998</v>
      </c>
      <c r="K112" s="1">
        <v>1516.6399999999999</v>
      </c>
      <c r="N112" s="35">
        <f t="shared" si="6"/>
        <v>7816.4500000000007</v>
      </c>
      <c r="O112" s="35">
        <f t="shared" si="7"/>
        <v>7349.7955000000011</v>
      </c>
    </row>
    <row r="113" spans="1:15" x14ac:dyDescent="0.4">
      <c r="A113">
        <v>92</v>
      </c>
      <c r="B113" t="s">
        <v>2959</v>
      </c>
      <c r="C113" s="131">
        <v>42185</v>
      </c>
      <c r="D113" t="s">
        <v>2982</v>
      </c>
      <c r="E113" t="s">
        <v>645</v>
      </c>
      <c r="F113">
        <v>20</v>
      </c>
      <c r="G113" s="1">
        <v>7379.79</v>
      </c>
      <c r="H113" s="1">
        <v>7379.79</v>
      </c>
      <c r="I113" s="1">
        <v>1568.17</v>
      </c>
      <c r="J113" s="1">
        <f t="shared" si="8"/>
        <v>368.98950000000002</v>
      </c>
      <c r="K113" s="1">
        <v>1752.66</v>
      </c>
      <c r="N113" s="35">
        <f t="shared" si="6"/>
        <v>5627.13</v>
      </c>
      <c r="O113" s="35">
        <f t="shared" si="7"/>
        <v>5258.1405000000004</v>
      </c>
    </row>
    <row r="114" spans="1:15" x14ac:dyDescent="0.4">
      <c r="A114">
        <v>83</v>
      </c>
      <c r="B114" t="s">
        <v>2959</v>
      </c>
      <c r="C114" s="131">
        <v>41030</v>
      </c>
      <c r="D114" t="s">
        <v>2973</v>
      </c>
      <c r="E114" t="s">
        <v>645</v>
      </c>
      <c r="F114">
        <v>20</v>
      </c>
      <c r="G114" s="1">
        <v>70000</v>
      </c>
      <c r="H114" s="1">
        <v>70000</v>
      </c>
      <c r="I114" s="1">
        <v>20125</v>
      </c>
      <c r="J114" s="1">
        <f t="shared" si="8"/>
        <v>3500</v>
      </c>
      <c r="K114" s="1">
        <v>21875</v>
      </c>
      <c r="N114" s="35">
        <f t="shared" si="6"/>
        <v>48125</v>
      </c>
      <c r="O114" s="35">
        <f t="shared" si="7"/>
        <v>44625</v>
      </c>
    </row>
    <row r="115" spans="1:15" x14ac:dyDescent="0.4">
      <c r="A115">
        <v>84</v>
      </c>
      <c r="B115" t="s">
        <v>2959</v>
      </c>
      <c r="C115" s="131">
        <v>41423</v>
      </c>
      <c r="D115" t="s">
        <v>2974</v>
      </c>
      <c r="E115" t="s">
        <v>645</v>
      </c>
      <c r="F115">
        <v>20</v>
      </c>
      <c r="G115" s="1">
        <v>1420</v>
      </c>
      <c r="H115" s="1">
        <v>1420</v>
      </c>
      <c r="I115" s="1">
        <v>1420</v>
      </c>
      <c r="J115" s="1"/>
      <c r="K115" s="1">
        <v>1420</v>
      </c>
      <c r="N115" s="35">
        <f t="shared" si="6"/>
        <v>0</v>
      </c>
      <c r="O115" s="35">
        <f t="shared" si="7"/>
        <v>0</v>
      </c>
    </row>
    <row r="116" spans="1:15" x14ac:dyDescent="0.4">
      <c r="A116">
        <v>85</v>
      </c>
      <c r="B116" t="s">
        <v>2959</v>
      </c>
      <c r="C116" s="131">
        <v>41358</v>
      </c>
      <c r="D116" t="s">
        <v>2975</v>
      </c>
      <c r="E116" t="s">
        <v>645</v>
      </c>
      <c r="F116">
        <v>20</v>
      </c>
      <c r="G116" s="1">
        <v>158250</v>
      </c>
      <c r="H116" s="1">
        <v>158250</v>
      </c>
      <c r="I116" s="1">
        <v>41540.629999999997</v>
      </c>
      <c r="J116" s="1">
        <f>G116/F116</f>
        <v>7912.5</v>
      </c>
      <c r="K116" s="1">
        <v>45496.88</v>
      </c>
      <c r="N116" s="35">
        <f t="shared" si="6"/>
        <v>112753.12</v>
      </c>
      <c r="O116" s="35">
        <f t="shared" si="7"/>
        <v>104840.62</v>
      </c>
    </row>
    <row r="117" spans="1:15" x14ac:dyDescent="0.4">
      <c r="A117">
        <v>86</v>
      </c>
      <c r="B117" t="s">
        <v>2959</v>
      </c>
      <c r="C117" s="131">
        <v>41334</v>
      </c>
      <c r="D117" t="s">
        <v>2976</v>
      </c>
      <c r="E117" t="s">
        <v>645</v>
      </c>
      <c r="F117">
        <v>20</v>
      </c>
      <c r="G117" s="1">
        <v>41000</v>
      </c>
      <c r="H117" s="1">
        <v>41000</v>
      </c>
      <c r="I117" s="1">
        <v>10762.5</v>
      </c>
      <c r="J117" s="1">
        <f>G117/F117</f>
        <v>2050</v>
      </c>
      <c r="K117" s="1">
        <v>11787.5</v>
      </c>
      <c r="N117" s="35">
        <f t="shared" si="6"/>
        <v>29212.5</v>
      </c>
      <c r="O117" s="35">
        <f t="shared" si="7"/>
        <v>27162.5</v>
      </c>
    </row>
    <row r="118" spans="1:15" x14ac:dyDescent="0.4">
      <c r="A118">
        <v>87</v>
      </c>
      <c r="B118" t="s">
        <v>2959</v>
      </c>
      <c r="C118" s="131">
        <v>41334</v>
      </c>
      <c r="D118" t="s">
        <v>2977</v>
      </c>
      <c r="E118" t="s">
        <v>645</v>
      </c>
      <c r="F118">
        <v>20</v>
      </c>
      <c r="G118" s="1">
        <v>29000</v>
      </c>
      <c r="H118" s="1">
        <v>29000</v>
      </c>
      <c r="I118" s="1">
        <v>7612.5</v>
      </c>
      <c r="J118" s="1">
        <f>G118/F118</f>
        <v>1450</v>
      </c>
      <c r="K118" s="1">
        <v>8337.5</v>
      </c>
      <c r="N118" s="35">
        <f t="shared" si="6"/>
        <v>20662.5</v>
      </c>
      <c r="O118" s="35">
        <f t="shared" si="7"/>
        <v>19212.5</v>
      </c>
    </row>
    <row r="119" spans="1:15" x14ac:dyDescent="0.4">
      <c r="A119">
        <v>88</v>
      </c>
      <c r="B119" t="s">
        <v>2959</v>
      </c>
      <c r="C119" s="131">
        <v>41334</v>
      </c>
      <c r="D119" t="s">
        <v>2978</v>
      </c>
      <c r="E119" t="s">
        <v>645</v>
      </c>
      <c r="F119">
        <v>20</v>
      </c>
      <c r="G119" s="1">
        <v>29947</v>
      </c>
      <c r="H119" s="1">
        <v>29947</v>
      </c>
      <c r="I119" s="1">
        <v>7861.09</v>
      </c>
      <c r="J119" s="1">
        <f>G119/F119</f>
        <v>1497.35</v>
      </c>
      <c r="K119" s="1">
        <v>8609.77</v>
      </c>
      <c r="N119" s="35">
        <f t="shared" si="6"/>
        <v>21337.23</v>
      </c>
      <c r="O119" s="35">
        <f t="shared" si="7"/>
        <v>19839.88</v>
      </c>
    </row>
    <row r="120" spans="1:15" x14ac:dyDescent="0.4">
      <c r="A120">
        <v>89</v>
      </c>
      <c r="B120" t="s">
        <v>2959</v>
      </c>
      <c r="C120" s="131">
        <v>41821</v>
      </c>
      <c r="D120" t="s">
        <v>2979</v>
      </c>
      <c r="E120" t="s">
        <v>645</v>
      </c>
      <c r="F120">
        <v>20</v>
      </c>
      <c r="G120" s="1">
        <v>79909.5</v>
      </c>
      <c r="H120" s="1">
        <v>79909.5</v>
      </c>
      <c r="I120" s="1">
        <v>18978.53</v>
      </c>
      <c r="J120" s="1">
        <f>G120/F120</f>
        <v>3995.4749999999999</v>
      </c>
      <c r="K120" s="1">
        <v>20976.27</v>
      </c>
      <c r="N120" s="35">
        <f t="shared" si="6"/>
        <v>58933.229999999996</v>
      </c>
      <c r="O120" s="35">
        <f t="shared" si="7"/>
        <v>54937.754999999997</v>
      </c>
    </row>
    <row r="121" spans="1:15" x14ac:dyDescent="0.4">
      <c r="C121" s="131"/>
      <c r="G121" s="1"/>
      <c r="H121" s="1"/>
      <c r="I121" s="1"/>
      <c r="J121" s="1"/>
      <c r="K121" s="1"/>
      <c r="N121" s="35"/>
      <c r="O121" s="35"/>
    </row>
    <row r="122" spans="1:15" x14ac:dyDescent="0.4">
      <c r="C122" s="131"/>
      <c r="D122" t="s">
        <v>3249</v>
      </c>
      <c r="G122" s="1">
        <f>SUM(G105:G121)</f>
        <v>980847.91</v>
      </c>
      <c r="H122" s="1"/>
      <c r="I122" s="1"/>
      <c r="J122" s="1">
        <f>SUM(J105:J121)</f>
        <v>47671.395499999999</v>
      </c>
      <c r="K122" s="1"/>
      <c r="N122" s="35"/>
      <c r="O122" s="35"/>
    </row>
    <row r="123" spans="1:15" x14ac:dyDescent="0.4">
      <c r="C123" s="131"/>
      <c r="G123" s="1"/>
      <c r="H123" s="1"/>
      <c r="I123" s="1"/>
      <c r="J123" s="1"/>
      <c r="K123" s="1"/>
      <c r="N123" s="35"/>
      <c r="O123" s="35"/>
    </row>
    <row r="124" spans="1:15" x14ac:dyDescent="0.4">
      <c r="C124" s="131"/>
      <c r="G124" s="1"/>
      <c r="H124" s="1"/>
      <c r="I124" s="1"/>
      <c r="J124" s="1"/>
      <c r="K124" s="1"/>
      <c r="N124" s="35"/>
      <c r="O124" s="35"/>
    </row>
    <row r="125" spans="1:15" x14ac:dyDescent="0.4">
      <c r="C125" s="131"/>
      <c r="G125" s="1"/>
      <c r="H125" s="1"/>
      <c r="I125" s="1"/>
      <c r="J125" s="1"/>
      <c r="K125" s="1"/>
      <c r="N125" s="35"/>
      <c r="O125" s="35"/>
    </row>
    <row r="126" spans="1:15" x14ac:dyDescent="0.4">
      <c r="C126" s="131"/>
      <c r="G126" s="1"/>
      <c r="H126" s="1"/>
      <c r="I126" s="1"/>
      <c r="J126" s="1"/>
      <c r="K126" s="1"/>
      <c r="N126" s="35"/>
      <c r="O126" s="35"/>
    </row>
    <row r="127" spans="1:15" x14ac:dyDescent="0.4">
      <c r="C127" s="131"/>
      <c r="G127" s="1"/>
      <c r="H127" s="1"/>
      <c r="I127" s="1"/>
      <c r="J127" s="1"/>
      <c r="K127" s="1"/>
      <c r="L127" s="35"/>
      <c r="N127" s="35"/>
      <c r="O127" s="35"/>
    </row>
    <row r="128" spans="1:15" x14ac:dyDescent="0.4">
      <c r="A128">
        <v>17</v>
      </c>
      <c r="B128" t="s">
        <v>2912</v>
      </c>
      <c r="C128" s="131">
        <v>39462</v>
      </c>
      <c r="D128" t="s">
        <v>2923</v>
      </c>
      <c r="E128" t="s">
        <v>645</v>
      </c>
      <c r="F128">
        <v>10</v>
      </c>
      <c r="G128" s="1">
        <v>976107.85</v>
      </c>
      <c r="H128" s="1">
        <v>976107.85</v>
      </c>
      <c r="I128" s="1">
        <v>976107.85</v>
      </c>
      <c r="J128" s="1"/>
      <c r="K128" s="1">
        <v>976107.85</v>
      </c>
      <c r="N128" s="35">
        <f t="shared" ref="N128:N145" si="9">G128-K128</f>
        <v>0</v>
      </c>
      <c r="O128" s="35">
        <f t="shared" ref="O128:O145" si="10">N128-J128</f>
        <v>0</v>
      </c>
    </row>
    <row r="129" spans="1:15" x14ac:dyDescent="0.4">
      <c r="A129">
        <v>19</v>
      </c>
      <c r="B129" t="s">
        <v>2912</v>
      </c>
      <c r="C129" s="131">
        <v>39462</v>
      </c>
      <c r="D129" t="s">
        <v>2925</v>
      </c>
      <c r="E129" t="s">
        <v>645</v>
      </c>
      <c r="F129">
        <v>10</v>
      </c>
      <c r="G129" s="1">
        <v>1255119.1000000001</v>
      </c>
      <c r="H129" s="1">
        <v>1255119.1000000001</v>
      </c>
      <c r="I129" s="1">
        <v>1255119.1000000001</v>
      </c>
      <c r="J129" s="1"/>
      <c r="K129" s="1">
        <v>1255119.1000000001</v>
      </c>
      <c r="N129" s="35">
        <f t="shared" si="9"/>
        <v>0</v>
      </c>
      <c r="O129" s="35">
        <f t="shared" si="10"/>
        <v>0</v>
      </c>
    </row>
    <row r="130" spans="1:15" x14ac:dyDescent="0.4">
      <c r="A130">
        <v>27</v>
      </c>
      <c r="B130" t="s">
        <v>2912</v>
      </c>
      <c r="C130" s="131">
        <v>41030</v>
      </c>
      <c r="D130" t="s">
        <v>2932</v>
      </c>
      <c r="E130" t="s">
        <v>645</v>
      </c>
      <c r="F130">
        <v>10</v>
      </c>
      <c r="G130" s="1">
        <v>126300</v>
      </c>
      <c r="H130" s="1">
        <v>126300</v>
      </c>
      <c r="I130" s="1">
        <v>126300</v>
      </c>
      <c r="J130" s="1"/>
      <c r="K130" s="1">
        <v>126300</v>
      </c>
      <c r="N130" s="35">
        <f t="shared" si="9"/>
        <v>0</v>
      </c>
      <c r="O130" s="35">
        <f t="shared" si="10"/>
        <v>0</v>
      </c>
    </row>
    <row r="131" spans="1:15" x14ac:dyDescent="0.4">
      <c r="A131">
        <v>30</v>
      </c>
      <c r="B131" t="s">
        <v>2912</v>
      </c>
      <c r="C131" s="131">
        <v>41358</v>
      </c>
      <c r="D131" t="s">
        <v>2935</v>
      </c>
      <c r="E131" t="s">
        <v>645</v>
      </c>
      <c r="F131">
        <v>7</v>
      </c>
      <c r="G131" s="1">
        <v>148800</v>
      </c>
      <c r="H131" s="1">
        <v>148800</v>
      </c>
      <c r="I131" s="1">
        <v>39060</v>
      </c>
      <c r="J131" s="1">
        <f t="shared" ref="J131:J142" si="11">G131/F131</f>
        <v>21257.142857142859</v>
      </c>
      <c r="K131" s="1">
        <v>42780</v>
      </c>
      <c r="N131" s="35">
        <f t="shared" si="9"/>
        <v>106020</v>
      </c>
      <c r="O131" s="35">
        <f t="shared" si="10"/>
        <v>84762.857142857145</v>
      </c>
    </row>
    <row r="132" spans="1:15" x14ac:dyDescent="0.4">
      <c r="A132">
        <v>37</v>
      </c>
      <c r="B132" t="s">
        <v>2912</v>
      </c>
      <c r="C132" s="131">
        <v>41334</v>
      </c>
      <c r="D132" t="s">
        <v>2937</v>
      </c>
      <c r="E132" t="s">
        <v>645</v>
      </c>
      <c r="F132">
        <v>7</v>
      </c>
      <c r="G132" s="1">
        <v>344400</v>
      </c>
      <c r="H132" s="1">
        <v>344400</v>
      </c>
      <c r="I132" s="1">
        <v>90405</v>
      </c>
      <c r="J132" s="1">
        <f t="shared" si="11"/>
        <v>49200</v>
      </c>
      <c r="K132" s="1">
        <v>99015</v>
      </c>
      <c r="N132" s="35">
        <f t="shared" si="9"/>
        <v>245385</v>
      </c>
      <c r="O132" s="35">
        <f t="shared" si="10"/>
        <v>196185</v>
      </c>
    </row>
    <row r="133" spans="1:15" x14ac:dyDescent="0.4">
      <c r="A133">
        <v>38</v>
      </c>
      <c r="B133" t="s">
        <v>2912</v>
      </c>
      <c r="C133" s="131">
        <v>41334</v>
      </c>
      <c r="D133" t="s">
        <v>2938</v>
      </c>
      <c r="E133" t="s">
        <v>645</v>
      </c>
      <c r="F133">
        <v>7</v>
      </c>
      <c r="G133" s="1">
        <v>24000</v>
      </c>
      <c r="H133" s="1">
        <v>24000</v>
      </c>
      <c r="I133" s="1">
        <v>6300</v>
      </c>
      <c r="J133" s="1">
        <f t="shared" si="11"/>
        <v>3428.5714285714284</v>
      </c>
      <c r="K133" s="1">
        <v>6900</v>
      </c>
      <c r="N133" s="35">
        <f t="shared" si="9"/>
        <v>17100</v>
      </c>
      <c r="O133" s="35">
        <f t="shared" si="10"/>
        <v>13671.428571428572</v>
      </c>
    </row>
    <row r="134" spans="1:15" x14ac:dyDescent="0.4">
      <c r="A134">
        <v>44</v>
      </c>
      <c r="B134" t="s">
        <v>2912</v>
      </c>
      <c r="C134" s="131">
        <v>42735</v>
      </c>
      <c r="D134" t="s">
        <v>2944</v>
      </c>
      <c r="E134" t="s">
        <v>645</v>
      </c>
      <c r="F134">
        <v>7</v>
      </c>
      <c r="G134" s="1">
        <v>22559.69</v>
      </c>
      <c r="H134" s="1">
        <v>22559.69</v>
      </c>
      <c r="I134" s="1">
        <v>16919.77</v>
      </c>
      <c r="J134" s="1">
        <f t="shared" si="11"/>
        <v>3222.812857142857</v>
      </c>
      <c r="K134" s="1">
        <v>19175.740000000002</v>
      </c>
      <c r="N134" s="35">
        <f t="shared" si="9"/>
        <v>3383.9499999999971</v>
      </c>
      <c r="O134" s="35">
        <f t="shared" si="10"/>
        <v>161.13714285714013</v>
      </c>
    </row>
    <row r="135" spans="1:15" x14ac:dyDescent="0.4">
      <c r="A135">
        <v>45</v>
      </c>
      <c r="B135" t="s">
        <v>2912</v>
      </c>
      <c r="C135" s="131">
        <v>43465</v>
      </c>
      <c r="D135" t="s">
        <v>2945</v>
      </c>
      <c r="E135" t="s">
        <v>645</v>
      </c>
      <c r="F135">
        <v>7</v>
      </c>
      <c r="G135" s="1">
        <v>299398.88</v>
      </c>
      <c r="H135" s="1">
        <v>299398.88</v>
      </c>
      <c r="I135" s="1">
        <v>41167.339999999997</v>
      </c>
      <c r="J135" s="1">
        <f t="shared" si="11"/>
        <v>42771.268571428569</v>
      </c>
      <c r="K135" s="1">
        <v>48652.31</v>
      </c>
      <c r="N135" s="35">
        <f t="shared" si="9"/>
        <v>250746.57</v>
      </c>
      <c r="O135" s="35">
        <f t="shared" si="10"/>
        <v>207975.30142857143</v>
      </c>
    </row>
    <row r="136" spans="1:15" x14ac:dyDescent="0.4">
      <c r="A136">
        <v>46</v>
      </c>
      <c r="B136" t="s">
        <v>2912</v>
      </c>
      <c r="C136" s="131">
        <v>43405</v>
      </c>
      <c r="D136" t="s">
        <v>2946</v>
      </c>
      <c r="E136" t="s">
        <v>645</v>
      </c>
      <c r="F136">
        <v>7</v>
      </c>
      <c r="G136" s="1">
        <v>56608</v>
      </c>
      <c r="H136" s="1">
        <v>56608</v>
      </c>
      <c r="I136" s="1">
        <v>31134.400000000001</v>
      </c>
      <c r="J136" s="1">
        <f t="shared" si="11"/>
        <v>8086.8571428571431</v>
      </c>
      <c r="K136" s="1">
        <v>36795.200000000004</v>
      </c>
      <c r="N136" s="35">
        <f t="shared" si="9"/>
        <v>19812.799999999996</v>
      </c>
      <c r="O136" s="35">
        <f t="shared" si="10"/>
        <v>11725.942857142853</v>
      </c>
    </row>
    <row r="137" spans="1:15" x14ac:dyDescent="0.4">
      <c r="A137">
        <v>47</v>
      </c>
      <c r="B137" t="s">
        <v>2912</v>
      </c>
      <c r="C137" s="131">
        <v>44643</v>
      </c>
      <c r="D137" t="s">
        <v>2947</v>
      </c>
      <c r="E137" t="s">
        <v>645</v>
      </c>
      <c r="F137">
        <v>7</v>
      </c>
      <c r="G137" s="1">
        <v>28304</v>
      </c>
      <c r="H137" s="1">
        <v>28304</v>
      </c>
      <c r="I137" s="1">
        <v>4245.6000000000004</v>
      </c>
      <c r="J137" s="1">
        <f t="shared" si="11"/>
        <v>4043.4285714285716</v>
      </c>
      <c r="K137" s="1">
        <v>7076</v>
      </c>
      <c r="N137" s="35">
        <f t="shared" si="9"/>
        <v>21228</v>
      </c>
      <c r="O137" s="35">
        <f t="shared" si="10"/>
        <v>17184.571428571428</v>
      </c>
    </row>
    <row r="138" spans="1:15" x14ac:dyDescent="0.4">
      <c r="A138">
        <v>48</v>
      </c>
      <c r="B138" t="s">
        <v>2912</v>
      </c>
      <c r="C138" s="131">
        <v>44742</v>
      </c>
      <c r="D138" t="s">
        <v>2947</v>
      </c>
      <c r="E138" t="s">
        <v>645</v>
      </c>
      <c r="F138">
        <v>7</v>
      </c>
      <c r="G138" s="1">
        <v>26039.8</v>
      </c>
      <c r="H138" s="1">
        <v>26039.8</v>
      </c>
      <c r="I138" s="1">
        <v>3905.97</v>
      </c>
      <c r="J138" s="1">
        <f t="shared" si="11"/>
        <v>3719.9714285714285</v>
      </c>
      <c r="K138" s="1">
        <v>6509.95</v>
      </c>
      <c r="N138" s="35">
        <f t="shared" si="9"/>
        <v>19529.849999999999</v>
      </c>
      <c r="O138" s="35">
        <f t="shared" si="10"/>
        <v>15809.87857142857</v>
      </c>
    </row>
    <row r="139" spans="1:15" x14ac:dyDescent="0.4">
      <c r="A139">
        <v>50</v>
      </c>
      <c r="B139" t="s">
        <v>2912</v>
      </c>
      <c r="C139" s="131">
        <v>44812</v>
      </c>
      <c r="D139" t="s">
        <v>2949</v>
      </c>
      <c r="E139" t="s">
        <v>645</v>
      </c>
      <c r="F139">
        <v>7</v>
      </c>
      <c r="G139" s="1">
        <v>26874.799999999999</v>
      </c>
      <c r="H139" s="1">
        <v>26874.799999999999</v>
      </c>
      <c r="I139" s="1">
        <v>4031.22</v>
      </c>
      <c r="J139" s="1">
        <f t="shared" si="11"/>
        <v>3839.2571428571428</v>
      </c>
      <c r="K139" s="1">
        <v>6718.7</v>
      </c>
      <c r="N139" s="35">
        <f t="shared" si="9"/>
        <v>20156.099999999999</v>
      </c>
      <c r="O139" s="35">
        <f t="shared" si="10"/>
        <v>16316.842857142856</v>
      </c>
    </row>
    <row r="140" spans="1:15" x14ac:dyDescent="0.4">
      <c r="A140">
        <v>51</v>
      </c>
      <c r="B140" t="s">
        <v>2912</v>
      </c>
      <c r="C140" s="131">
        <v>44896</v>
      </c>
      <c r="D140" t="s">
        <v>2950</v>
      </c>
      <c r="E140" t="s">
        <v>645</v>
      </c>
      <c r="F140">
        <v>7</v>
      </c>
      <c r="G140" s="1">
        <v>27325.200000000001</v>
      </c>
      <c r="H140" s="1">
        <v>27325.200000000001</v>
      </c>
      <c r="I140" s="1">
        <v>4098.78</v>
      </c>
      <c r="J140" s="1">
        <f t="shared" si="11"/>
        <v>3903.6</v>
      </c>
      <c r="K140" s="1">
        <v>6831.2999999999993</v>
      </c>
      <c r="N140" s="35">
        <f t="shared" si="9"/>
        <v>20493.900000000001</v>
      </c>
      <c r="O140" s="35">
        <f t="shared" si="10"/>
        <v>16590.300000000003</v>
      </c>
    </row>
    <row r="141" spans="1:15" x14ac:dyDescent="0.4">
      <c r="A141">
        <v>52</v>
      </c>
      <c r="B141" t="s">
        <v>2912</v>
      </c>
      <c r="C141" s="131">
        <v>44910</v>
      </c>
      <c r="D141" t="s">
        <v>2951</v>
      </c>
      <c r="E141" t="s">
        <v>645</v>
      </c>
      <c r="F141">
        <v>7</v>
      </c>
      <c r="G141" s="1">
        <v>27325.200000000001</v>
      </c>
      <c r="H141" s="1">
        <v>27325.200000000001</v>
      </c>
      <c r="I141" s="1">
        <v>4098.78</v>
      </c>
      <c r="J141" s="1">
        <f t="shared" si="11"/>
        <v>3903.6</v>
      </c>
      <c r="K141" s="1">
        <v>6831.2999999999993</v>
      </c>
      <c r="N141" s="35">
        <f t="shared" si="9"/>
        <v>20493.900000000001</v>
      </c>
      <c r="O141" s="35">
        <f t="shared" si="10"/>
        <v>16590.300000000003</v>
      </c>
    </row>
    <row r="142" spans="1:15" x14ac:dyDescent="0.4">
      <c r="A142">
        <v>53</v>
      </c>
      <c r="B142" t="s">
        <v>2912</v>
      </c>
      <c r="C142" s="131">
        <v>44789</v>
      </c>
      <c r="D142" t="s">
        <v>2946</v>
      </c>
      <c r="E142" t="s">
        <v>645</v>
      </c>
      <c r="F142">
        <v>7</v>
      </c>
      <c r="G142" s="1">
        <v>26874.799999999999</v>
      </c>
      <c r="H142" s="1">
        <v>26874.799999999999</v>
      </c>
      <c r="I142" s="1">
        <v>4031.22</v>
      </c>
      <c r="J142" s="1">
        <f t="shared" si="11"/>
        <v>3839.2571428571428</v>
      </c>
      <c r="K142" s="1">
        <v>6718.7</v>
      </c>
      <c r="N142" s="35">
        <f t="shared" si="9"/>
        <v>20156.099999999999</v>
      </c>
      <c r="O142" s="35">
        <f t="shared" si="10"/>
        <v>16316.842857142856</v>
      </c>
    </row>
    <row r="143" spans="1:15" x14ac:dyDescent="0.4">
      <c r="A143">
        <v>41</v>
      </c>
      <c r="B143" t="s">
        <v>2912</v>
      </c>
      <c r="C143" s="131">
        <v>41780</v>
      </c>
      <c r="D143" t="s">
        <v>2941</v>
      </c>
      <c r="E143" t="s">
        <v>645</v>
      </c>
      <c r="F143">
        <v>10</v>
      </c>
      <c r="G143" s="1">
        <v>418000</v>
      </c>
      <c r="H143" s="1">
        <v>418000</v>
      </c>
      <c r="I143" s="1">
        <v>397100</v>
      </c>
      <c r="J143" s="1"/>
      <c r="K143" s="1">
        <v>418000</v>
      </c>
      <c r="N143" s="35">
        <f t="shared" si="9"/>
        <v>0</v>
      </c>
      <c r="O143" s="35">
        <f t="shared" si="10"/>
        <v>0</v>
      </c>
    </row>
    <row r="144" spans="1:15" x14ac:dyDescent="0.4">
      <c r="A144">
        <v>42</v>
      </c>
      <c r="B144" t="s">
        <v>2912</v>
      </c>
      <c r="C144" s="131">
        <v>41780</v>
      </c>
      <c r="D144" t="s">
        <v>2942</v>
      </c>
      <c r="E144" t="s">
        <v>645</v>
      </c>
      <c r="F144">
        <v>10</v>
      </c>
      <c r="G144" s="1">
        <v>80000</v>
      </c>
      <c r="H144" s="1">
        <v>80000</v>
      </c>
      <c r="I144" s="1">
        <v>76000</v>
      </c>
      <c r="J144" s="1"/>
      <c r="K144" s="1">
        <v>80000</v>
      </c>
      <c r="N144" s="35">
        <f t="shared" si="9"/>
        <v>0</v>
      </c>
      <c r="O144" s="35">
        <f t="shared" si="10"/>
        <v>0</v>
      </c>
    </row>
    <row r="145" spans="1:15" x14ac:dyDescent="0.4">
      <c r="A145">
        <v>55</v>
      </c>
      <c r="B145" t="s">
        <v>2912</v>
      </c>
      <c r="C145" s="131">
        <v>45433</v>
      </c>
      <c r="D145" t="s">
        <v>2946</v>
      </c>
      <c r="E145" t="s">
        <v>645</v>
      </c>
      <c r="F145">
        <v>7</v>
      </c>
      <c r="G145" s="1">
        <v>174710.57</v>
      </c>
      <c r="H145" s="1">
        <v>174710.57</v>
      </c>
      <c r="I145" s="1">
        <v>0</v>
      </c>
      <c r="J145" s="1">
        <f>G145/F145</f>
        <v>24958.652857142857</v>
      </c>
      <c r="K145" s="1">
        <v>8735.5300000000007</v>
      </c>
      <c r="L145" s="35">
        <f>SUM(J27:J145)</f>
        <v>1894568.2759333334</v>
      </c>
      <c r="N145" s="35">
        <f t="shared" si="9"/>
        <v>165975.04000000001</v>
      </c>
      <c r="O145" s="35">
        <f t="shared" si="10"/>
        <v>141016.38714285716</v>
      </c>
    </row>
    <row r="146" spans="1:15" x14ac:dyDescent="0.4">
      <c r="C146" s="131"/>
      <c r="G146" s="1"/>
      <c r="H146" s="1"/>
      <c r="I146" s="1"/>
      <c r="J146" s="1"/>
      <c r="K146" s="1"/>
      <c r="N146" s="35">
        <f t="shared" si="3"/>
        <v>0</v>
      </c>
      <c r="O146" s="35">
        <f t="shared" si="4"/>
        <v>0</v>
      </c>
    </row>
    <row r="147" spans="1:15" x14ac:dyDescent="0.4">
      <c r="A147">
        <v>114</v>
      </c>
      <c r="B147" t="s">
        <v>3002</v>
      </c>
      <c r="C147" s="131">
        <v>36161</v>
      </c>
      <c r="D147" t="s">
        <v>3003</v>
      </c>
      <c r="E147" t="s">
        <v>645</v>
      </c>
      <c r="F147">
        <v>7</v>
      </c>
      <c r="G147" s="1">
        <v>1714.57</v>
      </c>
      <c r="H147" s="1">
        <v>1714.57</v>
      </c>
      <c r="I147" s="1">
        <v>1071.5</v>
      </c>
      <c r="J147" s="1">
        <f t="shared" si="5"/>
        <v>244.93857142857141</v>
      </c>
      <c r="K147" s="1">
        <v>1114.3599999999999</v>
      </c>
      <c r="N147" s="35">
        <f t="shared" si="3"/>
        <v>600.21</v>
      </c>
      <c r="O147" s="35">
        <f t="shared" si="4"/>
        <v>355.2714285714286</v>
      </c>
    </row>
    <row r="148" spans="1:15" x14ac:dyDescent="0.4">
      <c r="A148">
        <v>115</v>
      </c>
      <c r="B148" t="s">
        <v>3002</v>
      </c>
      <c r="C148" s="131">
        <v>36342</v>
      </c>
      <c r="D148" t="s">
        <v>3003</v>
      </c>
      <c r="E148" t="s">
        <v>645</v>
      </c>
      <c r="F148">
        <v>7</v>
      </c>
      <c r="G148" s="1">
        <v>320</v>
      </c>
      <c r="H148" s="1">
        <v>320</v>
      </c>
      <c r="I148" s="1">
        <v>196.03</v>
      </c>
      <c r="J148" s="1">
        <f t="shared" si="5"/>
        <v>45.714285714285715</v>
      </c>
      <c r="K148" s="1">
        <v>204.03</v>
      </c>
      <c r="N148" s="35">
        <f t="shared" si="3"/>
        <v>115.97</v>
      </c>
      <c r="O148" s="35">
        <f t="shared" si="4"/>
        <v>70.255714285714276</v>
      </c>
    </row>
    <row r="149" spans="1:15" x14ac:dyDescent="0.4">
      <c r="A149">
        <v>116</v>
      </c>
      <c r="B149" t="s">
        <v>3002</v>
      </c>
      <c r="C149" s="131">
        <v>36373</v>
      </c>
      <c r="D149" t="s">
        <v>3003</v>
      </c>
      <c r="E149" t="s">
        <v>645</v>
      </c>
      <c r="F149">
        <v>7</v>
      </c>
      <c r="G149" s="1">
        <v>99.56</v>
      </c>
      <c r="H149" s="1">
        <v>99.56</v>
      </c>
      <c r="I149" s="1">
        <v>60.8</v>
      </c>
      <c r="J149" s="1">
        <f t="shared" si="5"/>
        <v>14.222857142857142</v>
      </c>
      <c r="K149" s="1">
        <v>63.29</v>
      </c>
      <c r="N149" s="35">
        <f t="shared" si="3"/>
        <v>36.270000000000003</v>
      </c>
      <c r="O149" s="35">
        <f t="shared" si="4"/>
        <v>22.047142857142859</v>
      </c>
    </row>
    <row r="150" spans="1:15" x14ac:dyDescent="0.4">
      <c r="A150">
        <v>117</v>
      </c>
      <c r="B150" t="s">
        <v>3002</v>
      </c>
      <c r="C150" s="131">
        <v>36434</v>
      </c>
      <c r="D150" t="s">
        <v>3003</v>
      </c>
      <c r="E150" t="s">
        <v>645</v>
      </c>
      <c r="F150">
        <v>7</v>
      </c>
      <c r="G150" s="1">
        <v>182.32</v>
      </c>
      <c r="H150" s="1">
        <v>182.32</v>
      </c>
      <c r="I150" s="1">
        <v>110.59</v>
      </c>
      <c r="J150" s="1">
        <f t="shared" si="5"/>
        <v>26.045714285714286</v>
      </c>
      <c r="K150" s="1">
        <v>115.15</v>
      </c>
      <c r="N150" s="35">
        <f t="shared" si="3"/>
        <v>67.169999999999987</v>
      </c>
      <c r="O150" s="35">
        <f t="shared" si="4"/>
        <v>41.124285714285705</v>
      </c>
    </row>
    <row r="151" spans="1:15" x14ac:dyDescent="0.4">
      <c r="A151">
        <v>118</v>
      </c>
      <c r="B151" t="s">
        <v>3002</v>
      </c>
      <c r="C151" s="131">
        <v>36646</v>
      </c>
      <c r="D151" t="s">
        <v>3003</v>
      </c>
      <c r="E151" t="s">
        <v>645</v>
      </c>
      <c r="F151">
        <v>7</v>
      </c>
      <c r="G151" s="1">
        <v>298.05</v>
      </c>
      <c r="H151" s="1">
        <v>298.05</v>
      </c>
      <c r="I151" s="1">
        <v>175.08</v>
      </c>
      <c r="J151" s="1">
        <f t="shared" si="5"/>
        <v>42.578571428571429</v>
      </c>
      <c r="K151" s="1">
        <v>182.53</v>
      </c>
      <c r="N151" s="35">
        <f t="shared" si="3"/>
        <v>115.52000000000001</v>
      </c>
      <c r="O151" s="35">
        <f t="shared" si="4"/>
        <v>72.941428571428588</v>
      </c>
    </row>
    <row r="152" spans="1:15" x14ac:dyDescent="0.4">
      <c r="A152">
        <v>119</v>
      </c>
      <c r="B152" t="s">
        <v>3002</v>
      </c>
      <c r="C152" s="131">
        <v>36677</v>
      </c>
      <c r="D152" t="s">
        <v>3003</v>
      </c>
      <c r="E152" t="s">
        <v>645</v>
      </c>
      <c r="F152">
        <v>7</v>
      </c>
      <c r="G152" s="1">
        <v>1210.26</v>
      </c>
      <c r="H152" s="1">
        <v>1210.26</v>
      </c>
      <c r="I152" s="1">
        <v>711.05</v>
      </c>
      <c r="J152" s="1">
        <f t="shared" si="5"/>
        <v>172.8942857142857</v>
      </c>
      <c r="K152" s="1">
        <v>741.31</v>
      </c>
      <c r="N152" s="35">
        <f t="shared" si="3"/>
        <v>468.95000000000005</v>
      </c>
      <c r="O152" s="35">
        <f t="shared" si="4"/>
        <v>296.05571428571432</v>
      </c>
    </row>
    <row r="153" spans="1:15" x14ac:dyDescent="0.4">
      <c r="A153">
        <v>120</v>
      </c>
      <c r="B153" t="s">
        <v>3002</v>
      </c>
      <c r="C153" s="131">
        <v>36799</v>
      </c>
      <c r="D153" t="s">
        <v>3003</v>
      </c>
      <c r="E153" t="s">
        <v>645</v>
      </c>
      <c r="F153">
        <v>7</v>
      </c>
      <c r="G153" s="1">
        <v>825.66</v>
      </c>
      <c r="H153" s="1">
        <v>825.66</v>
      </c>
      <c r="I153" s="1">
        <v>485.04</v>
      </c>
      <c r="J153" s="1">
        <f t="shared" si="5"/>
        <v>117.95142857142856</v>
      </c>
      <c r="K153" s="1">
        <v>505.68</v>
      </c>
      <c r="N153" s="35">
        <f t="shared" si="3"/>
        <v>319.97999999999996</v>
      </c>
      <c r="O153" s="35">
        <f t="shared" si="4"/>
        <v>202.02857142857141</v>
      </c>
    </row>
    <row r="154" spans="1:15" x14ac:dyDescent="0.4">
      <c r="A154">
        <v>121</v>
      </c>
      <c r="B154" t="s">
        <v>3002</v>
      </c>
      <c r="C154" s="131">
        <v>36923</v>
      </c>
      <c r="D154" t="s">
        <v>3004</v>
      </c>
      <c r="E154" t="s">
        <v>645</v>
      </c>
      <c r="F154">
        <v>7</v>
      </c>
      <c r="G154" s="1">
        <v>494.5</v>
      </c>
      <c r="H154" s="1">
        <v>494.5</v>
      </c>
      <c r="I154" s="1">
        <v>283.23</v>
      </c>
      <c r="J154" s="1">
        <f t="shared" si="5"/>
        <v>70.642857142857139</v>
      </c>
      <c r="K154" s="1">
        <v>295.59000000000003</v>
      </c>
      <c r="N154" s="35">
        <f t="shared" si="3"/>
        <v>198.90999999999997</v>
      </c>
      <c r="O154" s="35">
        <f t="shared" si="4"/>
        <v>128.26714285714283</v>
      </c>
    </row>
    <row r="155" spans="1:15" x14ac:dyDescent="0.4">
      <c r="A155">
        <v>122</v>
      </c>
      <c r="B155" t="s">
        <v>3002</v>
      </c>
      <c r="C155" s="131">
        <v>36951</v>
      </c>
      <c r="D155" t="s">
        <v>1432</v>
      </c>
      <c r="E155" t="s">
        <v>645</v>
      </c>
      <c r="F155">
        <v>7</v>
      </c>
      <c r="G155" s="1">
        <v>10.119999999999999</v>
      </c>
      <c r="H155" s="1">
        <v>10.119999999999999</v>
      </c>
      <c r="I155" s="1">
        <v>5.71</v>
      </c>
      <c r="J155" s="1">
        <f t="shared" si="5"/>
        <v>1.4457142857142855</v>
      </c>
      <c r="K155" s="1">
        <v>5.96</v>
      </c>
      <c r="N155" s="35">
        <f t="shared" si="3"/>
        <v>4.1599999999999993</v>
      </c>
      <c r="O155" s="35">
        <f t="shared" si="4"/>
        <v>2.7142857142857135</v>
      </c>
    </row>
    <row r="156" spans="1:15" x14ac:dyDescent="0.4">
      <c r="A156">
        <v>123</v>
      </c>
      <c r="B156" t="s">
        <v>3002</v>
      </c>
      <c r="C156" s="131">
        <v>37043</v>
      </c>
      <c r="D156" t="s">
        <v>1432</v>
      </c>
      <c r="E156" t="s">
        <v>645</v>
      </c>
      <c r="F156">
        <v>7</v>
      </c>
      <c r="G156" s="1">
        <v>63.89</v>
      </c>
      <c r="H156" s="1">
        <v>63.89</v>
      </c>
      <c r="I156" s="1">
        <v>36.14</v>
      </c>
      <c r="J156" s="1">
        <f t="shared" si="5"/>
        <v>9.1271428571428572</v>
      </c>
      <c r="K156" s="1">
        <v>37.74</v>
      </c>
      <c r="N156" s="35">
        <f t="shared" si="3"/>
        <v>26.15</v>
      </c>
      <c r="O156" s="35">
        <f t="shared" si="4"/>
        <v>17.022857142857141</v>
      </c>
    </row>
    <row r="157" spans="1:15" x14ac:dyDescent="0.4">
      <c r="A157">
        <v>124</v>
      </c>
      <c r="B157" t="s">
        <v>3002</v>
      </c>
      <c r="C157" s="131">
        <v>37104</v>
      </c>
      <c r="D157" t="s">
        <v>1432</v>
      </c>
      <c r="E157" t="s">
        <v>645</v>
      </c>
      <c r="F157">
        <v>7</v>
      </c>
      <c r="G157" s="1">
        <v>40.17</v>
      </c>
      <c r="H157" s="1">
        <v>40.17</v>
      </c>
      <c r="I157" s="1">
        <v>22.42</v>
      </c>
      <c r="J157" s="1">
        <f t="shared" si="5"/>
        <v>5.7385714285714284</v>
      </c>
      <c r="K157" s="1">
        <v>23.42</v>
      </c>
      <c r="N157" s="35">
        <f t="shared" si="3"/>
        <v>16.75</v>
      </c>
      <c r="O157" s="35">
        <f t="shared" si="4"/>
        <v>11.011428571428571</v>
      </c>
    </row>
    <row r="158" spans="1:15" x14ac:dyDescent="0.4">
      <c r="A158">
        <v>125</v>
      </c>
      <c r="B158" t="s">
        <v>3002</v>
      </c>
      <c r="C158" s="131">
        <v>37135</v>
      </c>
      <c r="D158" t="s">
        <v>3004</v>
      </c>
      <c r="E158" t="s">
        <v>645</v>
      </c>
      <c r="F158">
        <v>7</v>
      </c>
      <c r="G158" s="1">
        <v>262.35000000000002</v>
      </c>
      <c r="H158" s="1">
        <v>262.35000000000002</v>
      </c>
      <c r="I158" s="1">
        <v>146.51</v>
      </c>
      <c r="J158" s="1">
        <f t="shared" si="5"/>
        <v>37.478571428571435</v>
      </c>
      <c r="K158" s="1">
        <v>153.07</v>
      </c>
      <c r="N158" s="35">
        <f t="shared" si="3"/>
        <v>109.28000000000003</v>
      </c>
      <c r="O158" s="35">
        <f t="shared" si="4"/>
        <v>71.801428571428602</v>
      </c>
    </row>
    <row r="159" spans="1:15" x14ac:dyDescent="0.4">
      <c r="A159">
        <v>126</v>
      </c>
      <c r="B159" t="s">
        <v>3002</v>
      </c>
      <c r="C159" s="131">
        <v>37196</v>
      </c>
      <c r="D159" t="s">
        <v>3004</v>
      </c>
      <c r="E159" t="s">
        <v>645</v>
      </c>
      <c r="F159">
        <v>7</v>
      </c>
      <c r="G159" s="1">
        <v>7.72</v>
      </c>
      <c r="H159" s="1">
        <v>7.72</v>
      </c>
      <c r="I159" s="1">
        <v>4.21</v>
      </c>
      <c r="J159" s="1">
        <f t="shared" si="5"/>
        <v>1.1028571428571428</v>
      </c>
      <c r="K159" s="1">
        <v>4.4000000000000004</v>
      </c>
      <c r="N159" s="35">
        <f t="shared" si="3"/>
        <v>3.3199999999999994</v>
      </c>
      <c r="O159" s="35">
        <f t="shared" si="4"/>
        <v>2.2171428571428566</v>
      </c>
    </row>
    <row r="160" spans="1:15" x14ac:dyDescent="0.4">
      <c r="A160">
        <v>127</v>
      </c>
      <c r="B160" t="s">
        <v>3002</v>
      </c>
      <c r="C160" s="131">
        <v>37226</v>
      </c>
      <c r="D160" t="s">
        <v>3004</v>
      </c>
      <c r="E160" t="s">
        <v>645</v>
      </c>
      <c r="F160">
        <v>7</v>
      </c>
      <c r="G160" s="1">
        <v>28.59</v>
      </c>
      <c r="H160" s="1">
        <v>28.59</v>
      </c>
      <c r="I160" s="1">
        <v>15.68</v>
      </c>
      <c r="J160" s="1">
        <f t="shared" si="5"/>
        <v>4.0842857142857145</v>
      </c>
      <c r="K160" s="1">
        <v>16.39</v>
      </c>
      <c r="N160" s="35">
        <f t="shared" si="3"/>
        <v>12.2</v>
      </c>
      <c r="O160" s="35">
        <f t="shared" si="4"/>
        <v>8.1157142857142848</v>
      </c>
    </row>
    <row r="161" spans="1:15" x14ac:dyDescent="0.4">
      <c r="A161">
        <v>128</v>
      </c>
      <c r="B161" t="s">
        <v>3002</v>
      </c>
      <c r="C161" s="131">
        <v>38748</v>
      </c>
      <c r="D161" t="s">
        <v>3005</v>
      </c>
      <c r="E161" t="s">
        <v>645</v>
      </c>
      <c r="F161">
        <v>7</v>
      </c>
      <c r="G161" s="1">
        <v>1471.97</v>
      </c>
      <c r="H161" s="1">
        <v>1471.97</v>
      </c>
      <c r="I161" s="1">
        <v>644</v>
      </c>
      <c r="J161" s="1">
        <f t="shared" si="5"/>
        <v>210.28142857142856</v>
      </c>
      <c r="K161" s="1">
        <v>680.8</v>
      </c>
      <c r="N161" s="35">
        <f>G161-K161</f>
        <v>791.17000000000007</v>
      </c>
      <c r="O161" s="35">
        <f t="shared" si="4"/>
        <v>580.88857142857148</v>
      </c>
    </row>
    <row r="162" spans="1:15" x14ac:dyDescent="0.4">
      <c r="A162">
        <v>129</v>
      </c>
      <c r="B162" t="s">
        <v>3002</v>
      </c>
      <c r="C162" s="131">
        <v>38807</v>
      </c>
      <c r="D162" t="s">
        <v>3006</v>
      </c>
      <c r="E162" t="s">
        <v>645</v>
      </c>
      <c r="F162">
        <v>7</v>
      </c>
      <c r="G162" s="1">
        <v>1452.38</v>
      </c>
      <c r="H162" s="1">
        <v>1452.38</v>
      </c>
      <c r="I162" s="1">
        <v>635.41999999999996</v>
      </c>
      <c r="J162" s="1">
        <f t="shared" si="5"/>
        <v>207.48285714285717</v>
      </c>
      <c r="K162" s="1">
        <v>671.73</v>
      </c>
      <c r="N162" s="35">
        <f t="shared" si="3"/>
        <v>780.65000000000009</v>
      </c>
      <c r="O162" s="35">
        <f t="shared" si="4"/>
        <v>573.16714285714295</v>
      </c>
    </row>
    <row r="163" spans="1:15" x14ac:dyDescent="0.4">
      <c r="A163">
        <v>130</v>
      </c>
      <c r="B163" t="s">
        <v>3002</v>
      </c>
      <c r="C163" s="131">
        <v>38868</v>
      </c>
      <c r="D163" t="s">
        <v>3007</v>
      </c>
      <c r="E163" t="s">
        <v>645</v>
      </c>
      <c r="F163">
        <v>7</v>
      </c>
      <c r="G163" s="1">
        <v>1394.81</v>
      </c>
      <c r="H163" s="1">
        <v>1394.81</v>
      </c>
      <c r="I163" s="1">
        <v>610.23</v>
      </c>
      <c r="J163" s="1">
        <f t="shared" si="5"/>
        <v>199.25857142857143</v>
      </c>
      <c r="K163" s="1">
        <v>645.1</v>
      </c>
      <c r="N163" s="35">
        <f t="shared" si="3"/>
        <v>749.70999999999992</v>
      </c>
      <c r="O163" s="35">
        <f t="shared" si="4"/>
        <v>550.45142857142855</v>
      </c>
    </row>
    <row r="164" spans="1:15" x14ac:dyDescent="0.4">
      <c r="A164">
        <v>131</v>
      </c>
      <c r="B164" t="s">
        <v>3002</v>
      </c>
      <c r="C164" s="131">
        <v>38990</v>
      </c>
      <c r="D164" t="s">
        <v>3008</v>
      </c>
      <c r="E164" t="s">
        <v>645</v>
      </c>
      <c r="F164">
        <v>7</v>
      </c>
      <c r="G164" s="1">
        <v>2247.15</v>
      </c>
      <c r="H164" s="1">
        <v>2247.15</v>
      </c>
      <c r="I164" s="1">
        <v>983.15</v>
      </c>
      <c r="J164" s="1">
        <f t="shared" si="5"/>
        <v>321.0214285714286</v>
      </c>
      <c r="K164" s="1">
        <v>1039.33</v>
      </c>
      <c r="N164" s="35">
        <f t="shared" si="3"/>
        <v>1207.8200000000002</v>
      </c>
      <c r="O164" s="35">
        <f t="shared" si="4"/>
        <v>886.79857142857156</v>
      </c>
    </row>
    <row r="165" spans="1:15" x14ac:dyDescent="0.4">
      <c r="A165">
        <v>132</v>
      </c>
      <c r="B165" t="s">
        <v>3002</v>
      </c>
      <c r="C165" s="131">
        <v>39020</v>
      </c>
      <c r="D165" t="s">
        <v>3009</v>
      </c>
      <c r="E165" t="s">
        <v>645</v>
      </c>
      <c r="F165">
        <v>7</v>
      </c>
      <c r="G165" s="1">
        <v>1474.37</v>
      </c>
      <c r="H165" s="1">
        <v>1474.37</v>
      </c>
      <c r="I165" s="1">
        <v>645.04999999999995</v>
      </c>
      <c r="J165" s="1">
        <f t="shared" si="5"/>
        <v>210.62428571428569</v>
      </c>
      <c r="K165" s="1">
        <v>681.91</v>
      </c>
      <c r="N165" s="35">
        <f t="shared" si="3"/>
        <v>792.45999999999992</v>
      </c>
      <c r="O165" s="35">
        <f t="shared" si="4"/>
        <v>581.83571428571418</v>
      </c>
    </row>
    <row r="166" spans="1:15" x14ac:dyDescent="0.4">
      <c r="A166">
        <v>133</v>
      </c>
      <c r="B166" t="s">
        <v>3002</v>
      </c>
      <c r="C166" s="131">
        <v>39051</v>
      </c>
      <c r="D166" t="s">
        <v>3010</v>
      </c>
      <c r="E166" t="s">
        <v>645</v>
      </c>
      <c r="F166">
        <v>7</v>
      </c>
      <c r="G166" s="1">
        <v>328.67</v>
      </c>
      <c r="H166" s="1">
        <v>328.67</v>
      </c>
      <c r="I166" s="1">
        <v>160.19999999999999</v>
      </c>
      <c r="J166" s="1">
        <f t="shared" si="5"/>
        <v>46.952857142857148</v>
      </c>
      <c r="K166" s="1">
        <v>167.69</v>
      </c>
      <c r="N166" s="35">
        <f t="shared" si="3"/>
        <v>160.98000000000002</v>
      </c>
      <c r="O166" s="35">
        <f t="shared" si="4"/>
        <v>114.02714285714288</v>
      </c>
    </row>
    <row r="167" spans="1:15" x14ac:dyDescent="0.4">
      <c r="A167">
        <v>134</v>
      </c>
      <c r="B167" t="s">
        <v>3002</v>
      </c>
      <c r="C167" s="131">
        <v>39172</v>
      </c>
      <c r="D167" t="s">
        <v>3011</v>
      </c>
      <c r="E167" t="s">
        <v>645</v>
      </c>
      <c r="F167">
        <v>7</v>
      </c>
      <c r="G167" s="1">
        <v>1793.96</v>
      </c>
      <c r="H167" s="1">
        <v>1793.96</v>
      </c>
      <c r="I167" s="1">
        <v>740.02</v>
      </c>
      <c r="J167" s="1">
        <f t="shared" si="5"/>
        <v>256.28000000000003</v>
      </c>
      <c r="K167" s="1">
        <v>784.87</v>
      </c>
      <c r="N167" s="35">
        <f t="shared" si="3"/>
        <v>1009.09</v>
      </c>
      <c r="O167" s="35">
        <f t="shared" si="4"/>
        <v>752.81</v>
      </c>
    </row>
    <row r="168" spans="1:15" x14ac:dyDescent="0.4">
      <c r="A168">
        <v>135</v>
      </c>
      <c r="B168" t="s">
        <v>3002</v>
      </c>
      <c r="C168" s="131">
        <v>39202</v>
      </c>
      <c r="D168" t="s">
        <v>3012</v>
      </c>
      <c r="E168" t="s">
        <v>645</v>
      </c>
      <c r="F168">
        <v>7</v>
      </c>
      <c r="G168" s="1">
        <v>2358.6999999999998</v>
      </c>
      <c r="H168" s="1">
        <v>2358.6999999999998</v>
      </c>
      <c r="I168" s="1">
        <v>973</v>
      </c>
      <c r="J168" s="1">
        <f t="shared" si="5"/>
        <v>336.95714285714286</v>
      </c>
      <c r="K168" s="1">
        <v>1031.97</v>
      </c>
      <c r="N168" s="35">
        <f t="shared" si="3"/>
        <v>1326.7299999999998</v>
      </c>
      <c r="O168" s="35">
        <f t="shared" si="4"/>
        <v>989.77285714285699</v>
      </c>
    </row>
    <row r="169" spans="1:15" x14ac:dyDescent="0.4">
      <c r="A169">
        <v>136</v>
      </c>
      <c r="B169" t="s">
        <v>3002</v>
      </c>
      <c r="C169" s="131">
        <v>39233</v>
      </c>
      <c r="D169" t="s">
        <v>3013</v>
      </c>
      <c r="E169" t="s">
        <v>645</v>
      </c>
      <c r="F169">
        <v>7</v>
      </c>
      <c r="G169" s="1">
        <v>748.92</v>
      </c>
      <c r="H169" s="1">
        <v>748.92</v>
      </c>
      <c r="I169" s="1">
        <v>308.88</v>
      </c>
      <c r="J169" s="1">
        <f t="shared" si="5"/>
        <v>106.98857142857142</v>
      </c>
      <c r="K169" s="1">
        <v>327.61</v>
      </c>
      <c r="N169" s="35">
        <f t="shared" si="3"/>
        <v>421.30999999999995</v>
      </c>
      <c r="O169" s="35">
        <f t="shared" si="4"/>
        <v>314.32142857142856</v>
      </c>
    </row>
    <row r="170" spans="1:15" x14ac:dyDescent="0.4">
      <c r="A170">
        <v>137</v>
      </c>
      <c r="B170" t="s">
        <v>3002</v>
      </c>
      <c r="C170" s="131">
        <v>39447</v>
      </c>
      <c r="D170" t="s">
        <v>3014</v>
      </c>
      <c r="E170" t="s">
        <v>645</v>
      </c>
      <c r="F170">
        <v>7</v>
      </c>
      <c r="G170" s="1">
        <v>2272.21</v>
      </c>
      <c r="H170" s="1">
        <v>2272.21</v>
      </c>
      <c r="I170" s="1">
        <v>937.29</v>
      </c>
      <c r="J170" s="1">
        <f t="shared" si="5"/>
        <v>324.60142857142858</v>
      </c>
      <c r="K170" s="1">
        <v>994.09999999999991</v>
      </c>
      <c r="N170" s="35">
        <f t="shared" si="3"/>
        <v>1278.1100000000001</v>
      </c>
      <c r="O170" s="35">
        <f t="shared" si="4"/>
        <v>953.50857142857149</v>
      </c>
    </row>
    <row r="171" spans="1:15" x14ac:dyDescent="0.4">
      <c r="A171">
        <v>138</v>
      </c>
      <c r="B171" t="s">
        <v>3002</v>
      </c>
      <c r="C171" s="131">
        <v>39478</v>
      </c>
      <c r="D171" t="s">
        <v>3015</v>
      </c>
      <c r="E171" t="s">
        <v>645</v>
      </c>
      <c r="F171">
        <v>7</v>
      </c>
      <c r="G171" s="1">
        <v>14361.03</v>
      </c>
      <c r="H171" s="1">
        <v>14361.03</v>
      </c>
      <c r="I171" s="1">
        <v>5564.92</v>
      </c>
      <c r="J171" s="1">
        <f t="shared" ref="J171:J234" si="12">G171/F171</f>
        <v>2051.5757142857142</v>
      </c>
      <c r="K171" s="1">
        <v>5923.9400000000005</v>
      </c>
      <c r="N171" s="35">
        <f t="shared" ref="N171:N234" si="13">G171-K171</f>
        <v>8437.09</v>
      </c>
      <c r="O171" s="35">
        <f t="shared" ref="O171:O234" si="14">N171-J171</f>
        <v>6385.5142857142855</v>
      </c>
    </row>
    <row r="172" spans="1:15" x14ac:dyDescent="0.4">
      <c r="A172">
        <v>139</v>
      </c>
      <c r="B172" t="s">
        <v>3002</v>
      </c>
      <c r="C172" s="131">
        <v>39506</v>
      </c>
      <c r="D172" t="s">
        <v>3016</v>
      </c>
      <c r="E172" t="s">
        <v>645</v>
      </c>
      <c r="F172">
        <v>7</v>
      </c>
      <c r="G172" s="1">
        <v>1678.35</v>
      </c>
      <c r="H172" s="1">
        <v>1678.35</v>
      </c>
      <c r="I172" s="1">
        <v>650.38</v>
      </c>
      <c r="J172" s="1">
        <f t="shared" si="12"/>
        <v>239.76428571428571</v>
      </c>
      <c r="K172" s="1">
        <v>692.34</v>
      </c>
      <c r="N172" s="35">
        <f t="shared" si="13"/>
        <v>986.00999999999988</v>
      </c>
      <c r="O172" s="35">
        <f t="shared" si="14"/>
        <v>746.24571428571414</v>
      </c>
    </row>
    <row r="173" spans="1:15" x14ac:dyDescent="0.4">
      <c r="A173">
        <v>140</v>
      </c>
      <c r="B173" t="s">
        <v>3002</v>
      </c>
      <c r="C173" s="131">
        <v>39538</v>
      </c>
      <c r="D173" t="s">
        <v>3017</v>
      </c>
      <c r="E173" t="s">
        <v>645</v>
      </c>
      <c r="F173">
        <v>7</v>
      </c>
      <c r="G173" s="1">
        <v>6224.27</v>
      </c>
      <c r="H173" s="1">
        <v>6224.27</v>
      </c>
      <c r="I173" s="1">
        <v>2411.9499999999998</v>
      </c>
      <c r="J173" s="1">
        <f t="shared" si="12"/>
        <v>889.18142857142868</v>
      </c>
      <c r="K173" s="1">
        <v>2567.5499999999997</v>
      </c>
      <c r="N173" s="35">
        <f t="shared" si="13"/>
        <v>3656.7200000000007</v>
      </c>
      <c r="O173" s="35">
        <f t="shared" si="14"/>
        <v>2767.5385714285721</v>
      </c>
    </row>
    <row r="174" spans="1:15" x14ac:dyDescent="0.4">
      <c r="A174">
        <v>141</v>
      </c>
      <c r="B174" t="s">
        <v>3002</v>
      </c>
      <c r="C174" s="131">
        <v>39599</v>
      </c>
      <c r="D174" t="s">
        <v>3018</v>
      </c>
      <c r="E174" t="s">
        <v>645</v>
      </c>
      <c r="F174">
        <v>7</v>
      </c>
      <c r="G174" s="1">
        <v>324.83</v>
      </c>
      <c r="H174" s="1">
        <v>324.83</v>
      </c>
      <c r="I174" s="1">
        <v>125.86</v>
      </c>
      <c r="J174" s="1">
        <f t="shared" si="12"/>
        <v>46.404285714285713</v>
      </c>
      <c r="K174" s="1">
        <v>133.97999999999999</v>
      </c>
      <c r="N174" s="35">
        <f t="shared" si="13"/>
        <v>190.85</v>
      </c>
      <c r="O174" s="35">
        <f t="shared" si="14"/>
        <v>144.44571428571427</v>
      </c>
    </row>
    <row r="175" spans="1:15" x14ac:dyDescent="0.4">
      <c r="A175">
        <v>142</v>
      </c>
      <c r="B175" t="s">
        <v>3002</v>
      </c>
      <c r="C175" s="131">
        <v>39629</v>
      </c>
      <c r="D175" t="s">
        <v>3019</v>
      </c>
      <c r="E175" t="s">
        <v>645</v>
      </c>
      <c r="F175">
        <v>7</v>
      </c>
      <c r="G175" s="1">
        <v>2470.5300000000002</v>
      </c>
      <c r="H175" s="1">
        <v>2470.5300000000002</v>
      </c>
      <c r="I175" s="1">
        <v>957.29</v>
      </c>
      <c r="J175" s="1">
        <f t="shared" si="12"/>
        <v>352.93285714285719</v>
      </c>
      <c r="K175" s="1">
        <v>1019.05</v>
      </c>
      <c r="N175" s="35">
        <f t="shared" si="13"/>
        <v>1451.4800000000002</v>
      </c>
      <c r="O175" s="35">
        <f t="shared" si="14"/>
        <v>1098.5471428571432</v>
      </c>
    </row>
    <row r="176" spans="1:15" x14ac:dyDescent="0.4">
      <c r="A176">
        <v>143</v>
      </c>
      <c r="B176" t="s">
        <v>3002</v>
      </c>
      <c r="C176" s="131">
        <v>39660</v>
      </c>
      <c r="D176" t="s">
        <v>3020</v>
      </c>
      <c r="E176" t="s">
        <v>645</v>
      </c>
      <c r="F176">
        <v>7</v>
      </c>
      <c r="G176" s="1">
        <v>3908.47</v>
      </c>
      <c r="H176" s="1">
        <v>3908.47</v>
      </c>
      <c r="I176" s="1">
        <v>1514.51</v>
      </c>
      <c r="J176" s="1">
        <f t="shared" si="12"/>
        <v>558.35285714285715</v>
      </c>
      <c r="K176" s="1">
        <v>1612.22</v>
      </c>
      <c r="N176" s="35">
        <f t="shared" si="13"/>
        <v>2296.25</v>
      </c>
      <c r="O176" s="35">
        <f t="shared" si="14"/>
        <v>1737.8971428571429</v>
      </c>
    </row>
    <row r="177" spans="1:15" x14ac:dyDescent="0.4">
      <c r="A177">
        <v>144</v>
      </c>
      <c r="B177" t="s">
        <v>3002</v>
      </c>
      <c r="C177" s="131">
        <v>39721</v>
      </c>
      <c r="D177" t="s">
        <v>3021</v>
      </c>
      <c r="E177" t="s">
        <v>645</v>
      </c>
      <c r="F177">
        <v>7</v>
      </c>
      <c r="G177" s="1">
        <v>1508.49</v>
      </c>
      <c r="H177" s="1">
        <v>1508.49</v>
      </c>
      <c r="I177" s="1">
        <v>584.51</v>
      </c>
      <c r="J177" s="1">
        <f t="shared" si="12"/>
        <v>215.49857142857144</v>
      </c>
      <c r="K177" s="1">
        <v>622.22</v>
      </c>
      <c r="N177" s="35">
        <f t="shared" si="13"/>
        <v>886.27</v>
      </c>
      <c r="O177" s="35">
        <f t="shared" si="14"/>
        <v>670.77142857142849</v>
      </c>
    </row>
    <row r="178" spans="1:15" x14ac:dyDescent="0.4">
      <c r="A178">
        <v>145</v>
      </c>
      <c r="B178" t="s">
        <v>3002</v>
      </c>
      <c r="C178" s="131">
        <v>39752</v>
      </c>
      <c r="D178" t="s">
        <v>3022</v>
      </c>
      <c r="E178" t="s">
        <v>645</v>
      </c>
      <c r="F178">
        <v>7</v>
      </c>
      <c r="G178" s="1">
        <v>1418.07</v>
      </c>
      <c r="H178" s="1">
        <v>1418.07</v>
      </c>
      <c r="I178" s="1">
        <v>549.48</v>
      </c>
      <c r="J178" s="1">
        <f t="shared" si="12"/>
        <v>202.58142857142857</v>
      </c>
      <c r="K178" s="1">
        <v>584.93000000000006</v>
      </c>
      <c r="N178" s="35">
        <f t="shared" si="13"/>
        <v>833.13999999999987</v>
      </c>
      <c r="O178" s="35">
        <f t="shared" si="14"/>
        <v>630.55857142857133</v>
      </c>
    </row>
    <row r="179" spans="1:15" x14ac:dyDescent="0.4">
      <c r="A179">
        <v>146</v>
      </c>
      <c r="B179" t="s">
        <v>3002</v>
      </c>
      <c r="C179" s="131">
        <v>39782</v>
      </c>
      <c r="D179" t="s">
        <v>3023</v>
      </c>
      <c r="E179" t="s">
        <v>645</v>
      </c>
      <c r="F179">
        <v>7</v>
      </c>
      <c r="G179" s="1">
        <v>2217.4299999999998</v>
      </c>
      <c r="H179" s="1">
        <v>2217.4299999999998</v>
      </c>
      <c r="I179" s="1">
        <v>859.27</v>
      </c>
      <c r="J179" s="1">
        <f t="shared" si="12"/>
        <v>316.77571428571429</v>
      </c>
      <c r="K179" s="1">
        <v>914.71</v>
      </c>
      <c r="N179" s="35">
        <f t="shared" si="13"/>
        <v>1302.7199999999998</v>
      </c>
      <c r="O179" s="35">
        <f t="shared" si="14"/>
        <v>985.94428571428557</v>
      </c>
    </row>
    <row r="180" spans="1:15" x14ac:dyDescent="0.4">
      <c r="A180">
        <v>147</v>
      </c>
      <c r="B180" t="s">
        <v>3002</v>
      </c>
      <c r="C180" s="131">
        <v>39872</v>
      </c>
      <c r="D180" t="s">
        <v>3024</v>
      </c>
      <c r="E180" t="s">
        <v>645</v>
      </c>
      <c r="F180">
        <v>7</v>
      </c>
      <c r="G180" s="1">
        <v>1235.6300000000001</v>
      </c>
      <c r="H180" s="1">
        <v>1235.6300000000001</v>
      </c>
      <c r="I180" s="1">
        <v>447.91</v>
      </c>
      <c r="J180" s="1">
        <f t="shared" si="12"/>
        <v>176.51857142857145</v>
      </c>
      <c r="K180" s="1">
        <v>478.8</v>
      </c>
      <c r="N180" s="35">
        <f t="shared" si="13"/>
        <v>756.83000000000015</v>
      </c>
      <c r="O180" s="35">
        <f t="shared" si="14"/>
        <v>580.31142857142868</v>
      </c>
    </row>
    <row r="181" spans="1:15" x14ac:dyDescent="0.4">
      <c r="A181">
        <v>148</v>
      </c>
      <c r="B181" t="s">
        <v>3002</v>
      </c>
      <c r="C181" s="131">
        <v>39933</v>
      </c>
      <c r="D181" t="s">
        <v>3025</v>
      </c>
      <c r="E181" t="s">
        <v>645</v>
      </c>
      <c r="F181">
        <v>7</v>
      </c>
      <c r="G181" s="1">
        <v>2213.19</v>
      </c>
      <c r="H181" s="1">
        <v>2213.19</v>
      </c>
      <c r="I181" s="1">
        <v>802.28</v>
      </c>
      <c r="J181" s="1">
        <f t="shared" si="12"/>
        <v>316.17</v>
      </c>
      <c r="K181" s="1">
        <v>857.61</v>
      </c>
      <c r="N181" s="35">
        <f t="shared" si="13"/>
        <v>1355.58</v>
      </c>
      <c r="O181" s="35">
        <f t="shared" si="14"/>
        <v>1039.4099999999999</v>
      </c>
    </row>
    <row r="182" spans="1:15" x14ac:dyDescent="0.4">
      <c r="A182">
        <v>149</v>
      </c>
      <c r="B182" t="s">
        <v>3002</v>
      </c>
      <c r="C182" s="131">
        <v>39964</v>
      </c>
      <c r="D182" t="s">
        <v>3026</v>
      </c>
      <c r="E182" t="s">
        <v>645</v>
      </c>
      <c r="F182">
        <v>7</v>
      </c>
      <c r="G182" s="1">
        <v>4868.6499999999996</v>
      </c>
      <c r="H182" s="1">
        <v>4868.6499999999996</v>
      </c>
      <c r="I182" s="1">
        <v>1764.92</v>
      </c>
      <c r="J182" s="1">
        <f t="shared" si="12"/>
        <v>695.52142857142849</v>
      </c>
      <c r="K182" s="1">
        <v>1886.63</v>
      </c>
      <c r="N182" s="35">
        <f t="shared" si="13"/>
        <v>2982.0199999999995</v>
      </c>
      <c r="O182" s="35">
        <f t="shared" si="14"/>
        <v>2286.4985714285713</v>
      </c>
    </row>
    <row r="183" spans="1:15" x14ac:dyDescent="0.4">
      <c r="A183">
        <v>150</v>
      </c>
      <c r="B183" t="s">
        <v>3002</v>
      </c>
      <c r="C183" s="131">
        <v>39994</v>
      </c>
      <c r="D183" t="s">
        <v>3027</v>
      </c>
      <c r="E183" t="s">
        <v>645</v>
      </c>
      <c r="F183">
        <v>7</v>
      </c>
      <c r="G183" s="1">
        <v>2883.15</v>
      </c>
      <c r="H183" s="1">
        <v>2883.15</v>
      </c>
      <c r="I183" s="1">
        <v>1045.1600000000001</v>
      </c>
      <c r="J183" s="1">
        <f t="shared" si="12"/>
        <v>411.87857142857143</v>
      </c>
      <c r="K183" s="1">
        <v>1117.24</v>
      </c>
      <c r="N183" s="35">
        <f t="shared" si="13"/>
        <v>1765.91</v>
      </c>
      <c r="O183" s="35">
        <f t="shared" si="14"/>
        <v>1354.0314285714287</v>
      </c>
    </row>
    <row r="184" spans="1:15" x14ac:dyDescent="0.4">
      <c r="A184">
        <v>151</v>
      </c>
      <c r="B184" t="s">
        <v>3002</v>
      </c>
      <c r="C184" s="131">
        <v>40025</v>
      </c>
      <c r="D184" t="s">
        <v>3028</v>
      </c>
      <c r="E184" t="s">
        <v>645</v>
      </c>
      <c r="F184">
        <v>7</v>
      </c>
      <c r="G184" s="1">
        <v>3557.63</v>
      </c>
      <c r="H184" s="1">
        <v>3557.63</v>
      </c>
      <c r="I184" s="1">
        <v>1289.6300000000001</v>
      </c>
      <c r="J184" s="1">
        <f t="shared" si="12"/>
        <v>508.23285714285714</v>
      </c>
      <c r="K184" s="1">
        <v>1378.5700000000002</v>
      </c>
      <c r="N184" s="35">
        <f t="shared" si="13"/>
        <v>2179.06</v>
      </c>
      <c r="O184" s="35">
        <f t="shared" si="14"/>
        <v>1670.8271428571429</v>
      </c>
    </row>
    <row r="185" spans="1:15" x14ac:dyDescent="0.4">
      <c r="A185">
        <v>152</v>
      </c>
      <c r="B185" t="s">
        <v>3002</v>
      </c>
      <c r="C185" s="131">
        <v>40056</v>
      </c>
      <c r="D185" t="s">
        <v>3029</v>
      </c>
      <c r="E185" t="s">
        <v>645</v>
      </c>
      <c r="F185">
        <v>7</v>
      </c>
      <c r="G185" s="1">
        <v>6955.66</v>
      </c>
      <c r="H185" s="1">
        <v>6955.66</v>
      </c>
      <c r="I185" s="1">
        <v>2521.41</v>
      </c>
      <c r="J185" s="1">
        <f t="shared" si="12"/>
        <v>993.66571428571422</v>
      </c>
      <c r="K185" s="1">
        <v>2695.2999999999997</v>
      </c>
      <c r="N185" s="35">
        <f t="shared" si="13"/>
        <v>4260.3600000000006</v>
      </c>
      <c r="O185" s="35">
        <f t="shared" si="14"/>
        <v>3266.6942857142863</v>
      </c>
    </row>
    <row r="186" spans="1:15" x14ac:dyDescent="0.4">
      <c r="A186">
        <v>153</v>
      </c>
      <c r="B186" t="s">
        <v>3002</v>
      </c>
      <c r="C186" s="131">
        <v>40086</v>
      </c>
      <c r="D186" t="s">
        <v>3030</v>
      </c>
      <c r="E186" t="s">
        <v>645</v>
      </c>
      <c r="F186">
        <v>7</v>
      </c>
      <c r="G186" s="1">
        <v>4200.32</v>
      </c>
      <c r="H186" s="1">
        <v>4200.32</v>
      </c>
      <c r="I186" s="1">
        <v>1522.64</v>
      </c>
      <c r="J186" s="1">
        <f t="shared" si="12"/>
        <v>600.04571428571421</v>
      </c>
      <c r="K186" s="1">
        <v>1627.65</v>
      </c>
      <c r="N186" s="35">
        <f t="shared" si="13"/>
        <v>2572.6699999999996</v>
      </c>
      <c r="O186" s="35">
        <f t="shared" si="14"/>
        <v>1972.6242857142854</v>
      </c>
    </row>
    <row r="187" spans="1:15" x14ac:dyDescent="0.4">
      <c r="A187">
        <v>154</v>
      </c>
      <c r="B187" t="s">
        <v>3002</v>
      </c>
      <c r="C187" s="131">
        <v>40147</v>
      </c>
      <c r="D187" t="s">
        <v>3031</v>
      </c>
      <c r="E187" t="s">
        <v>645</v>
      </c>
      <c r="F187">
        <v>7</v>
      </c>
      <c r="G187" s="1">
        <v>740.25</v>
      </c>
      <c r="H187" s="1">
        <v>740.25</v>
      </c>
      <c r="I187" s="1">
        <v>268.37</v>
      </c>
      <c r="J187" s="1">
        <f t="shared" si="12"/>
        <v>105.75</v>
      </c>
      <c r="K187" s="1">
        <v>286.88</v>
      </c>
      <c r="N187" s="35">
        <f t="shared" si="13"/>
        <v>453.37</v>
      </c>
      <c r="O187" s="35">
        <f t="shared" si="14"/>
        <v>347.62</v>
      </c>
    </row>
    <row r="188" spans="1:15" x14ac:dyDescent="0.4">
      <c r="A188">
        <v>155</v>
      </c>
      <c r="B188" t="s">
        <v>3002</v>
      </c>
      <c r="C188" s="131">
        <v>40178</v>
      </c>
      <c r="D188" t="s">
        <v>3032</v>
      </c>
      <c r="E188" t="s">
        <v>645</v>
      </c>
      <c r="F188">
        <v>7</v>
      </c>
      <c r="G188" s="1">
        <v>537.16999999999996</v>
      </c>
      <c r="H188" s="1">
        <v>537.16999999999996</v>
      </c>
      <c r="I188" s="1">
        <v>194.73</v>
      </c>
      <c r="J188" s="1">
        <f t="shared" si="12"/>
        <v>76.738571428571419</v>
      </c>
      <c r="K188" s="1">
        <v>208.16</v>
      </c>
      <c r="N188" s="35">
        <f t="shared" si="13"/>
        <v>329.01</v>
      </c>
      <c r="O188" s="35">
        <f t="shared" si="14"/>
        <v>252.27142857142857</v>
      </c>
    </row>
    <row r="189" spans="1:15" x14ac:dyDescent="0.4">
      <c r="A189">
        <v>156</v>
      </c>
      <c r="B189" t="s">
        <v>3002</v>
      </c>
      <c r="C189" s="131">
        <v>40209</v>
      </c>
      <c r="D189" t="s">
        <v>3033</v>
      </c>
      <c r="E189" t="s">
        <v>645</v>
      </c>
      <c r="F189">
        <v>7</v>
      </c>
      <c r="G189" s="1">
        <v>6348.43</v>
      </c>
      <c r="H189" s="1">
        <v>6348.43</v>
      </c>
      <c r="I189" s="1">
        <v>2142.59</v>
      </c>
      <c r="J189" s="1">
        <f t="shared" si="12"/>
        <v>906.91857142857145</v>
      </c>
      <c r="K189" s="1">
        <v>2301.3000000000002</v>
      </c>
      <c r="N189" s="35">
        <f t="shared" si="13"/>
        <v>4047.13</v>
      </c>
      <c r="O189" s="35">
        <f t="shared" si="14"/>
        <v>3140.2114285714288</v>
      </c>
    </row>
    <row r="190" spans="1:15" x14ac:dyDescent="0.4">
      <c r="A190">
        <v>157</v>
      </c>
      <c r="B190" t="s">
        <v>3002</v>
      </c>
      <c r="C190" s="131">
        <v>40268</v>
      </c>
      <c r="D190" t="s">
        <v>3034</v>
      </c>
      <c r="E190" t="s">
        <v>645</v>
      </c>
      <c r="F190">
        <v>7</v>
      </c>
      <c r="G190" s="1">
        <v>4556.46</v>
      </c>
      <c r="H190" s="1">
        <v>4556.46</v>
      </c>
      <c r="I190" s="1">
        <v>1537.79</v>
      </c>
      <c r="J190" s="1">
        <f t="shared" si="12"/>
        <v>650.9228571428572</v>
      </c>
      <c r="K190" s="1">
        <v>1651.7</v>
      </c>
      <c r="N190" s="35">
        <f t="shared" si="13"/>
        <v>2904.76</v>
      </c>
      <c r="O190" s="35">
        <f t="shared" si="14"/>
        <v>2253.8371428571431</v>
      </c>
    </row>
    <row r="191" spans="1:15" x14ac:dyDescent="0.4">
      <c r="A191">
        <v>158</v>
      </c>
      <c r="B191" t="s">
        <v>3002</v>
      </c>
      <c r="C191" s="131">
        <v>40298</v>
      </c>
      <c r="D191" t="s">
        <v>3035</v>
      </c>
      <c r="E191" t="s">
        <v>645</v>
      </c>
      <c r="F191">
        <v>7</v>
      </c>
      <c r="G191" s="1">
        <v>3447.83</v>
      </c>
      <c r="H191" s="1">
        <v>3447.83</v>
      </c>
      <c r="I191" s="1">
        <v>1163.6600000000001</v>
      </c>
      <c r="J191" s="1">
        <f t="shared" si="12"/>
        <v>492.54714285714283</v>
      </c>
      <c r="K191" s="1">
        <v>1249.8600000000001</v>
      </c>
      <c r="N191" s="35">
        <f t="shared" si="13"/>
        <v>2197.9699999999998</v>
      </c>
      <c r="O191" s="35">
        <f t="shared" si="14"/>
        <v>1705.4228571428571</v>
      </c>
    </row>
    <row r="192" spans="1:15" x14ac:dyDescent="0.4">
      <c r="A192">
        <v>159</v>
      </c>
      <c r="B192" t="s">
        <v>3002</v>
      </c>
      <c r="C192" s="131">
        <v>40421</v>
      </c>
      <c r="D192" t="s">
        <v>3036</v>
      </c>
      <c r="E192" t="s">
        <v>645</v>
      </c>
      <c r="F192">
        <v>7</v>
      </c>
      <c r="G192" s="1">
        <v>2807.25</v>
      </c>
      <c r="H192" s="1">
        <v>2807.25</v>
      </c>
      <c r="I192" s="1">
        <v>947.43</v>
      </c>
      <c r="J192" s="1">
        <f t="shared" si="12"/>
        <v>401.03571428571428</v>
      </c>
      <c r="K192" s="1">
        <v>1017.6099999999999</v>
      </c>
      <c r="N192" s="35">
        <f t="shared" si="13"/>
        <v>1789.64</v>
      </c>
      <c r="O192" s="35">
        <f t="shared" si="14"/>
        <v>1388.6042857142859</v>
      </c>
    </row>
    <row r="193" spans="1:15" x14ac:dyDescent="0.4">
      <c r="A193">
        <v>160</v>
      </c>
      <c r="B193" t="s">
        <v>3002</v>
      </c>
      <c r="C193" s="131">
        <v>40451</v>
      </c>
      <c r="D193" t="s">
        <v>3037</v>
      </c>
      <c r="E193" t="s">
        <v>645</v>
      </c>
      <c r="F193">
        <v>7</v>
      </c>
      <c r="G193" s="1">
        <v>1844.44</v>
      </c>
      <c r="H193" s="1">
        <v>1844.44</v>
      </c>
      <c r="I193" s="1">
        <v>622.49</v>
      </c>
      <c r="J193" s="1">
        <f t="shared" si="12"/>
        <v>263.49142857142857</v>
      </c>
      <c r="K193" s="1">
        <v>668.6</v>
      </c>
      <c r="N193" s="35">
        <f t="shared" si="13"/>
        <v>1175.8400000000001</v>
      </c>
      <c r="O193" s="35">
        <f t="shared" si="14"/>
        <v>912.34857142857163</v>
      </c>
    </row>
    <row r="194" spans="1:15" x14ac:dyDescent="0.4">
      <c r="A194">
        <v>161</v>
      </c>
      <c r="B194" t="s">
        <v>3002</v>
      </c>
      <c r="C194" s="131">
        <v>40482</v>
      </c>
      <c r="D194" t="s">
        <v>3038</v>
      </c>
      <c r="E194" t="s">
        <v>645</v>
      </c>
      <c r="F194">
        <v>7</v>
      </c>
      <c r="G194" s="1">
        <v>1991.79</v>
      </c>
      <c r="H194" s="1">
        <v>1991.79</v>
      </c>
      <c r="I194" s="1">
        <v>672.22</v>
      </c>
      <c r="J194" s="1">
        <f t="shared" si="12"/>
        <v>284.54142857142858</v>
      </c>
      <c r="K194" s="1">
        <v>722.02</v>
      </c>
      <c r="N194" s="35">
        <f t="shared" si="13"/>
        <v>1269.77</v>
      </c>
      <c r="O194" s="35">
        <f t="shared" si="14"/>
        <v>985.2285714285714</v>
      </c>
    </row>
    <row r="195" spans="1:15" x14ac:dyDescent="0.4">
      <c r="A195">
        <v>162</v>
      </c>
      <c r="B195" t="s">
        <v>3002</v>
      </c>
      <c r="C195" s="131">
        <v>40574</v>
      </c>
      <c r="D195" t="s">
        <v>3039</v>
      </c>
      <c r="E195" t="s">
        <v>645</v>
      </c>
      <c r="F195">
        <v>7</v>
      </c>
      <c r="G195" s="1">
        <v>5207.43</v>
      </c>
      <c r="H195" s="1">
        <v>5207.43</v>
      </c>
      <c r="I195" s="1">
        <v>1627.34</v>
      </c>
      <c r="J195" s="1">
        <f t="shared" si="12"/>
        <v>743.91857142857145</v>
      </c>
      <c r="K195" s="1">
        <v>1757.53</v>
      </c>
      <c r="N195" s="35">
        <f t="shared" si="13"/>
        <v>3449.9000000000005</v>
      </c>
      <c r="O195" s="35">
        <f t="shared" si="14"/>
        <v>2705.9814285714292</v>
      </c>
    </row>
    <row r="196" spans="1:15" x14ac:dyDescent="0.4">
      <c r="A196">
        <v>163</v>
      </c>
      <c r="B196" t="s">
        <v>3002</v>
      </c>
      <c r="C196" s="131">
        <v>40602</v>
      </c>
      <c r="D196" t="s">
        <v>3040</v>
      </c>
      <c r="E196" t="s">
        <v>645</v>
      </c>
      <c r="F196">
        <v>7</v>
      </c>
      <c r="G196" s="1">
        <v>1830.83</v>
      </c>
      <c r="H196" s="1">
        <v>1830.83</v>
      </c>
      <c r="I196" s="1">
        <v>572.13</v>
      </c>
      <c r="J196" s="1">
        <f t="shared" si="12"/>
        <v>261.54714285714283</v>
      </c>
      <c r="K196" s="1">
        <v>617.9</v>
      </c>
      <c r="N196" s="35">
        <f t="shared" si="13"/>
        <v>1212.9299999999998</v>
      </c>
      <c r="O196" s="35">
        <f t="shared" si="14"/>
        <v>951.38285714285701</v>
      </c>
    </row>
    <row r="197" spans="1:15" x14ac:dyDescent="0.4">
      <c r="A197">
        <v>164</v>
      </c>
      <c r="B197" t="s">
        <v>3002</v>
      </c>
      <c r="C197" s="131">
        <v>40633</v>
      </c>
      <c r="D197" t="s">
        <v>3041</v>
      </c>
      <c r="E197" t="s">
        <v>645</v>
      </c>
      <c r="F197">
        <v>7</v>
      </c>
      <c r="G197" s="1">
        <v>7052.76</v>
      </c>
      <c r="H197" s="1">
        <v>7052.76</v>
      </c>
      <c r="I197" s="1">
        <v>2204</v>
      </c>
      <c r="J197" s="1">
        <f t="shared" si="12"/>
        <v>1007.5371428571428</v>
      </c>
      <c r="K197" s="1">
        <v>2380.3200000000002</v>
      </c>
      <c r="N197" s="35">
        <f t="shared" si="13"/>
        <v>4672.4400000000005</v>
      </c>
      <c r="O197" s="35">
        <f t="shared" si="14"/>
        <v>3664.9028571428576</v>
      </c>
    </row>
    <row r="198" spans="1:15" x14ac:dyDescent="0.4">
      <c r="A198">
        <v>165</v>
      </c>
      <c r="B198" t="s">
        <v>3002</v>
      </c>
      <c r="C198" s="131">
        <v>40694</v>
      </c>
      <c r="D198" t="s">
        <v>3042</v>
      </c>
      <c r="E198" t="s">
        <v>645</v>
      </c>
      <c r="F198">
        <v>7</v>
      </c>
      <c r="G198" s="1">
        <v>3236.35</v>
      </c>
      <c r="H198" s="1">
        <v>3236.35</v>
      </c>
      <c r="I198" s="1">
        <v>1011.37</v>
      </c>
      <c r="J198" s="1">
        <f t="shared" si="12"/>
        <v>462.33571428571429</v>
      </c>
      <c r="K198" s="1">
        <v>1092.28</v>
      </c>
      <c r="N198" s="35">
        <f t="shared" si="13"/>
        <v>2144.0699999999997</v>
      </c>
      <c r="O198" s="35">
        <f t="shared" si="14"/>
        <v>1681.7342857142853</v>
      </c>
    </row>
    <row r="199" spans="1:15" x14ac:dyDescent="0.4">
      <c r="A199">
        <v>166</v>
      </c>
      <c r="B199" t="s">
        <v>3002</v>
      </c>
      <c r="C199" s="131">
        <v>40755</v>
      </c>
      <c r="D199" t="s">
        <v>3043</v>
      </c>
      <c r="E199" t="s">
        <v>645</v>
      </c>
      <c r="F199">
        <v>7</v>
      </c>
      <c r="G199" s="1">
        <v>4300.91</v>
      </c>
      <c r="H199" s="1">
        <v>4300.91</v>
      </c>
      <c r="I199" s="1">
        <v>1344</v>
      </c>
      <c r="J199" s="1">
        <f t="shared" si="12"/>
        <v>614.41571428571422</v>
      </c>
      <c r="K199" s="1">
        <v>1451.52</v>
      </c>
      <c r="N199" s="35">
        <f t="shared" si="13"/>
        <v>2849.39</v>
      </c>
      <c r="O199" s="35">
        <f t="shared" si="14"/>
        <v>2234.9742857142855</v>
      </c>
    </row>
    <row r="200" spans="1:15" x14ac:dyDescent="0.4">
      <c r="A200">
        <v>167</v>
      </c>
      <c r="B200" t="s">
        <v>3002</v>
      </c>
      <c r="C200" s="131">
        <v>40786</v>
      </c>
      <c r="D200" t="s">
        <v>3044</v>
      </c>
      <c r="E200" t="s">
        <v>645</v>
      </c>
      <c r="F200">
        <v>7</v>
      </c>
      <c r="G200" s="1">
        <v>633.94000000000005</v>
      </c>
      <c r="H200" s="1">
        <v>633.94000000000005</v>
      </c>
      <c r="I200" s="1">
        <v>198.12</v>
      </c>
      <c r="J200" s="1">
        <f t="shared" si="12"/>
        <v>90.562857142857155</v>
      </c>
      <c r="K200" s="1">
        <v>213.97</v>
      </c>
      <c r="N200" s="35">
        <f t="shared" si="13"/>
        <v>419.97</v>
      </c>
      <c r="O200" s="35">
        <f t="shared" si="14"/>
        <v>329.40714285714284</v>
      </c>
    </row>
    <row r="201" spans="1:15" x14ac:dyDescent="0.4">
      <c r="A201">
        <v>168</v>
      </c>
      <c r="B201" t="s">
        <v>3002</v>
      </c>
      <c r="C201" s="131">
        <v>40816</v>
      </c>
      <c r="D201" t="s">
        <v>3045</v>
      </c>
      <c r="E201" t="s">
        <v>645</v>
      </c>
      <c r="F201">
        <v>7</v>
      </c>
      <c r="G201" s="1">
        <v>1897.54</v>
      </c>
      <c r="H201" s="1">
        <v>1897.54</v>
      </c>
      <c r="I201" s="1">
        <v>593</v>
      </c>
      <c r="J201" s="1">
        <f t="shared" si="12"/>
        <v>271.07714285714286</v>
      </c>
      <c r="K201" s="1">
        <v>640.44000000000005</v>
      </c>
      <c r="N201" s="35">
        <f t="shared" si="13"/>
        <v>1257.0999999999999</v>
      </c>
      <c r="O201" s="35">
        <f t="shared" si="14"/>
        <v>986.02285714285699</v>
      </c>
    </row>
    <row r="202" spans="1:15" x14ac:dyDescent="0.4">
      <c r="A202">
        <v>169</v>
      </c>
      <c r="B202" t="s">
        <v>3002</v>
      </c>
      <c r="C202" s="131">
        <v>40847</v>
      </c>
      <c r="D202" t="s">
        <v>3046</v>
      </c>
      <c r="E202" t="s">
        <v>645</v>
      </c>
      <c r="F202">
        <v>7</v>
      </c>
      <c r="G202" s="1">
        <v>1544</v>
      </c>
      <c r="H202" s="1">
        <v>1544</v>
      </c>
      <c r="I202" s="1">
        <v>482.5</v>
      </c>
      <c r="J202" s="1">
        <f t="shared" si="12"/>
        <v>220.57142857142858</v>
      </c>
      <c r="K202" s="1">
        <v>521.1</v>
      </c>
      <c r="N202" s="35">
        <f t="shared" si="13"/>
        <v>1022.9</v>
      </c>
      <c r="O202" s="35">
        <f t="shared" si="14"/>
        <v>802.32857142857142</v>
      </c>
    </row>
    <row r="203" spans="1:15" x14ac:dyDescent="0.4">
      <c r="A203">
        <v>170</v>
      </c>
      <c r="B203" t="s">
        <v>3002</v>
      </c>
      <c r="C203" s="131">
        <v>40877</v>
      </c>
      <c r="D203" t="s">
        <v>3047</v>
      </c>
      <c r="E203" t="s">
        <v>645</v>
      </c>
      <c r="F203">
        <v>7</v>
      </c>
      <c r="G203" s="1">
        <v>1932.71</v>
      </c>
      <c r="H203" s="1">
        <v>1932.71</v>
      </c>
      <c r="I203" s="1">
        <v>604</v>
      </c>
      <c r="J203" s="1">
        <f t="shared" si="12"/>
        <v>276.10142857142858</v>
      </c>
      <c r="K203" s="1">
        <v>652.32000000000005</v>
      </c>
      <c r="N203" s="35">
        <f t="shared" si="13"/>
        <v>1280.3899999999999</v>
      </c>
      <c r="O203" s="35">
        <f t="shared" si="14"/>
        <v>1004.2885714285712</v>
      </c>
    </row>
    <row r="204" spans="1:15" x14ac:dyDescent="0.4">
      <c r="A204">
        <v>171</v>
      </c>
      <c r="B204" t="s">
        <v>3002</v>
      </c>
      <c r="C204" s="131">
        <v>40558</v>
      </c>
      <c r="D204" t="s">
        <v>3048</v>
      </c>
      <c r="E204" t="s">
        <v>645</v>
      </c>
      <c r="F204">
        <v>7</v>
      </c>
      <c r="G204" s="1">
        <v>22480.61</v>
      </c>
      <c r="H204" s="1">
        <v>22480.61</v>
      </c>
      <c r="I204" s="1">
        <v>7025.2</v>
      </c>
      <c r="J204" s="1">
        <f t="shared" si="12"/>
        <v>3211.5157142857142</v>
      </c>
      <c r="K204" s="1">
        <v>7587.21</v>
      </c>
      <c r="N204" s="35">
        <f t="shared" si="13"/>
        <v>14893.400000000001</v>
      </c>
      <c r="O204" s="35">
        <f t="shared" si="14"/>
        <v>11681.884285714288</v>
      </c>
    </row>
    <row r="205" spans="1:15" x14ac:dyDescent="0.4">
      <c r="A205">
        <v>172</v>
      </c>
      <c r="B205" t="s">
        <v>3002</v>
      </c>
      <c r="C205" s="131">
        <v>40939</v>
      </c>
      <c r="D205" t="s">
        <v>3049</v>
      </c>
      <c r="E205" t="s">
        <v>645</v>
      </c>
      <c r="F205">
        <v>7</v>
      </c>
      <c r="G205" s="1">
        <v>2524.6799999999998</v>
      </c>
      <c r="H205" s="1">
        <v>2524.6799999999998</v>
      </c>
      <c r="I205" s="1">
        <v>725.88</v>
      </c>
      <c r="J205" s="1">
        <f t="shared" si="12"/>
        <v>360.6685714285714</v>
      </c>
      <c r="K205" s="1">
        <v>789</v>
      </c>
      <c r="N205" s="35">
        <f t="shared" si="13"/>
        <v>1735.6799999999998</v>
      </c>
      <c r="O205" s="35">
        <f t="shared" si="14"/>
        <v>1375.0114285714285</v>
      </c>
    </row>
    <row r="206" spans="1:15" x14ac:dyDescent="0.4">
      <c r="A206">
        <v>173</v>
      </c>
      <c r="B206" t="s">
        <v>3002</v>
      </c>
      <c r="C206" s="131">
        <v>40968</v>
      </c>
      <c r="D206" t="s">
        <v>3050</v>
      </c>
      <c r="E206" t="s">
        <v>645</v>
      </c>
      <c r="F206">
        <v>7</v>
      </c>
      <c r="G206" s="1">
        <v>1370.24</v>
      </c>
      <c r="H206" s="1">
        <v>1370.24</v>
      </c>
      <c r="I206" s="1">
        <v>393.97</v>
      </c>
      <c r="J206" s="1">
        <f t="shared" si="12"/>
        <v>195.74857142857144</v>
      </c>
      <c r="K206" s="1">
        <v>428.23</v>
      </c>
      <c r="N206" s="35">
        <f t="shared" si="13"/>
        <v>942.01</v>
      </c>
      <c r="O206" s="35">
        <f t="shared" si="14"/>
        <v>746.2614285714285</v>
      </c>
    </row>
    <row r="207" spans="1:15" x14ac:dyDescent="0.4">
      <c r="A207">
        <v>174</v>
      </c>
      <c r="B207" t="s">
        <v>3002</v>
      </c>
      <c r="C207" s="131">
        <v>40999</v>
      </c>
      <c r="D207" t="s">
        <v>3051</v>
      </c>
      <c r="E207" t="s">
        <v>645</v>
      </c>
      <c r="F207">
        <v>7</v>
      </c>
      <c r="G207" s="1">
        <v>1992.04</v>
      </c>
      <c r="H207" s="1">
        <v>1992.04</v>
      </c>
      <c r="I207" s="1">
        <v>572.70000000000005</v>
      </c>
      <c r="J207" s="1">
        <f t="shared" si="12"/>
        <v>284.57714285714286</v>
      </c>
      <c r="K207" s="1">
        <v>622.5</v>
      </c>
      <c r="N207" s="35">
        <f t="shared" si="13"/>
        <v>1369.54</v>
      </c>
      <c r="O207" s="35">
        <f t="shared" si="14"/>
        <v>1084.962857142857</v>
      </c>
    </row>
    <row r="208" spans="1:15" x14ac:dyDescent="0.4">
      <c r="A208">
        <v>175</v>
      </c>
      <c r="B208" t="s">
        <v>3002</v>
      </c>
      <c r="C208" s="131">
        <v>41029</v>
      </c>
      <c r="D208" t="s">
        <v>3052</v>
      </c>
      <c r="E208" t="s">
        <v>645</v>
      </c>
      <c r="F208">
        <v>7</v>
      </c>
      <c r="G208" s="1">
        <v>2702.2</v>
      </c>
      <c r="H208" s="1">
        <v>2702.2</v>
      </c>
      <c r="I208" s="1">
        <v>776.88</v>
      </c>
      <c r="J208" s="1">
        <f t="shared" si="12"/>
        <v>386.02857142857141</v>
      </c>
      <c r="K208" s="1">
        <v>844.44</v>
      </c>
      <c r="N208" s="35">
        <f t="shared" si="13"/>
        <v>1857.7599999999998</v>
      </c>
      <c r="O208" s="35">
        <f t="shared" si="14"/>
        <v>1471.7314285714283</v>
      </c>
    </row>
    <row r="209" spans="1:15" x14ac:dyDescent="0.4">
      <c r="A209">
        <v>176</v>
      </c>
      <c r="B209" t="s">
        <v>3002</v>
      </c>
      <c r="C209" s="131">
        <v>41060</v>
      </c>
      <c r="D209" t="s">
        <v>3053</v>
      </c>
      <c r="E209" t="s">
        <v>645</v>
      </c>
      <c r="F209">
        <v>7</v>
      </c>
      <c r="G209" s="1">
        <v>1237.07</v>
      </c>
      <c r="H209" s="1">
        <v>1237.07</v>
      </c>
      <c r="I209" s="1">
        <v>355.69</v>
      </c>
      <c r="J209" s="1">
        <f t="shared" si="12"/>
        <v>176.72428571428571</v>
      </c>
      <c r="K209" s="1">
        <v>386.62</v>
      </c>
      <c r="N209" s="35">
        <f t="shared" si="13"/>
        <v>850.44999999999993</v>
      </c>
      <c r="O209" s="35">
        <f t="shared" si="14"/>
        <v>673.72571428571428</v>
      </c>
    </row>
    <row r="210" spans="1:15" x14ac:dyDescent="0.4">
      <c r="A210">
        <v>177</v>
      </c>
      <c r="B210" t="s">
        <v>3002</v>
      </c>
      <c r="C210" s="131">
        <v>41121</v>
      </c>
      <c r="D210" t="s">
        <v>3054</v>
      </c>
      <c r="E210" t="s">
        <v>645</v>
      </c>
      <c r="F210">
        <v>7</v>
      </c>
      <c r="G210" s="1">
        <v>1946.82</v>
      </c>
      <c r="H210" s="1">
        <v>1946.82</v>
      </c>
      <c r="I210" s="1">
        <v>559.71</v>
      </c>
      <c r="J210" s="1">
        <f t="shared" si="12"/>
        <v>278.11714285714282</v>
      </c>
      <c r="K210" s="1">
        <v>608.38</v>
      </c>
      <c r="N210" s="35">
        <f t="shared" si="13"/>
        <v>1338.44</v>
      </c>
      <c r="O210" s="35">
        <f t="shared" si="14"/>
        <v>1060.3228571428572</v>
      </c>
    </row>
    <row r="211" spans="1:15" x14ac:dyDescent="0.4">
      <c r="A211">
        <v>178</v>
      </c>
      <c r="B211" t="s">
        <v>3002</v>
      </c>
      <c r="C211" s="131">
        <v>41152</v>
      </c>
      <c r="D211" t="s">
        <v>3055</v>
      </c>
      <c r="E211" t="s">
        <v>645</v>
      </c>
      <c r="F211">
        <v>7</v>
      </c>
      <c r="G211" s="1">
        <v>1177.3399999999999</v>
      </c>
      <c r="H211" s="1">
        <v>1177.3399999999999</v>
      </c>
      <c r="I211" s="1">
        <v>338.45</v>
      </c>
      <c r="J211" s="1">
        <f t="shared" si="12"/>
        <v>168.19142857142856</v>
      </c>
      <c r="K211" s="1">
        <v>367.88</v>
      </c>
      <c r="N211" s="35">
        <f t="shared" si="13"/>
        <v>809.45999999999992</v>
      </c>
      <c r="O211" s="35">
        <f t="shared" si="14"/>
        <v>641.26857142857136</v>
      </c>
    </row>
    <row r="212" spans="1:15" x14ac:dyDescent="0.4">
      <c r="A212">
        <v>179</v>
      </c>
      <c r="B212" t="s">
        <v>3002</v>
      </c>
      <c r="C212" s="131">
        <v>41182</v>
      </c>
      <c r="D212" t="s">
        <v>3056</v>
      </c>
      <c r="E212" t="s">
        <v>645</v>
      </c>
      <c r="F212">
        <v>7</v>
      </c>
      <c r="G212" s="1">
        <v>1010.24</v>
      </c>
      <c r="H212" s="1">
        <v>1010.24</v>
      </c>
      <c r="I212" s="1">
        <v>290.47000000000003</v>
      </c>
      <c r="J212" s="1">
        <f t="shared" si="12"/>
        <v>144.32</v>
      </c>
      <c r="K212" s="1">
        <v>315.73</v>
      </c>
      <c r="N212" s="35">
        <f t="shared" si="13"/>
        <v>694.51</v>
      </c>
      <c r="O212" s="35">
        <f t="shared" si="14"/>
        <v>550.19000000000005</v>
      </c>
    </row>
    <row r="213" spans="1:15" x14ac:dyDescent="0.4">
      <c r="A213">
        <v>180</v>
      </c>
      <c r="B213" t="s">
        <v>3002</v>
      </c>
      <c r="C213" s="131">
        <v>41213</v>
      </c>
      <c r="D213" t="s">
        <v>3057</v>
      </c>
      <c r="E213" t="s">
        <v>645</v>
      </c>
      <c r="F213">
        <v>7</v>
      </c>
      <c r="G213" s="1">
        <v>1537.15</v>
      </c>
      <c r="H213" s="1">
        <v>1537.15</v>
      </c>
      <c r="I213" s="1">
        <v>441.94</v>
      </c>
      <c r="J213" s="1">
        <f t="shared" si="12"/>
        <v>219.59285714285716</v>
      </c>
      <c r="K213" s="1">
        <v>480.37</v>
      </c>
      <c r="N213" s="35">
        <f t="shared" si="13"/>
        <v>1056.7800000000002</v>
      </c>
      <c r="O213" s="35">
        <f t="shared" si="14"/>
        <v>837.18714285714304</v>
      </c>
    </row>
    <row r="214" spans="1:15" x14ac:dyDescent="0.4">
      <c r="A214">
        <v>181</v>
      </c>
      <c r="B214" t="s">
        <v>3002</v>
      </c>
      <c r="C214" s="131">
        <v>41274</v>
      </c>
      <c r="D214" t="s">
        <v>3058</v>
      </c>
      <c r="E214" t="s">
        <v>645</v>
      </c>
      <c r="F214">
        <v>5</v>
      </c>
      <c r="G214" s="1">
        <v>679.62</v>
      </c>
      <c r="H214" s="1">
        <v>679.62</v>
      </c>
      <c r="I214" s="1">
        <v>679.62</v>
      </c>
      <c r="J214" s="1"/>
      <c r="K214" s="1">
        <v>679.62</v>
      </c>
      <c r="N214" s="35">
        <f t="shared" si="13"/>
        <v>0</v>
      </c>
      <c r="O214" s="35">
        <f t="shared" si="14"/>
        <v>0</v>
      </c>
    </row>
    <row r="215" spans="1:15" x14ac:dyDescent="0.4">
      <c r="A215">
        <v>182</v>
      </c>
      <c r="B215" t="s">
        <v>3002</v>
      </c>
      <c r="C215" s="131">
        <v>41091</v>
      </c>
      <c r="D215" t="s">
        <v>3059</v>
      </c>
      <c r="E215" t="s">
        <v>645</v>
      </c>
      <c r="F215">
        <v>7</v>
      </c>
      <c r="G215" s="1">
        <v>37875.14</v>
      </c>
      <c r="H215" s="1">
        <v>37875.14</v>
      </c>
      <c r="I215" s="1">
        <v>10889.12</v>
      </c>
      <c r="J215" s="1">
        <f t="shared" si="12"/>
        <v>5410.7342857142858</v>
      </c>
      <c r="K215" s="1">
        <v>11836</v>
      </c>
      <c r="N215" s="35">
        <f t="shared" si="13"/>
        <v>26039.14</v>
      </c>
      <c r="O215" s="35">
        <f t="shared" si="14"/>
        <v>20628.405714285713</v>
      </c>
    </row>
    <row r="216" spans="1:15" x14ac:dyDescent="0.4">
      <c r="A216">
        <v>183</v>
      </c>
      <c r="B216" t="s">
        <v>3002</v>
      </c>
      <c r="C216" s="131">
        <v>41305</v>
      </c>
      <c r="D216" t="s">
        <v>3060</v>
      </c>
      <c r="E216" t="s">
        <v>645</v>
      </c>
      <c r="F216">
        <v>7</v>
      </c>
      <c r="G216" s="1">
        <v>3275.27</v>
      </c>
      <c r="H216" s="1">
        <v>3275.27</v>
      </c>
      <c r="I216" s="1">
        <v>859.74</v>
      </c>
      <c r="J216" s="1">
        <f t="shared" si="12"/>
        <v>467.89571428571429</v>
      </c>
      <c r="K216" s="1">
        <v>941.62</v>
      </c>
      <c r="N216" s="35">
        <f t="shared" si="13"/>
        <v>2333.65</v>
      </c>
      <c r="O216" s="35">
        <f t="shared" si="14"/>
        <v>1865.7542857142857</v>
      </c>
    </row>
    <row r="217" spans="1:15" x14ac:dyDescent="0.4">
      <c r="A217">
        <v>184</v>
      </c>
      <c r="B217" t="s">
        <v>3002</v>
      </c>
      <c r="C217" s="131">
        <v>41333</v>
      </c>
      <c r="D217" t="s">
        <v>3061</v>
      </c>
      <c r="E217" t="s">
        <v>645</v>
      </c>
      <c r="F217">
        <v>7</v>
      </c>
      <c r="G217" s="1">
        <v>1370.24</v>
      </c>
      <c r="H217" s="1">
        <v>1370.24</v>
      </c>
      <c r="I217" s="1">
        <v>359.72</v>
      </c>
      <c r="J217" s="1">
        <f t="shared" si="12"/>
        <v>195.74857142857144</v>
      </c>
      <c r="K217" s="1">
        <v>393.97</v>
      </c>
      <c r="N217" s="35">
        <f t="shared" si="13"/>
        <v>976.27</v>
      </c>
      <c r="O217" s="35">
        <f t="shared" si="14"/>
        <v>780.52142857142849</v>
      </c>
    </row>
    <row r="218" spans="1:15" x14ac:dyDescent="0.4">
      <c r="A218">
        <v>185</v>
      </c>
      <c r="B218" t="s">
        <v>3002</v>
      </c>
      <c r="C218" s="131">
        <v>41425</v>
      </c>
      <c r="D218" t="s">
        <v>3062</v>
      </c>
      <c r="E218" t="s">
        <v>645</v>
      </c>
      <c r="F218">
        <v>7</v>
      </c>
      <c r="G218" s="1">
        <v>4209.7700000000004</v>
      </c>
      <c r="H218" s="1">
        <v>4209.7700000000004</v>
      </c>
      <c r="I218" s="1">
        <v>1105.04</v>
      </c>
      <c r="J218" s="1">
        <f t="shared" si="12"/>
        <v>601.39571428571435</v>
      </c>
      <c r="K218" s="1">
        <v>1210.29</v>
      </c>
      <c r="N218" s="35">
        <f t="shared" si="13"/>
        <v>2999.4800000000005</v>
      </c>
      <c r="O218" s="35">
        <f t="shared" si="14"/>
        <v>2398.0842857142861</v>
      </c>
    </row>
    <row r="219" spans="1:15" x14ac:dyDescent="0.4">
      <c r="A219">
        <v>186</v>
      </c>
      <c r="B219" t="s">
        <v>3002</v>
      </c>
      <c r="C219" s="131">
        <v>41455</v>
      </c>
      <c r="D219" t="s">
        <v>3063</v>
      </c>
      <c r="E219" t="s">
        <v>645</v>
      </c>
      <c r="F219">
        <v>7</v>
      </c>
      <c r="G219" s="1">
        <v>4264.43</v>
      </c>
      <c r="H219" s="1">
        <v>4264.43</v>
      </c>
      <c r="I219" s="1">
        <v>1119.4100000000001</v>
      </c>
      <c r="J219" s="1">
        <f t="shared" si="12"/>
        <v>609.20428571428579</v>
      </c>
      <c r="K219" s="1">
        <v>1226.02</v>
      </c>
      <c r="N219" s="35">
        <f t="shared" si="13"/>
        <v>3038.4100000000003</v>
      </c>
      <c r="O219" s="35">
        <f t="shared" si="14"/>
        <v>2429.2057142857147</v>
      </c>
    </row>
    <row r="220" spans="1:15" x14ac:dyDescent="0.4">
      <c r="A220">
        <v>187</v>
      </c>
      <c r="B220" t="s">
        <v>3002</v>
      </c>
      <c r="C220" s="131">
        <v>41486</v>
      </c>
      <c r="D220" t="s">
        <v>3064</v>
      </c>
      <c r="E220" t="s">
        <v>645</v>
      </c>
      <c r="F220">
        <v>7</v>
      </c>
      <c r="G220" s="1">
        <v>2866.79</v>
      </c>
      <c r="H220" s="1">
        <v>2866.79</v>
      </c>
      <c r="I220" s="1">
        <v>752.53</v>
      </c>
      <c r="J220" s="1">
        <f t="shared" si="12"/>
        <v>409.54142857142858</v>
      </c>
      <c r="K220" s="1">
        <v>824.19999999999993</v>
      </c>
      <c r="N220" s="35">
        <f t="shared" si="13"/>
        <v>2042.5900000000001</v>
      </c>
      <c r="O220" s="35">
        <f t="shared" si="14"/>
        <v>1633.0485714285714</v>
      </c>
    </row>
    <row r="221" spans="1:15" x14ac:dyDescent="0.4">
      <c r="A221">
        <v>188</v>
      </c>
      <c r="B221" t="s">
        <v>3002</v>
      </c>
      <c r="C221" s="131">
        <v>41517</v>
      </c>
      <c r="D221" t="s">
        <v>3065</v>
      </c>
      <c r="E221" t="s">
        <v>645</v>
      </c>
      <c r="F221">
        <v>7</v>
      </c>
      <c r="G221" s="1">
        <v>1803.74</v>
      </c>
      <c r="H221" s="1">
        <v>1803.74</v>
      </c>
      <c r="I221" s="1">
        <v>473.45</v>
      </c>
      <c r="J221" s="1">
        <f t="shared" si="12"/>
        <v>257.67714285714288</v>
      </c>
      <c r="K221" s="1">
        <v>518.54</v>
      </c>
      <c r="N221" s="35">
        <f t="shared" si="13"/>
        <v>1285.2</v>
      </c>
      <c r="O221" s="35">
        <f t="shared" si="14"/>
        <v>1027.5228571428572</v>
      </c>
    </row>
    <row r="222" spans="1:15" x14ac:dyDescent="0.4">
      <c r="A222">
        <v>189</v>
      </c>
      <c r="B222" t="s">
        <v>3002</v>
      </c>
      <c r="C222" s="131">
        <v>41578</v>
      </c>
      <c r="D222" t="s">
        <v>3066</v>
      </c>
      <c r="E222" t="s">
        <v>645</v>
      </c>
      <c r="F222">
        <v>7</v>
      </c>
      <c r="G222" s="1">
        <v>2878.51</v>
      </c>
      <c r="H222" s="1">
        <v>2878.51</v>
      </c>
      <c r="I222" s="1">
        <v>755.58</v>
      </c>
      <c r="J222" s="1">
        <f t="shared" si="12"/>
        <v>411.21571428571434</v>
      </c>
      <c r="K222" s="1">
        <v>827.54000000000008</v>
      </c>
      <c r="N222" s="35">
        <f t="shared" si="13"/>
        <v>2050.9700000000003</v>
      </c>
      <c r="O222" s="35">
        <f t="shared" si="14"/>
        <v>1639.754285714286</v>
      </c>
    </row>
    <row r="223" spans="1:15" x14ac:dyDescent="0.4">
      <c r="A223">
        <v>190</v>
      </c>
      <c r="B223" t="s">
        <v>3002</v>
      </c>
      <c r="C223" s="131">
        <v>41608</v>
      </c>
      <c r="D223" t="s">
        <v>3067</v>
      </c>
      <c r="E223" t="s">
        <v>645</v>
      </c>
      <c r="F223">
        <v>7</v>
      </c>
      <c r="G223" s="1">
        <v>1076.71</v>
      </c>
      <c r="H223" s="1">
        <v>1076.71</v>
      </c>
      <c r="I223" s="1">
        <v>282.66000000000003</v>
      </c>
      <c r="J223" s="1">
        <f t="shared" si="12"/>
        <v>153.81571428571428</v>
      </c>
      <c r="K223" s="1">
        <v>309.58000000000004</v>
      </c>
      <c r="N223" s="35">
        <f t="shared" si="13"/>
        <v>767.13</v>
      </c>
      <c r="O223" s="35">
        <f t="shared" si="14"/>
        <v>613.31428571428569</v>
      </c>
    </row>
    <row r="224" spans="1:15" x14ac:dyDescent="0.4">
      <c r="A224">
        <v>191</v>
      </c>
      <c r="B224" t="s">
        <v>3002</v>
      </c>
      <c r="C224" s="131">
        <v>41456</v>
      </c>
      <c r="D224" t="s">
        <v>3068</v>
      </c>
      <c r="E224" t="s">
        <v>645</v>
      </c>
      <c r="F224">
        <v>7</v>
      </c>
      <c r="G224" s="1">
        <v>55115.78</v>
      </c>
      <c r="H224" s="1">
        <v>55115.78</v>
      </c>
      <c r="I224" s="1">
        <v>14467.88</v>
      </c>
      <c r="J224" s="1">
        <f t="shared" si="12"/>
        <v>7873.6828571428568</v>
      </c>
      <c r="K224" s="1">
        <v>15845.779999999999</v>
      </c>
      <c r="N224" s="35">
        <f t="shared" si="13"/>
        <v>39270</v>
      </c>
      <c r="O224" s="35">
        <f t="shared" si="14"/>
        <v>31396.317142857144</v>
      </c>
    </row>
    <row r="225" spans="1:15" x14ac:dyDescent="0.4">
      <c r="A225">
        <v>192</v>
      </c>
      <c r="B225" t="s">
        <v>3002</v>
      </c>
      <c r="C225" s="131">
        <v>41729</v>
      </c>
      <c r="D225" t="s">
        <v>3069</v>
      </c>
      <c r="E225" t="s">
        <v>645</v>
      </c>
      <c r="F225">
        <v>7</v>
      </c>
      <c r="G225" s="1">
        <v>694.31</v>
      </c>
      <c r="H225" s="1">
        <v>694.31</v>
      </c>
      <c r="I225" s="1">
        <v>164.92</v>
      </c>
      <c r="J225" s="1">
        <f t="shared" si="12"/>
        <v>99.187142857142845</v>
      </c>
      <c r="K225" s="1">
        <v>182.27999999999997</v>
      </c>
      <c r="N225" s="35">
        <f t="shared" si="13"/>
        <v>512.03</v>
      </c>
      <c r="O225" s="35">
        <f t="shared" si="14"/>
        <v>412.84285714285716</v>
      </c>
    </row>
    <row r="226" spans="1:15" x14ac:dyDescent="0.4">
      <c r="A226">
        <v>193</v>
      </c>
      <c r="B226" t="s">
        <v>3002</v>
      </c>
      <c r="C226" s="131">
        <v>41790</v>
      </c>
      <c r="D226" t="s">
        <v>3070</v>
      </c>
      <c r="E226" t="s">
        <v>645</v>
      </c>
      <c r="F226">
        <v>7</v>
      </c>
      <c r="G226" s="1">
        <v>2746.6</v>
      </c>
      <c r="H226" s="1">
        <v>2746.6</v>
      </c>
      <c r="I226" s="1">
        <v>652.32000000000005</v>
      </c>
      <c r="J226" s="1">
        <f t="shared" si="12"/>
        <v>392.37142857142857</v>
      </c>
      <c r="K226" s="1">
        <v>720.98</v>
      </c>
      <c r="N226" s="35">
        <f t="shared" si="13"/>
        <v>2025.62</v>
      </c>
      <c r="O226" s="35">
        <f t="shared" si="14"/>
        <v>1633.2485714285713</v>
      </c>
    </row>
    <row r="227" spans="1:15" x14ac:dyDescent="0.4">
      <c r="A227">
        <v>194</v>
      </c>
      <c r="B227" t="s">
        <v>3002</v>
      </c>
      <c r="C227" s="131">
        <v>41882</v>
      </c>
      <c r="D227" t="s">
        <v>3071</v>
      </c>
      <c r="E227" t="s">
        <v>645</v>
      </c>
      <c r="F227">
        <v>7</v>
      </c>
      <c r="G227" s="1">
        <v>1491.04</v>
      </c>
      <c r="H227" s="1">
        <v>1491.04</v>
      </c>
      <c r="I227" s="1">
        <v>354.15</v>
      </c>
      <c r="J227" s="1">
        <f t="shared" si="12"/>
        <v>213.00571428571428</v>
      </c>
      <c r="K227" s="1">
        <v>391.42999999999995</v>
      </c>
      <c r="N227" s="35">
        <f t="shared" si="13"/>
        <v>1099.6100000000001</v>
      </c>
      <c r="O227" s="35">
        <f t="shared" si="14"/>
        <v>886.60428571428588</v>
      </c>
    </row>
    <row r="228" spans="1:15" x14ac:dyDescent="0.4">
      <c r="A228">
        <v>195</v>
      </c>
      <c r="B228" t="s">
        <v>3002</v>
      </c>
      <c r="C228" s="131">
        <v>41973</v>
      </c>
      <c r="D228" t="s">
        <v>3072</v>
      </c>
      <c r="E228" t="s">
        <v>645</v>
      </c>
      <c r="F228">
        <v>7</v>
      </c>
      <c r="G228" s="1">
        <v>2532.29</v>
      </c>
      <c r="H228" s="1">
        <v>2532.29</v>
      </c>
      <c r="I228" s="1">
        <v>601.44000000000005</v>
      </c>
      <c r="J228" s="1">
        <f t="shared" si="12"/>
        <v>361.7557142857143</v>
      </c>
      <c r="K228" s="1">
        <v>664.75</v>
      </c>
      <c r="N228" s="35">
        <f t="shared" si="13"/>
        <v>1867.54</v>
      </c>
      <c r="O228" s="35">
        <f t="shared" si="14"/>
        <v>1505.7842857142857</v>
      </c>
    </row>
    <row r="229" spans="1:15" x14ac:dyDescent="0.4">
      <c r="A229">
        <v>196</v>
      </c>
      <c r="B229" t="s">
        <v>3002</v>
      </c>
      <c r="C229" s="131">
        <v>41821</v>
      </c>
      <c r="D229" t="s">
        <v>3073</v>
      </c>
      <c r="E229" t="s">
        <v>645</v>
      </c>
      <c r="F229">
        <v>7</v>
      </c>
      <c r="G229" s="1">
        <v>21683.9</v>
      </c>
      <c r="H229" s="1">
        <v>21683.9</v>
      </c>
      <c r="I229" s="1">
        <v>5149.95</v>
      </c>
      <c r="J229" s="1">
        <f t="shared" si="12"/>
        <v>3097.7000000000003</v>
      </c>
      <c r="K229" s="1">
        <v>5692.05</v>
      </c>
      <c r="N229" s="35">
        <f t="shared" si="13"/>
        <v>15991.850000000002</v>
      </c>
      <c r="O229" s="35">
        <f t="shared" si="14"/>
        <v>12894.150000000001</v>
      </c>
    </row>
    <row r="230" spans="1:15" x14ac:dyDescent="0.4">
      <c r="A230">
        <v>197</v>
      </c>
      <c r="B230" t="s">
        <v>3002</v>
      </c>
      <c r="C230" s="131">
        <v>42035</v>
      </c>
      <c r="D230" t="s">
        <v>3074</v>
      </c>
      <c r="E230" t="s">
        <v>645</v>
      </c>
      <c r="F230">
        <v>7</v>
      </c>
      <c r="G230" s="1">
        <v>1439.62</v>
      </c>
      <c r="H230" s="1">
        <v>1439.62</v>
      </c>
      <c r="I230" s="1">
        <v>305.92</v>
      </c>
      <c r="J230" s="1">
        <f t="shared" si="12"/>
        <v>205.66</v>
      </c>
      <c r="K230" s="1">
        <v>341.91</v>
      </c>
      <c r="N230" s="35">
        <f t="shared" si="13"/>
        <v>1097.7099999999998</v>
      </c>
      <c r="O230" s="35">
        <f t="shared" si="14"/>
        <v>892.04999999999984</v>
      </c>
    </row>
    <row r="231" spans="1:15" x14ac:dyDescent="0.4">
      <c r="A231">
        <v>198</v>
      </c>
      <c r="B231" t="s">
        <v>3002</v>
      </c>
      <c r="C231" s="131">
        <v>42124</v>
      </c>
      <c r="D231" t="s">
        <v>3075</v>
      </c>
      <c r="E231" t="s">
        <v>645</v>
      </c>
      <c r="F231">
        <v>7</v>
      </c>
      <c r="G231" s="1">
        <v>1765.82</v>
      </c>
      <c r="H231" s="1">
        <v>1765.82</v>
      </c>
      <c r="I231" s="1">
        <v>375.25</v>
      </c>
      <c r="J231" s="1">
        <f t="shared" si="12"/>
        <v>252.26</v>
      </c>
      <c r="K231" s="1">
        <v>419.4</v>
      </c>
      <c r="N231" s="35">
        <f t="shared" si="13"/>
        <v>1346.42</v>
      </c>
      <c r="O231" s="35">
        <f t="shared" si="14"/>
        <v>1094.1600000000001</v>
      </c>
    </row>
    <row r="232" spans="1:15" x14ac:dyDescent="0.4">
      <c r="A232">
        <v>199</v>
      </c>
      <c r="B232" t="s">
        <v>3002</v>
      </c>
      <c r="C232" s="131">
        <v>42185</v>
      </c>
      <c r="D232" t="s">
        <v>3076</v>
      </c>
      <c r="E232" t="s">
        <v>645</v>
      </c>
      <c r="F232">
        <v>7</v>
      </c>
      <c r="G232" s="1">
        <v>928.45</v>
      </c>
      <c r="H232" s="1">
        <v>928.45</v>
      </c>
      <c r="I232" s="1">
        <v>197.29</v>
      </c>
      <c r="J232" s="1">
        <f t="shared" si="12"/>
        <v>132.6357142857143</v>
      </c>
      <c r="K232" s="1">
        <v>220.5</v>
      </c>
      <c r="N232" s="35">
        <f t="shared" si="13"/>
        <v>707.95</v>
      </c>
      <c r="O232" s="35">
        <f t="shared" si="14"/>
        <v>575.31428571428569</v>
      </c>
    </row>
    <row r="233" spans="1:15" x14ac:dyDescent="0.4">
      <c r="A233">
        <v>200</v>
      </c>
      <c r="B233" t="s">
        <v>3002</v>
      </c>
      <c r="C233" s="131">
        <v>42369</v>
      </c>
      <c r="D233" t="s">
        <v>3077</v>
      </c>
      <c r="E233" t="s">
        <v>645</v>
      </c>
      <c r="F233">
        <v>7</v>
      </c>
      <c r="G233" s="1">
        <v>1209.6099999999999</v>
      </c>
      <c r="H233" s="1">
        <v>1209.6099999999999</v>
      </c>
      <c r="I233" s="1">
        <v>257.04000000000002</v>
      </c>
      <c r="J233" s="1">
        <f t="shared" si="12"/>
        <v>172.80142857142854</v>
      </c>
      <c r="K233" s="1">
        <v>287.28000000000003</v>
      </c>
      <c r="N233" s="35">
        <f t="shared" si="13"/>
        <v>922.32999999999993</v>
      </c>
      <c r="O233" s="35">
        <f t="shared" si="14"/>
        <v>749.52857142857135</v>
      </c>
    </row>
    <row r="234" spans="1:15" x14ac:dyDescent="0.4">
      <c r="A234">
        <v>201</v>
      </c>
      <c r="B234" t="s">
        <v>3002</v>
      </c>
      <c r="C234" s="131">
        <v>42429</v>
      </c>
      <c r="D234" t="s">
        <v>3078</v>
      </c>
      <c r="E234" t="s">
        <v>645</v>
      </c>
      <c r="F234">
        <v>7</v>
      </c>
      <c r="G234" s="1">
        <v>936.48</v>
      </c>
      <c r="H234" s="1">
        <v>936.48</v>
      </c>
      <c r="I234" s="1">
        <v>175.58</v>
      </c>
      <c r="J234" s="1">
        <f t="shared" si="12"/>
        <v>133.78285714285715</v>
      </c>
      <c r="K234" s="1">
        <v>198.99</v>
      </c>
      <c r="N234" s="35">
        <f t="shared" si="13"/>
        <v>737.49</v>
      </c>
      <c r="O234" s="35">
        <f t="shared" si="14"/>
        <v>603.7071428571428</v>
      </c>
    </row>
    <row r="235" spans="1:15" x14ac:dyDescent="0.4">
      <c r="A235">
        <v>202</v>
      </c>
      <c r="B235" t="s">
        <v>3002</v>
      </c>
      <c r="C235" s="131">
        <v>42460</v>
      </c>
      <c r="D235" t="s">
        <v>3069</v>
      </c>
      <c r="E235" t="s">
        <v>645</v>
      </c>
      <c r="F235">
        <v>7</v>
      </c>
      <c r="G235" s="1">
        <v>2171.9</v>
      </c>
      <c r="H235" s="1">
        <v>2171.9</v>
      </c>
      <c r="I235" s="1">
        <v>407.25</v>
      </c>
      <c r="J235" s="1">
        <f t="shared" ref="J235:J298" si="15">G235/F235</f>
        <v>310.2714285714286</v>
      </c>
      <c r="K235" s="1">
        <v>461.55</v>
      </c>
      <c r="N235" s="35">
        <f t="shared" ref="N235:N298" si="16">G235-K235</f>
        <v>1710.3500000000001</v>
      </c>
      <c r="O235" s="35">
        <f t="shared" ref="O235:O298" si="17">N235-J235</f>
        <v>1400.0785714285716</v>
      </c>
    </row>
    <row r="236" spans="1:15" x14ac:dyDescent="0.4">
      <c r="A236">
        <v>203</v>
      </c>
      <c r="B236" t="s">
        <v>3002</v>
      </c>
      <c r="C236" s="131">
        <v>42490</v>
      </c>
      <c r="D236" t="s">
        <v>3079</v>
      </c>
      <c r="E236" t="s">
        <v>645</v>
      </c>
      <c r="F236">
        <v>7</v>
      </c>
      <c r="G236" s="1">
        <v>1722.15</v>
      </c>
      <c r="H236" s="1">
        <v>1722.15</v>
      </c>
      <c r="I236" s="1">
        <v>322.88</v>
      </c>
      <c r="J236" s="1">
        <f t="shared" si="15"/>
        <v>246.02142857142857</v>
      </c>
      <c r="K236" s="1">
        <v>365.93</v>
      </c>
      <c r="N236" s="35">
        <f t="shared" si="16"/>
        <v>1356.22</v>
      </c>
      <c r="O236" s="35">
        <f t="shared" si="17"/>
        <v>1110.1985714285715</v>
      </c>
    </row>
    <row r="237" spans="1:15" x14ac:dyDescent="0.4">
      <c r="A237">
        <v>204</v>
      </c>
      <c r="B237" t="s">
        <v>3002</v>
      </c>
      <c r="C237" s="131">
        <v>42613</v>
      </c>
      <c r="D237" t="s">
        <v>3071</v>
      </c>
      <c r="E237" t="s">
        <v>645</v>
      </c>
      <c r="F237">
        <v>7</v>
      </c>
      <c r="G237" s="1">
        <v>1489.07</v>
      </c>
      <c r="H237" s="1">
        <v>1489.07</v>
      </c>
      <c r="I237" s="1">
        <v>279.22000000000003</v>
      </c>
      <c r="J237" s="1">
        <f t="shared" si="15"/>
        <v>212.72428571428571</v>
      </c>
      <c r="K237" s="1">
        <v>316.45000000000005</v>
      </c>
      <c r="N237" s="35">
        <f t="shared" si="16"/>
        <v>1172.6199999999999</v>
      </c>
      <c r="O237" s="35">
        <f t="shared" si="17"/>
        <v>959.89571428571412</v>
      </c>
    </row>
    <row r="238" spans="1:15" x14ac:dyDescent="0.4">
      <c r="A238">
        <v>205</v>
      </c>
      <c r="B238" t="s">
        <v>3002</v>
      </c>
      <c r="C238" s="131">
        <v>42704</v>
      </c>
      <c r="D238" t="s">
        <v>3072</v>
      </c>
      <c r="E238" t="s">
        <v>645</v>
      </c>
      <c r="F238">
        <v>7</v>
      </c>
      <c r="G238" s="1">
        <v>1258.54</v>
      </c>
      <c r="H238" s="1">
        <v>1258.54</v>
      </c>
      <c r="I238" s="1">
        <v>235.95</v>
      </c>
      <c r="J238" s="1">
        <f t="shared" si="15"/>
        <v>179.79142857142855</v>
      </c>
      <c r="K238" s="1">
        <v>267.40999999999997</v>
      </c>
      <c r="N238" s="35">
        <f t="shared" si="16"/>
        <v>991.13</v>
      </c>
      <c r="O238" s="35">
        <f t="shared" si="17"/>
        <v>811.33857142857141</v>
      </c>
    </row>
    <row r="239" spans="1:15" x14ac:dyDescent="0.4">
      <c r="A239">
        <v>206</v>
      </c>
      <c r="B239" t="s">
        <v>3002</v>
      </c>
      <c r="C239" s="131">
        <v>42766</v>
      </c>
      <c r="D239" t="s">
        <v>3060</v>
      </c>
      <c r="E239" t="s">
        <v>645</v>
      </c>
      <c r="F239">
        <v>7</v>
      </c>
      <c r="G239" s="1">
        <v>1325.63</v>
      </c>
      <c r="H239" s="1">
        <v>1325.63</v>
      </c>
      <c r="I239" s="1">
        <v>215.41</v>
      </c>
      <c r="J239" s="1">
        <f t="shared" si="15"/>
        <v>189.37571428571431</v>
      </c>
      <c r="K239" s="1">
        <v>248.55</v>
      </c>
      <c r="N239" s="35">
        <f t="shared" si="16"/>
        <v>1077.0800000000002</v>
      </c>
      <c r="O239" s="35">
        <f t="shared" si="17"/>
        <v>887.70428571428579</v>
      </c>
    </row>
    <row r="240" spans="1:15" x14ac:dyDescent="0.4">
      <c r="A240">
        <v>207</v>
      </c>
      <c r="B240" t="s">
        <v>3002</v>
      </c>
      <c r="C240" s="131">
        <v>42978</v>
      </c>
      <c r="D240" t="s">
        <v>3071</v>
      </c>
      <c r="E240" t="s">
        <v>645</v>
      </c>
      <c r="F240">
        <v>5</v>
      </c>
      <c r="G240" s="1">
        <v>1888.56</v>
      </c>
      <c r="H240" s="1">
        <v>1888.56</v>
      </c>
      <c r="I240" s="1">
        <v>1888.56</v>
      </c>
      <c r="J240" s="1"/>
      <c r="K240" s="1">
        <v>1888.56</v>
      </c>
      <c r="N240" s="35">
        <f t="shared" si="16"/>
        <v>0</v>
      </c>
      <c r="O240" s="35">
        <f t="shared" si="17"/>
        <v>0</v>
      </c>
    </row>
    <row r="241" spans="1:15" x14ac:dyDescent="0.4">
      <c r="A241">
        <v>208</v>
      </c>
      <c r="B241" t="s">
        <v>3002</v>
      </c>
      <c r="C241" s="131">
        <v>43039</v>
      </c>
      <c r="D241" t="s">
        <v>3080</v>
      </c>
      <c r="E241" t="s">
        <v>645</v>
      </c>
      <c r="F241">
        <v>7</v>
      </c>
      <c r="G241" s="1">
        <v>1305.83</v>
      </c>
      <c r="H241" s="1">
        <v>1305.83</v>
      </c>
      <c r="I241" s="1">
        <v>212.22</v>
      </c>
      <c r="J241" s="1">
        <f t="shared" si="15"/>
        <v>186.54714285714286</v>
      </c>
      <c r="K241" s="1">
        <v>244.87</v>
      </c>
      <c r="N241" s="35">
        <f t="shared" si="16"/>
        <v>1060.96</v>
      </c>
      <c r="O241" s="35">
        <f t="shared" si="17"/>
        <v>874.41285714285721</v>
      </c>
    </row>
    <row r="242" spans="1:15" x14ac:dyDescent="0.4">
      <c r="A242">
        <v>209</v>
      </c>
      <c r="B242" t="s">
        <v>3002</v>
      </c>
      <c r="C242" s="131">
        <v>43069</v>
      </c>
      <c r="D242" t="s">
        <v>3072</v>
      </c>
      <c r="E242" t="s">
        <v>645</v>
      </c>
      <c r="F242">
        <v>7</v>
      </c>
      <c r="G242" s="1">
        <v>2160.37</v>
      </c>
      <c r="H242" s="1">
        <v>2160.37</v>
      </c>
      <c r="I242" s="1">
        <v>351.06</v>
      </c>
      <c r="J242" s="1">
        <f t="shared" si="15"/>
        <v>308.62428571428569</v>
      </c>
      <c r="K242" s="1">
        <v>405.07</v>
      </c>
      <c r="N242" s="35">
        <f t="shared" si="16"/>
        <v>1755.3</v>
      </c>
      <c r="O242" s="35">
        <f t="shared" si="17"/>
        <v>1446.6757142857143</v>
      </c>
    </row>
    <row r="243" spans="1:15" x14ac:dyDescent="0.4">
      <c r="A243">
        <v>210</v>
      </c>
      <c r="B243" t="s">
        <v>3002</v>
      </c>
      <c r="C243" s="131">
        <v>43190</v>
      </c>
      <c r="D243" t="s">
        <v>3081</v>
      </c>
      <c r="E243" t="s">
        <v>645</v>
      </c>
      <c r="F243">
        <v>7</v>
      </c>
      <c r="G243" s="1">
        <v>1996.27</v>
      </c>
      <c r="H243" s="1">
        <v>1996.27</v>
      </c>
      <c r="I243" s="1">
        <v>274.5</v>
      </c>
      <c r="J243" s="1">
        <f t="shared" si="15"/>
        <v>285.18142857142857</v>
      </c>
      <c r="K243" s="1">
        <v>324.40999999999997</v>
      </c>
      <c r="N243" s="35">
        <f t="shared" si="16"/>
        <v>1671.8600000000001</v>
      </c>
      <c r="O243" s="35">
        <f t="shared" si="17"/>
        <v>1386.6785714285716</v>
      </c>
    </row>
    <row r="244" spans="1:15" x14ac:dyDescent="0.4">
      <c r="A244">
        <v>211</v>
      </c>
      <c r="B244" t="s">
        <v>3002</v>
      </c>
      <c r="C244" s="131">
        <v>43465</v>
      </c>
      <c r="D244" t="s">
        <v>3082</v>
      </c>
      <c r="E244" t="s">
        <v>645</v>
      </c>
      <c r="F244">
        <v>7</v>
      </c>
      <c r="G244" s="1">
        <v>1904.63</v>
      </c>
      <c r="H244" s="1">
        <v>1904.63</v>
      </c>
      <c r="I244" s="1">
        <v>261.91000000000003</v>
      </c>
      <c r="J244" s="1">
        <f t="shared" si="15"/>
        <v>272.09000000000003</v>
      </c>
      <c r="K244" s="1">
        <v>309.53000000000003</v>
      </c>
      <c r="N244" s="35">
        <f t="shared" si="16"/>
        <v>1595.1000000000001</v>
      </c>
      <c r="O244" s="35">
        <f t="shared" si="17"/>
        <v>1323.0100000000002</v>
      </c>
    </row>
    <row r="245" spans="1:15" x14ac:dyDescent="0.4">
      <c r="A245">
        <v>212</v>
      </c>
      <c r="B245" t="s">
        <v>3002</v>
      </c>
      <c r="C245" s="131">
        <v>43524</v>
      </c>
      <c r="D245" t="s">
        <v>3083</v>
      </c>
      <c r="E245" t="s">
        <v>645</v>
      </c>
      <c r="F245">
        <v>7</v>
      </c>
      <c r="G245" s="1">
        <v>5697.27</v>
      </c>
      <c r="H245" s="1">
        <v>5697.27</v>
      </c>
      <c r="I245" s="1">
        <v>640.94000000000005</v>
      </c>
      <c r="J245" s="1">
        <f t="shared" si="15"/>
        <v>813.89571428571435</v>
      </c>
      <c r="K245" s="1">
        <v>783.37000000000012</v>
      </c>
      <c r="N245" s="35">
        <f t="shared" si="16"/>
        <v>4913.9000000000005</v>
      </c>
      <c r="O245" s="35">
        <f t="shared" si="17"/>
        <v>4100.0042857142862</v>
      </c>
    </row>
    <row r="246" spans="1:15" x14ac:dyDescent="0.4">
      <c r="A246">
        <v>213</v>
      </c>
      <c r="B246" t="s">
        <v>3002</v>
      </c>
      <c r="C246" s="131">
        <v>43555</v>
      </c>
      <c r="D246" t="s">
        <v>3084</v>
      </c>
      <c r="E246" t="s">
        <v>645</v>
      </c>
      <c r="F246">
        <v>7</v>
      </c>
      <c r="G246" s="1">
        <v>4484.63</v>
      </c>
      <c r="H246" s="1">
        <v>4484.63</v>
      </c>
      <c r="I246" s="1">
        <v>504.54</v>
      </c>
      <c r="J246" s="1">
        <f t="shared" si="15"/>
        <v>640.66142857142859</v>
      </c>
      <c r="K246" s="1">
        <v>616.66000000000008</v>
      </c>
      <c r="N246" s="35">
        <f t="shared" si="16"/>
        <v>3867.9700000000003</v>
      </c>
      <c r="O246" s="35">
        <f t="shared" si="17"/>
        <v>3227.3085714285717</v>
      </c>
    </row>
    <row r="247" spans="1:15" x14ac:dyDescent="0.4">
      <c r="A247">
        <v>214</v>
      </c>
      <c r="B247" t="s">
        <v>3002</v>
      </c>
      <c r="C247" s="131">
        <v>43585</v>
      </c>
      <c r="D247" t="s">
        <v>3085</v>
      </c>
      <c r="E247" t="s">
        <v>645</v>
      </c>
      <c r="F247">
        <v>7</v>
      </c>
      <c r="G247" s="1">
        <v>3576.19</v>
      </c>
      <c r="H247" s="1">
        <v>3576.19</v>
      </c>
      <c r="I247" s="1">
        <v>402.31</v>
      </c>
      <c r="J247" s="1">
        <f t="shared" si="15"/>
        <v>510.88428571428574</v>
      </c>
      <c r="K247" s="1">
        <v>491.72</v>
      </c>
      <c r="N247" s="35">
        <f t="shared" si="16"/>
        <v>3084.4700000000003</v>
      </c>
      <c r="O247" s="35">
        <f t="shared" si="17"/>
        <v>2573.5857142857144</v>
      </c>
    </row>
    <row r="248" spans="1:15" x14ac:dyDescent="0.4">
      <c r="A248">
        <v>215</v>
      </c>
      <c r="B248" t="s">
        <v>3002</v>
      </c>
      <c r="C248" s="131">
        <v>43616</v>
      </c>
      <c r="D248" t="s">
        <v>3086</v>
      </c>
      <c r="E248" t="s">
        <v>645</v>
      </c>
      <c r="F248">
        <v>7</v>
      </c>
      <c r="G248" s="1">
        <v>1986.63</v>
      </c>
      <c r="H248" s="1">
        <v>1986.63</v>
      </c>
      <c r="I248" s="1">
        <v>223.51</v>
      </c>
      <c r="J248" s="1">
        <f t="shared" si="15"/>
        <v>283.80428571428575</v>
      </c>
      <c r="K248" s="1">
        <v>273.18</v>
      </c>
      <c r="N248" s="35">
        <f t="shared" si="16"/>
        <v>1713.45</v>
      </c>
      <c r="O248" s="35">
        <f t="shared" si="17"/>
        <v>1429.6457142857143</v>
      </c>
    </row>
    <row r="249" spans="1:15" x14ac:dyDescent="0.4">
      <c r="A249">
        <v>216</v>
      </c>
      <c r="B249" t="s">
        <v>3002</v>
      </c>
      <c r="C249" s="131">
        <v>43677</v>
      </c>
      <c r="D249" t="s">
        <v>3087</v>
      </c>
      <c r="E249" t="s">
        <v>645</v>
      </c>
      <c r="F249">
        <v>7</v>
      </c>
      <c r="G249" s="1">
        <v>659.91</v>
      </c>
      <c r="H249" s="1">
        <v>659.91</v>
      </c>
      <c r="I249" s="1">
        <v>74.25</v>
      </c>
      <c r="J249" s="1">
        <f t="shared" si="15"/>
        <v>94.272857142857134</v>
      </c>
      <c r="K249" s="1">
        <v>90.75</v>
      </c>
      <c r="N249" s="35">
        <f t="shared" si="16"/>
        <v>569.16</v>
      </c>
      <c r="O249" s="35">
        <f t="shared" si="17"/>
        <v>474.88714285714286</v>
      </c>
    </row>
    <row r="250" spans="1:15" x14ac:dyDescent="0.4">
      <c r="A250">
        <v>217</v>
      </c>
      <c r="B250" t="s">
        <v>3002</v>
      </c>
      <c r="C250" s="131">
        <v>43646</v>
      </c>
      <c r="D250" t="s">
        <v>3088</v>
      </c>
      <c r="E250" t="s">
        <v>645</v>
      </c>
      <c r="F250">
        <v>7</v>
      </c>
      <c r="G250" s="1">
        <v>22799.16</v>
      </c>
      <c r="H250" s="1">
        <v>22799.16</v>
      </c>
      <c r="I250" s="1">
        <v>2564.91</v>
      </c>
      <c r="J250" s="1">
        <f t="shared" si="15"/>
        <v>3257.022857142857</v>
      </c>
      <c r="K250" s="1">
        <v>3134.89</v>
      </c>
      <c r="N250" s="35">
        <f t="shared" si="16"/>
        <v>19664.27</v>
      </c>
      <c r="O250" s="35">
        <f t="shared" si="17"/>
        <v>16407.247142857144</v>
      </c>
    </row>
    <row r="251" spans="1:15" x14ac:dyDescent="0.4">
      <c r="A251">
        <v>218</v>
      </c>
      <c r="B251" t="s">
        <v>3002</v>
      </c>
      <c r="C251" s="131">
        <v>43647</v>
      </c>
      <c r="D251" t="s">
        <v>3089</v>
      </c>
      <c r="E251" t="s">
        <v>645</v>
      </c>
      <c r="F251">
        <v>7</v>
      </c>
      <c r="G251" s="1">
        <v>12460.82</v>
      </c>
      <c r="H251" s="1">
        <v>12460.82</v>
      </c>
      <c r="I251" s="1">
        <v>1401.84</v>
      </c>
      <c r="J251" s="1">
        <f t="shared" si="15"/>
        <v>1780.1171428571429</v>
      </c>
      <c r="K251" s="1">
        <v>1713.36</v>
      </c>
      <c r="N251" s="35">
        <f t="shared" si="16"/>
        <v>10747.46</v>
      </c>
      <c r="O251" s="35">
        <f t="shared" si="17"/>
        <v>8967.3428571428558</v>
      </c>
    </row>
    <row r="252" spans="1:15" x14ac:dyDescent="0.4">
      <c r="A252">
        <v>219</v>
      </c>
      <c r="B252" t="s">
        <v>3002</v>
      </c>
      <c r="C252" s="131">
        <v>43646</v>
      </c>
      <c r="D252" t="s">
        <v>3089</v>
      </c>
      <c r="E252" t="s">
        <v>645</v>
      </c>
      <c r="F252">
        <v>7</v>
      </c>
      <c r="G252" s="1">
        <v>12460.82</v>
      </c>
      <c r="H252" s="1">
        <v>12460.82</v>
      </c>
      <c r="I252" s="1">
        <v>1401.84</v>
      </c>
      <c r="J252" s="1">
        <f t="shared" si="15"/>
        <v>1780.1171428571429</v>
      </c>
      <c r="K252" s="1">
        <v>1713.36</v>
      </c>
      <c r="N252" s="35">
        <f t="shared" si="16"/>
        <v>10747.46</v>
      </c>
      <c r="O252" s="35">
        <f t="shared" si="17"/>
        <v>8967.3428571428558</v>
      </c>
    </row>
    <row r="253" spans="1:15" x14ac:dyDescent="0.4">
      <c r="A253">
        <v>220</v>
      </c>
      <c r="B253" t="s">
        <v>3002</v>
      </c>
      <c r="C253" s="131">
        <v>43921</v>
      </c>
      <c r="D253" t="s">
        <v>3081</v>
      </c>
      <c r="E253" t="s">
        <v>645</v>
      </c>
      <c r="F253">
        <v>7</v>
      </c>
      <c r="G253" s="1">
        <v>1603.76</v>
      </c>
      <c r="H253" s="1">
        <v>1603.76</v>
      </c>
      <c r="I253" s="1">
        <v>140.32</v>
      </c>
      <c r="J253" s="1">
        <f t="shared" si="15"/>
        <v>229.10857142857142</v>
      </c>
      <c r="K253" s="1">
        <v>180.41</v>
      </c>
      <c r="N253" s="35">
        <f t="shared" si="16"/>
        <v>1423.35</v>
      </c>
      <c r="O253" s="35">
        <f t="shared" si="17"/>
        <v>1194.2414285714285</v>
      </c>
    </row>
    <row r="254" spans="1:15" x14ac:dyDescent="0.4">
      <c r="A254">
        <v>221</v>
      </c>
      <c r="B254" t="s">
        <v>3002</v>
      </c>
      <c r="C254" s="131">
        <v>43951</v>
      </c>
      <c r="D254" t="s">
        <v>3079</v>
      </c>
      <c r="E254" t="s">
        <v>645</v>
      </c>
      <c r="F254">
        <v>7</v>
      </c>
      <c r="G254" s="1">
        <v>2101.0700000000002</v>
      </c>
      <c r="H254" s="1">
        <v>2101.0700000000002</v>
      </c>
      <c r="I254" s="1">
        <v>183.85</v>
      </c>
      <c r="J254" s="1">
        <f t="shared" si="15"/>
        <v>300.15285714285716</v>
      </c>
      <c r="K254" s="1">
        <v>236.38</v>
      </c>
      <c r="N254" s="35">
        <f t="shared" si="16"/>
        <v>1864.69</v>
      </c>
      <c r="O254" s="35">
        <f t="shared" si="17"/>
        <v>1564.537142857143</v>
      </c>
    </row>
    <row r="255" spans="1:15" x14ac:dyDescent="0.4">
      <c r="A255">
        <v>222</v>
      </c>
      <c r="B255" t="s">
        <v>3002</v>
      </c>
      <c r="C255" s="131">
        <v>44012</v>
      </c>
      <c r="D255" t="s">
        <v>3090</v>
      </c>
      <c r="E255" t="s">
        <v>645</v>
      </c>
      <c r="F255">
        <v>7</v>
      </c>
      <c r="G255" s="1">
        <v>1797.91</v>
      </c>
      <c r="H255" s="1">
        <v>1797.91</v>
      </c>
      <c r="I255" s="1">
        <v>157.32</v>
      </c>
      <c r="J255" s="1">
        <f t="shared" si="15"/>
        <v>256.84428571428572</v>
      </c>
      <c r="K255" s="1">
        <v>202.26999999999998</v>
      </c>
      <c r="N255" s="35">
        <f t="shared" si="16"/>
        <v>1595.64</v>
      </c>
      <c r="O255" s="35">
        <f t="shared" si="17"/>
        <v>1338.7957142857144</v>
      </c>
    </row>
    <row r="256" spans="1:15" x14ac:dyDescent="0.4">
      <c r="A256">
        <v>223</v>
      </c>
      <c r="B256" t="s">
        <v>3002</v>
      </c>
      <c r="C256" s="131">
        <v>44165</v>
      </c>
      <c r="D256" t="s">
        <v>3072</v>
      </c>
      <c r="E256" t="s">
        <v>645</v>
      </c>
      <c r="F256">
        <v>7</v>
      </c>
      <c r="G256" s="1">
        <v>1467</v>
      </c>
      <c r="H256" s="1">
        <v>1467</v>
      </c>
      <c r="I256" s="1">
        <v>128.36000000000001</v>
      </c>
      <c r="J256" s="1">
        <f t="shared" si="15"/>
        <v>209.57142857142858</v>
      </c>
      <c r="K256" s="1">
        <v>165.04000000000002</v>
      </c>
      <c r="N256" s="35">
        <f t="shared" si="16"/>
        <v>1301.96</v>
      </c>
      <c r="O256" s="35">
        <f t="shared" si="17"/>
        <v>1092.3885714285714</v>
      </c>
    </row>
    <row r="257" spans="1:15" x14ac:dyDescent="0.4">
      <c r="A257">
        <v>224</v>
      </c>
      <c r="B257" t="s">
        <v>3002</v>
      </c>
      <c r="C257" s="131">
        <v>44196</v>
      </c>
      <c r="D257" t="s">
        <v>3082</v>
      </c>
      <c r="E257" t="s">
        <v>645</v>
      </c>
      <c r="F257">
        <v>7</v>
      </c>
      <c r="G257" s="1">
        <v>1736.18</v>
      </c>
      <c r="H257" s="1">
        <v>1736.18</v>
      </c>
      <c r="I257" s="1">
        <v>151.9</v>
      </c>
      <c r="J257" s="1">
        <f t="shared" si="15"/>
        <v>248.02571428571429</v>
      </c>
      <c r="K257" s="1">
        <v>195.3</v>
      </c>
      <c r="N257" s="35">
        <f t="shared" si="16"/>
        <v>1540.88</v>
      </c>
      <c r="O257" s="35">
        <f t="shared" si="17"/>
        <v>1292.8542857142859</v>
      </c>
    </row>
    <row r="258" spans="1:15" x14ac:dyDescent="0.4">
      <c r="A258">
        <v>225</v>
      </c>
      <c r="B258" t="s">
        <v>3002</v>
      </c>
      <c r="C258" s="131">
        <v>44227</v>
      </c>
      <c r="D258" t="s">
        <v>3091</v>
      </c>
      <c r="E258" t="s">
        <v>645</v>
      </c>
      <c r="F258">
        <v>7</v>
      </c>
      <c r="G258" s="1">
        <v>1861.73</v>
      </c>
      <c r="H258" s="1">
        <v>1861.73</v>
      </c>
      <c r="I258" s="1">
        <v>271.01</v>
      </c>
      <c r="J258" s="1">
        <f t="shared" si="15"/>
        <v>265.9614285714286</v>
      </c>
      <c r="K258" s="1">
        <v>313.43</v>
      </c>
      <c r="N258" s="35">
        <f t="shared" si="16"/>
        <v>1548.3</v>
      </c>
      <c r="O258" s="35">
        <f t="shared" si="17"/>
        <v>1282.3385714285714</v>
      </c>
    </row>
    <row r="259" spans="1:15" x14ac:dyDescent="0.4">
      <c r="A259">
        <v>226</v>
      </c>
      <c r="B259" t="s">
        <v>3002</v>
      </c>
      <c r="C259" s="131">
        <v>44286</v>
      </c>
      <c r="D259" t="s">
        <v>3069</v>
      </c>
      <c r="E259" t="s">
        <v>645</v>
      </c>
      <c r="F259">
        <v>7</v>
      </c>
      <c r="G259" s="1">
        <v>978.41</v>
      </c>
      <c r="H259" s="1">
        <v>978.41</v>
      </c>
      <c r="I259" s="1">
        <v>61.15</v>
      </c>
      <c r="J259" s="1">
        <f t="shared" si="15"/>
        <v>139.77285714285713</v>
      </c>
      <c r="K259" s="1">
        <v>85.61</v>
      </c>
      <c r="N259" s="35">
        <f t="shared" si="16"/>
        <v>892.8</v>
      </c>
      <c r="O259" s="35">
        <f t="shared" si="17"/>
        <v>753.02714285714285</v>
      </c>
    </row>
    <row r="260" spans="1:15" x14ac:dyDescent="0.4">
      <c r="A260">
        <v>227</v>
      </c>
      <c r="B260" t="s">
        <v>3002</v>
      </c>
      <c r="C260" s="131">
        <v>44377</v>
      </c>
      <c r="D260" t="s">
        <v>3092</v>
      </c>
      <c r="E260" t="s">
        <v>645</v>
      </c>
      <c r="F260">
        <v>7</v>
      </c>
      <c r="G260" s="1">
        <v>17741.8</v>
      </c>
      <c r="H260" s="1">
        <v>17741.8</v>
      </c>
      <c r="I260" s="1">
        <v>1108.8699999999999</v>
      </c>
      <c r="J260" s="1">
        <f t="shared" si="15"/>
        <v>2534.542857142857</v>
      </c>
      <c r="K260" s="1">
        <v>1552.4099999999999</v>
      </c>
      <c r="N260" s="35">
        <f t="shared" si="16"/>
        <v>16189.39</v>
      </c>
      <c r="O260" s="35">
        <f t="shared" si="17"/>
        <v>13654.847142857143</v>
      </c>
    </row>
    <row r="261" spans="1:15" x14ac:dyDescent="0.4">
      <c r="A261">
        <v>228</v>
      </c>
      <c r="B261" t="s">
        <v>3002</v>
      </c>
      <c r="C261" s="131">
        <v>44408</v>
      </c>
      <c r="D261" t="s">
        <v>3093</v>
      </c>
      <c r="E261" t="s">
        <v>645</v>
      </c>
      <c r="F261">
        <v>7</v>
      </c>
      <c r="G261" s="1">
        <v>1251.32</v>
      </c>
      <c r="H261" s="1">
        <v>1251.32</v>
      </c>
      <c r="I261" s="1">
        <v>78.2</v>
      </c>
      <c r="J261" s="1">
        <f t="shared" si="15"/>
        <v>178.76</v>
      </c>
      <c r="K261" s="1">
        <v>109.48</v>
      </c>
      <c r="N261" s="35">
        <f t="shared" si="16"/>
        <v>1141.8399999999999</v>
      </c>
      <c r="O261" s="35">
        <f t="shared" si="17"/>
        <v>963.07999999999993</v>
      </c>
    </row>
    <row r="262" spans="1:15" x14ac:dyDescent="0.4">
      <c r="A262">
        <v>229</v>
      </c>
      <c r="B262" t="s">
        <v>3002</v>
      </c>
      <c r="C262" s="131">
        <v>44428</v>
      </c>
      <c r="D262" t="s">
        <v>3094</v>
      </c>
      <c r="E262" t="s">
        <v>645</v>
      </c>
      <c r="F262">
        <v>7</v>
      </c>
      <c r="G262" s="1">
        <v>28304</v>
      </c>
      <c r="H262" s="1">
        <v>28304</v>
      </c>
      <c r="I262" s="1">
        <v>1769</v>
      </c>
      <c r="J262" s="1">
        <f t="shared" si="15"/>
        <v>4043.4285714285716</v>
      </c>
      <c r="K262" s="1">
        <v>2476.6</v>
      </c>
      <c r="N262" s="35">
        <f t="shared" si="16"/>
        <v>25827.4</v>
      </c>
      <c r="O262" s="35">
        <f t="shared" si="17"/>
        <v>21783.971428571429</v>
      </c>
    </row>
    <row r="263" spans="1:15" x14ac:dyDescent="0.4">
      <c r="A263">
        <v>230</v>
      </c>
      <c r="B263" t="s">
        <v>3002</v>
      </c>
      <c r="C263" s="131">
        <v>44439</v>
      </c>
      <c r="D263" t="s">
        <v>3071</v>
      </c>
      <c r="E263" t="s">
        <v>645</v>
      </c>
      <c r="F263">
        <v>7</v>
      </c>
      <c r="G263" s="1">
        <v>1864.19</v>
      </c>
      <c r="H263" s="1">
        <v>1864.19</v>
      </c>
      <c r="I263" s="1">
        <v>116.5</v>
      </c>
      <c r="J263" s="1">
        <f t="shared" si="15"/>
        <v>266.31285714285713</v>
      </c>
      <c r="K263" s="1">
        <v>163.11000000000001</v>
      </c>
      <c r="N263" s="35">
        <f t="shared" si="16"/>
        <v>1701.08</v>
      </c>
      <c r="O263" s="35">
        <f t="shared" si="17"/>
        <v>1434.7671428571427</v>
      </c>
    </row>
    <row r="264" spans="1:15" x14ac:dyDescent="0.4">
      <c r="A264">
        <v>231</v>
      </c>
      <c r="B264" t="s">
        <v>3002</v>
      </c>
      <c r="C264" s="131">
        <v>44561</v>
      </c>
      <c r="D264" t="s">
        <v>3082</v>
      </c>
      <c r="E264" t="s">
        <v>645</v>
      </c>
      <c r="F264">
        <v>7</v>
      </c>
      <c r="G264" s="1">
        <v>4058.14</v>
      </c>
      <c r="H264" s="1">
        <v>4058.14</v>
      </c>
      <c r="I264" s="1">
        <v>253.63</v>
      </c>
      <c r="J264" s="1">
        <f t="shared" si="15"/>
        <v>579.73428571428565</v>
      </c>
      <c r="K264" s="1">
        <v>355.08</v>
      </c>
      <c r="N264" s="35">
        <f t="shared" si="16"/>
        <v>3703.06</v>
      </c>
      <c r="O264" s="35">
        <f t="shared" si="17"/>
        <v>3123.3257142857142</v>
      </c>
    </row>
    <row r="265" spans="1:15" x14ac:dyDescent="0.4">
      <c r="A265">
        <v>232</v>
      </c>
      <c r="B265" t="s">
        <v>3002</v>
      </c>
      <c r="C265" s="131">
        <v>44377</v>
      </c>
      <c r="D265" t="s">
        <v>3088</v>
      </c>
      <c r="E265" t="s">
        <v>645</v>
      </c>
      <c r="F265">
        <v>7</v>
      </c>
      <c r="G265" s="1">
        <v>25635.78</v>
      </c>
      <c r="H265" s="1">
        <v>25635.78</v>
      </c>
      <c r="I265" s="1">
        <v>1602.23</v>
      </c>
      <c r="J265" s="1">
        <f t="shared" si="15"/>
        <v>3662.2542857142857</v>
      </c>
      <c r="K265" s="1">
        <v>2243.12</v>
      </c>
      <c r="N265" s="35">
        <f t="shared" si="16"/>
        <v>23392.66</v>
      </c>
      <c r="O265" s="35">
        <f t="shared" si="17"/>
        <v>19730.405714285713</v>
      </c>
    </row>
    <row r="266" spans="1:15" x14ac:dyDescent="0.4">
      <c r="A266">
        <v>233</v>
      </c>
      <c r="B266" t="s">
        <v>3002</v>
      </c>
      <c r="C266" s="131">
        <v>44620</v>
      </c>
      <c r="D266" t="s">
        <v>3095</v>
      </c>
      <c r="E266" t="s">
        <v>645</v>
      </c>
      <c r="F266">
        <v>7</v>
      </c>
      <c r="G266" s="1">
        <v>2952.29</v>
      </c>
      <c r="H266" s="1">
        <v>2952.29</v>
      </c>
      <c r="I266" s="1">
        <v>110.71</v>
      </c>
      <c r="J266" s="1">
        <f t="shared" si="15"/>
        <v>421.7557142857143</v>
      </c>
      <c r="K266" s="1">
        <v>184.51999999999998</v>
      </c>
      <c r="N266" s="35">
        <f t="shared" si="16"/>
        <v>2767.77</v>
      </c>
      <c r="O266" s="35">
        <f t="shared" si="17"/>
        <v>2346.0142857142855</v>
      </c>
    </row>
    <row r="267" spans="1:15" x14ac:dyDescent="0.4">
      <c r="A267">
        <v>234</v>
      </c>
      <c r="B267" t="s">
        <v>3002</v>
      </c>
      <c r="C267" s="131">
        <v>44651</v>
      </c>
      <c r="D267" t="s">
        <v>3069</v>
      </c>
      <c r="E267" t="s">
        <v>645</v>
      </c>
      <c r="F267">
        <v>7</v>
      </c>
      <c r="G267" s="1">
        <v>533.46</v>
      </c>
      <c r="H267" s="1">
        <v>533.46</v>
      </c>
      <c r="I267" s="1">
        <v>20.010000000000002</v>
      </c>
      <c r="J267" s="1">
        <f t="shared" si="15"/>
        <v>76.208571428571432</v>
      </c>
      <c r="K267" s="1">
        <v>33.35</v>
      </c>
      <c r="N267" s="35">
        <f t="shared" si="16"/>
        <v>500.11</v>
      </c>
      <c r="O267" s="35">
        <f t="shared" si="17"/>
        <v>423.9014285714286</v>
      </c>
    </row>
    <row r="268" spans="1:15" x14ac:dyDescent="0.4">
      <c r="A268">
        <v>235</v>
      </c>
      <c r="B268" t="s">
        <v>3002</v>
      </c>
      <c r="C268" s="131">
        <v>44712</v>
      </c>
      <c r="D268" t="s">
        <v>3096</v>
      </c>
      <c r="E268" t="s">
        <v>645</v>
      </c>
      <c r="F268">
        <v>7</v>
      </c>
      <c r="G268" s="1">
        <v>750.61</v>
      </c>
      <c r="H268" s="1">
        <v>750.61</v>
      </c>
      <c r="I268" s="1">
        <v>28.15</v>
      </c>
      <c r="J268" s="1">
        <f t="shared" si="15"/>
        <v>107.23</v>
      </c>
      <c r="K268" s="1">
        <v>46.92</v>
      </c>
      <c r="N268" s="35">
        <f t="shared" si="16"/>
        <v>703.69</v>
      </c>
      <c r="O268" s="35">
        <f t="shared" si="17"/>
        <v>596.46</v>
      </c>
    </row>
    <row r="269" spans="1:15" x14ac:dyDescent="0.4">
      <c r="A269">
        <v>236</v>
      </c>
      <c r="B269" t="s">
        <v>3002</v>
      </c>
      <c r="C269" s="131">
        <v>44742</v>
      </c>
      <c r="D269" t="s">
        <v>3097</v>
      </c>
      <c r="E269" t="s">
        <v>645</v>
      </c>
      <c r="F269">
        <v>7</v>
      </c>
      <c r="G269" s="1">
        <v>3851.15</v>
      </c>
      <c r="H269" s="1">
        <v>3851.15</v>
      </c>
      <c r="I269" s="1">
        <v>144.41999999999999</v>
      </c>
      <c r="J269" s="1">
        <f t="shared" si="15"/>
        <v>550.16428571428571</v>
      </c>
      <c r="K269" s="1">
        <v>240.7</v>
      </c>
      <c r="N269" s="35">
        <f t="shared" si="16"/>
        <v>3610.4500000000003</v>
      </c>
      <c r="O269" s="35">
        <f t="shared" si="17"/>
        <v>3060.2857142857147</v>
      </c>
    </row>
    <row r="270" spans="1:15" x14ac:dyDescent="0.4">
      <c r="A270">
        <v>237</v>
      </c>
      <c r="B270" t="s">
        <v>3002</v>
      </c>
      <c r="C270" s="131">
        <v>44853</v>
      </c>
      <c r="D270" t="s">
        <v>3098</v>
      </c>
      <c r="E270" t="s">
        <v>645</v>
      </c>
      <c r="F270">
        <v>7</v>
      </c>
      <c r="G270" s="1">
        <v>2382.6799999999998</v>
      </c>
      <c r="H270" s="1">
        <v>2382.6799999999998</v>
      </c>
      <c r="I270" s="1">
        <v>89.35</v>
      </c>
      <c r="J270" s="1">
        <f t="shared" si="15"/>
        <v>340.38285714285712</v>
      </c>
      <c r="K270" s="1">
        <v>148.91999999999999</v>
      </c>
      <c r="N270" s="35">
        <f t="shared" si="16"/>
        <v>2233.7599999999998</v>
      </c>
      <c r="O270" s="35">
        <f t="shared" si="17"/>
        <v>1893.3771428571426</v>
      </c>
    </row>
    <row r="271" spans="1:15" x14ac:dyDescent="0.4">
      <c r="A271">
        <v>238</v>
      </c>
      <c r="B271" t="s">
        <v>3002</v>
      </c>
      <c r="C271" s="131">
        <v>44834</v>
      </c>
      <c r="D271" t="s">
        <v>1790</v>
      </c>
      <c r="E271" t="s">
        <v>645</v>
      </c>
      <c r="F271">
        <v>7</v>
      </c>
      <c r="G271" s="1">
        <v>1509.11</v>
      </c>
      <c r="H271" s="1">
        <v>1509.11</v>
      </c>
      <c r="I271" s="1">
        <v>56.59</v>
      </c>
      <c r="J271" s="1">
        <f t="shared" si="15"/>
        <v>215.58714285714285</v>
      </c>
      <c r="K271" s="1">
        <v>94.32</v>
      </c>
      <c r="N271" s="35">
        <f t="shared" si="16"/>
        <v>1414.79</v>
      </c>
      <c r="O271" s="35">
        <f t="shared" si="17"/>
        <v>1199.2028571428571</v>
      </c>
    </row>
    <row r="272" spans="1:15" x14ac:dyDescent="0.4">
      <c r="A272">
        <v>239</v>
      </c>
      <c r="B272" t="s">
        <v>3002</v>
      </c>
      <c r="C272" s="131">
        <v>44865</v>
      </c>
      <c r="D272" t="s">
        <v>3080</v>
      </c>
      <c r="E272" t="s">
        <v>645</v>
      </c>
      <c r="F272">
        <v>7</v>
      </c>
      <c r="G272" s="1">
        <v>3718.64</v>
      </c>
      <c r="H272" s="1">
        <v>3718.64</v>
      </c>
      <c r="I272" s="1">
        <v>139.44999999999999</v>
      </c>
      <c r="J272" s="1">
        <f t="shared" si="15"/>
        <v>531.23428571428565</v>
      </c>
      <c r="K272" s="1">
        <v>232.42</v>
      </c>
      <c r="N272" s="35">
        <f t="shared" si="16"/>
        <v>3486.22</v>
      </c>
      <c r="O272" s="35">
        <f t="shared" si="17"/>
        <v>2954.985714285714</v>
      </c>
    </row>
    <row r="273" spans="1:17" x14ac:dyDescent="0.4">
      <c r="A273">
        <v>240</v>
      </c>
      <c r="B273" t="s">
        <v>3002</v>
      </c>
      <c r="C273" s="131">
        <v>45046</v>
      </c>
      <c r="D273" t="s">
        <v>3099</v>
      </c>
      <c r="E273" t="s">
        <v>645</v>
      </c>
      <c r="F273">
        <v>7</v>
      </c>
      <c r="G273" s="1">
        <v>8535.15</v>
      </c>
      <c r="H273" s="1">
        <v>8535.15</v>
      </c>
      <c r="I273" s="1">
        <v>106.69</v>
      </c>
      <c r="J273" s="1">
        <f t="shared" si="15"/>
        <v>1219.3071428571427</v>
      </c>
      <c r="K273" s="1">
        <v>320.07</v>
      </c>
      <c r="N273" s="35">
        <f t="shared" si="16"/>
        <v>8215.08</v>
      </c>
      <c r="O273" s="35">
        <f t="shared" si="17"/>
        <v>6995.772857142857</v>
      </c>
    </row>
    <row r="274" spans="1:17" x14ac:dyDescent="0.4">
      <c r="A274">
        <v>241</v>
      </c>
      <c r="B274" t="s">
        <v>3002</v>
      </c>
      <c r="C274" s="131">
        <v>45077</v>
      </c>
      <c r="D274" t="s">
        <v>3100</v>
      </c>
      <c r="E274" t="s">
        <v>645</v>
      </c>
      <c r="F274">
        <v>7</v>
      </c>
      <c r="G274" s="1">
        <v>1859.73</v>
      </c>
      <c r="H274" s="1">
        <v>1859.73</v>
      </c>
      <c r="I274" s="1">
        <v>23.25</v>
      </c>
      <c r="J274" s="1">
        <f t="shared" si="15"/>
        <v>265.67571428571426</v>
      </c>
      <c r="K274" s="1">
        <v>69.740000000000009</v>
      </c>
      <c r="N274" s="35">
        <f t="shared" si="16"/>
        <v>1789.99</v>
      </c>
      <c r="O274" s="35">
        <f t="shared" si="17"/>
        <v>1524.3142857142857</v>
      </c>
    </row>
    <row r="275" spans="1:17" x14ac:dyDescent="0.4">
      <c r="A275">
        <v>242</v>
      </c>
      <c r="B275" t="s">
        <v>3002</v>
      </c>
      <c r="C275" s="131">
        <v>45107</v>
      </c>
      <c r="D275" t="s">
        <v>3092</v>
      </c>
      <c r="E275" t="s">
        <v>645</v>
      </c>
      <c r="F275">
        <v>7</v>
      </c>
      <c r="G275" s="1">
        <v>6698.09</v>
      </c>
      <c r="H275" s="1">
        <v>6698.09</v>
      </c>
      <c r="I275" s="1">
        <v>83.73</v>
      </c>
      <c r="J275" s="1">
        <f t="shared" si="15"/>
        <v>956.87</v>
      </c>
      <c r="K275" s="1">
        <v>251.18</v>
      </c>
      <c r="N275" s="35">
        <f t="shared" si="16"/>
        <v>6446.91</v>
      </c>
      <c r="O275" s="35">
        <f t="shared" si="17"/>
        <v>5490.04</v>
      </c>
    </row>
    <row r="276" spans="1:17" x14ac:dyDescent="0.4">
      <c r="A276">
        <v>243</v>
      </c>
      <c r="B276" t="s">
        <v>3002</v>
      </c>
      <c r="C276" s="131">
        <v>45138</v>
      </c>
      <c r="D276" t="s">
        <v>3093</v>
      </c>
      <c r="E276" t="s">
        <v>645</v>
      </c>
      <c r="F276">
        <v>7</v>
      </c>
      <c r="G276" s="1">
        <v>3348.05</v>
      </c>
      <c r="H276" s="1">
        <v>3348.05</v>
      </c>
      <c r="I276" s="1">
        <v>41.85</v>
      </c>
      <c r="J276" s="1">
        <f t="shared" si="15"/>
        <v>478.29285714285714</v>
      </c>
      <c r="K276" s="1">
        <v>125.55000000000001</v>
      </c>
      <c r="N276" s="35">
        <f t="shared" si="16"/>
        <v>3222.5</v>
      </c>
      <c r="O276" s="35">
        <f t="shared" si="17"/>
        <v>2744.207142857143</v>
      </c>
    </row>
    <row r="277" spans="1:17" x14ac:dyDescent="0.4">
      <c r="A277">
        <v>244</v>
      </c>
      <c r="B277" t="s">
        <v>3002</v>
      </c>
      <c r="C277" s="131">
        <v>45230</v>
      </c>
      <c r="D277" t="s">
        <v>3080</v>
      </c>
      <c r="E277" t="s">
        <v>645</v>
      </c>
      <c r="F277">
        <v>7</v>
      </c>
      <c r="G277" s="1">
        <v>2913.65</v>
      </c>
      <c r="H277" s="1">
        <v>2913.65</v>
      </c>
      <c r="I277" s="1">
        <v>36.42</v>
      </c>
      <c r="J277" s="1">
        <f t="shared" si="15"/>
        <v>416.23571428571432</v>
      </c>
      <c r="K277" s="1">
        <v>109.26</v>
      </c>
      <c r="N277" s="35">
        <f t="shared" si="16"/>
        <v>2804.39</v>
      </c>
      <c r="O277" s="35">
        <f t="shared" si="17"/>
        <v>2388.1542857142854</v>
      </c>
    </row>
    <row r="278" spans="1:17" x14ac:dyDescent="0.4">
      <c r="A278">
        <v>245</v>
      </c>
      <c r="B278" t="s">
        <v>3002</v>
      </c>
      <c r="C278" s="131">
        <v>45168</v>
      </c>
      <c r="D278" t="s">
        <v>3101</v>
      </c>
      <c r="E278" t="s">
        <v>645</v>
      </c>
      <c r="F278">
        <v>7</v>
      </c>
      <c r="G278" s="1">
        <v>49119</v>
      </c>
      <c r="H278" s="1">
        <v>49119</v>
      </c>
      <c r="I278" s="1">
        <v>613.99</v>
      </c>
      <c r="J278" s="1">
        <f t="shared" si="15"/>
        <v>7017</v>
      </c>
      <c r="K278" s="1">
        <v>1841.97</v>
      </c>
      <c r="N278" s="35">
        <f t="shared" si="16"/>
        <v>47277.03</v>
      </c>
      <c r="O278" s="35">
        <f t="shared" si="17"/>
        <v>40260.03</v>
      </c>
    </row>
    <row r="279" spans="1:17" x14ac:dyDescent="0.4">
      <c r="A279">
        <v>246</v>
      </c>
      <c r="B279" t="s">
        <v>3002</v>
      </c>
      <c r="C279" s="131">
        <v>45322</v>
      </c>
      <c r="D279" t="s">
        <v>3102</v>
      </c>
      <c r="E279" t="s">
        <v>645</v>
      </c>
      <c r="F279">
        <v>7</v>
      </c>
      <c r="G279" s="1">
        <v>2020.35</v>
      </c>
      <c r="H279" s="1">
        <v>2020.35</v>
      </c>
      <c r="I279" s="1">
        <v>0</v>
      </c>
      <c r="J279" s="1">
        <f t="shared" si="15"/>
        <v>288.62142857142857</v>
      </c>
      <c r="K279" s="1">
        <v>25.25</v>
      </c>
      <c r="N279" s="35">
        <f t="shared" si="16"/>
        <v>1995.1</v>
      </c>
      <c r="O279" s="35">
        <f t="shared" si="17"/>
        <v>1706.4785714285713</v>
      </c>
    </row>
    <row r="280" spans="1:17" x14ac:dyDescent="0.4">
      <c r="A280">
        <v>247</v>
      </c>
      <c r="B280" t="s">
        <v>3002</v>
      </c>
      <c r="C280" s="131">
        <v>45443</v>
      </c>
      <c r="D280" t="s">
        <v>3086</v>
      </c>
      <c r="E280" t="s">
        <v>645</v>
      </c>
      <c r="F280">
        <v>7</v>
      </c>
      <c r="G280" s="1">
        <v>5924.07</v>
      </c>
      <c r="H280" s="1">
        <v>5924.07</v>
      </c>
      <c r="I280" s="1">
        <v>0</v>
      </c>
      <c r="J280" s="1">
        <f t="shared" si="15"/>
        <v>846.29571428571421</v>
      </c>
      <c r="K280" s="1">
        <v>74.05</v>
      </c>
      <c r="N280" s="35">
        <f t="shared" si="16"/>
        <v>5850.0199999999995</v>
      </c>
      <c r="O280" s="35">
        <f t="shared" si="17"/>
        <v>5003.7242857142855</v>
      </c>
    </row>
    <row r="281" spans="1:17" x14ac:dyDescent="0.4">
      <c r="A281">
        <v>248</v>
      </c>
      <c r="B281" t="s">
        <v>3002</v>
      </c>
      <c r="C281" s="131">
        <v>45473</v>
      </c>
      <c r="D281" t="s">
        <v>3103</v>
      </c>
      <c r="E281" t="s">
        <v>645</v>
      </c>
      <c r="F281">
        <v>7</v>
      </c>
      <c r="G281" s="1">
        <v>4919.1099999999997</v>
      </c>
      <c r="H281" s="1">
        <v>4919.1099999999997</v>
      </c>
      <c r="I281" s="1">
        <v>0</v>
      </c>
      <c r="J281" s="1">
        <f t="shared" si="15"/>
        <v>702.7299999999999</v>
      </c>
      <c r="K281" s="1">
        <v>61.49</v>
      </c>
      <c r="N281" s="35">
        <f t="shared" si="16"/>
        <v>4857.62</v>
      </c>
      <c r="O281" s="35">
        <f t="shared" si="17"/>
        <v>4154.8900000000003</v>
      </c>
    </row>
    <row r="282" spans="1:17" x14ac:dyDescent="0.4">
      <c r="A282">
        <v>249</v>
      </c>
      <c r="B282" t="s">
        <v>3002</v>
      </c>
      <c r="C282" s="131">
        <v>45504</v>
      </c>
      <c r="D282" t="s">
        <v>1631</v>
      </c>
      <c r="E282" t="s">
        <v>645</v>
      </c>
      <c r="F282">
        <v>7</v>
      </c>
      <c r="G282" s="1">
        <v>1416.73</v>
      </c>
      <c r="H282" s="1">
        <v>1416.73</v>
      </c>
      <c r="I282" s="1">
        <v>0</v>
      </c>
      <c r="J282" s="1">
        <f t="shared" si="15"/>
        <v>202.39000000000001</v>
      </c>
      <c r="K282" s="1">
        <v>17.71</v>
      </c>
      <c r="N282" s="35">
        <f t="shared" si="16"/>
        <v>1399.02</v>
      </c>
      <c r="O282" s="35">
        <f t="shared" si="17"/>
        <v>1196.6299999999999</v>
      </c>
    </row>
    <row r="283" spans="1:17" x14ac:dyDescent="0.4">
      <c r="A283">
        <v>250</v>
      </c>
      <c r="B283" t="s">
        <v>3002</v>
      </c>
      <c r="C283" s="131">
        <v>45657</v>
      </c>
      <c r="D283" t="s">
        <v>3104</v>
      </c>
      <c r="E283" t="s">
        <v>645</v>
      </c>
      <c r="F283">
        <v>7</v>
      </c>
      <c r="G283" s="1">
        <v>2145.2600000000002</v>
      </c>
      <c r="H283" s="1">
        <v>2145.2600000000002</v>
      </c>
      <c r="I283" s="1">
        <v>0</v>
      </c>
      <c r="J283" s="1">
        <f t="shared" si="15"/>
        <v>306.46571428571434</v>
      </c>
      <c r="K283" s="1">
        <v>26.82</v>
      </c>
      <c r="L283" s="35">
        <f>SUM(J147:J283)</f>
        <v>84805.40285714285</v>
      </c>
      <c r="N283" s="35">
        <f t="shared" si="16"/>
        <v>2118.44</v>
      </c>
      <c r="O283" s="35">
        <f t="shared" si="17"/>
        <v>1811.9742857142858</v>
      </c>
      <c r="Q283" s="35">
        <f>SUM(J279:J283)</f>
        <v>2346.502857142857</v>
      </c>
    </row>
    <row r="284" spans="1:17" x14ac:dyDescent="0.4">
      <c r="C284" s="131"/>
      <c r="G284" s="1"/>
      <c r="H284" s="1"/>
      <c r="I284" s="1"/>
      <c r="J284" s="1"/>
      <c r="K284" s="1"/>
      <c r="N284" s="35">
        <f t="shared" si="16"/>
        <v>0</v>
      </c>
      <c r="O284" s="35">
        <f t="shared" si="17"/>
        <v>0</v>
      </c>
    </row>
    <row r="285" spans="1:17" x14ac:dyDescent="0.4">
      <c r="A285">
        <v>251</v>
      </c>
      <c r="B285" t="s">
        <v>3105</v>
      </c>
      <c r="C285" s="131">
        <v>36161</v>
      </c>
      <c r="D285" t="s">
        <v>3106</v>
      </c>
      <c r="E285" t="s">
        <v>645</v>
      </c>
      <c r="F285">
        <v>7</v>
      </c>
      <c r="G285" s="1">
        <v>857.29</v>
      </c>
      <c r="H285" s="1">
        <v>857.29</v>
      </c>
      <c r="I285" s="1">
        <v>535.75</v>
      </c>
      <c r="J285" s="1">
        <f t="shared" si="15"/>
        <v>122.47</v>
      </c>
      <c r="K285" s="1">
        <v>557.17999999999995</v>
      </c>
      <c r="N285" s="35">
        <f t="shared" si="16"/>
        <v>300.11</v>
      </c>
      <c r="O285" s="35">
        <f t="shared" si="17"/>
        <v>177.64000000000001</v>
      </c>
    </row>
    <row r="286" spans="1:17" x14ac:dyDescent="0.4">
      <c r="A286">
        <v>252</v>
      </c>
      <c r="B286" t="s">
        <v>3105</v>
      </c>
      <c r="C286" s="131">
        <v>36342</v>
      </c>
      <c r="D286" t="s">
        <v>3106</v>
      </c>
      <c r="E286" t="s">
        <v>645</v>
      </c>
      <c r="F286">
        <v>7</v>
      </c>
      <c r="G286" s="1">
        <v>159.97999999999999</v>
      </c>
      <c r="H286" s="1">
        <v>159.97999999999999</v>
      </c>
      <c r="I286" s="1">
        <v>98.02</v>
      </c>
      <c r="J286" s="1">
        <f t="shared" si="15"/>
        <v>22.854285714285712</v>
      </c>
      <c r="K286" s="1">
        <v>102.02</v>
      </c>
      <c r="N286" s="35">
        <f t="shared" si="16"/>
        <v>57.959999999999994</v>
      </c>
      <c r="O286" s="35">
        <f t="shared" si="17"/>
        <v>35.105714285714285</v>
      </c>
    </row>
    <row r="287" spans="1:17" x14ac:dyDescent="0.4">
      <c r="A287">
        <v>253</v>
      </c>
      <c r="B287" t="s">
        <v>3105</v>
      </c>
      <c r="C287" s="131">
        <v>36373</v>
      </c>
      <c r="D287" t="s">
        <v>3106</v>
      </c>
      <c r="E287" t="s">
        <v>645</v>
      </c>
      <c r="F287">
        <v>7</v>
      </c>
      <c r="G287" s="1">
        <v>49.76</v>
      </c>
      <c r="H287" s="1">
        <v>49.76</v>
      </c>
      <c r="I287" s="1">
        <v>30.28</v>
      </c>
      <c r="J287" s="1">
        <f t="shared" si="15"/>
        <v>7.1085714285714285</v>
      </c>
      <c r="K287" s="1">
        <v>31.52</v>
      </c>
      <c r="N287" s="35">
        <f t="shared" si="16"/>
        <v>18.239999999999998</v>
      </c>
      <c r="O287" s="35">
        <f t="shared" si="17"/>
        <v>11.13142857142857</v>
      </c>
    </row>
    <row r="288" spans="1:17" x14ac:dyDescent="0.4">
      <c r="A288">
        <v>254</v>
      </c>
      <c r="B288" t="s">
        <v>3105</v>
      </c>
      <c r="C288" s="131">
        <v>36434</v>
      </c>
      <c r="D288" t="s">
        <v>3106</v>
      </c>
      <c r="E288" t="s">
        <v>645</v>
      </c>
      <c r="F288">
        <v>7</v>
      </c>
      <c r="G288" s="1">
        <v>91.16</v>
      </c>
      <c r="H288" s="1">
        <v>91.16</v>
      </c>
      <c r="I288" s="1">
        <v>55.29</v>
      </c>
      <c r="J288" s="1">
        <f t="shared" si="15"/>
        <v>13.022857142857143</v>
      </c>
      <c r="K288" s="1">
        <v>57.57</v>
      </c>
      <c r="N288" s="35">
        <f t="shared" si="16"/>
        <v>33.589999999999996</v>
      </c>
      <c r="O288" s="35">
        <f t="shared" si="17"/>
        <v>20.567142857142855</v>
      </c>
    </row>
    <row r="289" spans="1:15" x14ac:dyDescent="0.4">
      <c r="A289">
        <v>255</v>
      </c>
      <c r="B289" t="s">
        <v>3105</v>
      </c>
      <c r="C289" s="131">
        <v>36646</v>
      </c>
      <c r="D289" t="s">
        <v>3106</v>
      </c>
      <c r="E289" t="s">
        <v>645</v>
      </c>
      <c r="F289">
        <v>7</v>
      </c>
      <c r="G289" s="1">
        <v>149.02000000000001</v>
      </c>
      <c r="H289" s="1">
        <v>149.02000000000001</v>
      </c>
      <c r="I289" s="1">
        <v>87.56</v>
      </c>
      <c r="J289" s="1">
        <f t="shared" si="15"/>
        <v>21.28857142857143</v>
      </c>
      <c r="K289" s="1">
        <v>91.28</v>
      </c>
      <c r="N289" s="35">
        <f t="shared" si="16"/>
        <v>57.740000000000009</v>
      </c>
      <c r="O289" s="35">
        <f t="shared" si="17"/>
        <v>36.451428571428579</v>
      </c>
    </row>
    <row r="290" spans="1:15" x14ac:dyDescent="0.4">
      <c r="A290">
        <v>256</v>
      </c>
      <c r="B290" t="s">
        <v>3105</v>
      </c>
      <c r="C290" s="131">
        <v>36677</v>
      </c>
      <c r="D290" t="s">
        <v>3106</v>
      </c>
      <c r="E290" t="s">
        <v>645</v>
      </c>
      <c r="F290">
        <v>7</v>
      </c>
      <c r="G290" s="1">
        <v>605.11</v>
      </c>
      <c r="H290" s="1">
        <v>605.11</v>
      </c>
      <c r="I290" s="1">
        <v>355.55</v>
      </c>
      <c r="J290" s="1">
        <f t="shared" si="15"/>
        <v>86.444285714285712</v>
      </c>
      <c r="K290" s="1">
        <v>370.67</v>
      </c>
      <c r="N290" s="35">
        <f t="shared" si="16"/>
        <v>234.44</v>
      </c>
      <c r="O290" s="35">
        <f t="shared" si="17"/>
        <v>147.99571428571429</v>
      </c>
    </row>
    <row r="291" spans="1:15" x14ac:dyDescent="0.4">
      <c r="A291">
        <v>257</v>
      </c>
      <c r="B291" t="s">
        <v>3105</v>
      </c>
      <c r="C291" s="131">
        <v>36799</v>
      </c>
      <c r="D291" t="s">
        <v>3107</v>
      </c>
      <c r="E291" t="s">
        <v>645</v>
      </c>
      <c r="F291">
        <v>7</v>
      </c>
      <c r="G291" s="1">
        <v>412.82</v>
      </c>
      <c r="H291" s="1">
        <v>412.82</v>
      </c>
      <c r="I291" s="1">
        <v>242.52</v>
      </c>
      <c r="J291" s="1">
        <f t="shared" si="15"/>
        <v>58.974285714285713</v>
      </c>
      <c r="K291" s="1">
        <v>252.84</v>
      </c>
      <c r="N291" s="35">
        <f t="shared" si="16"/>
        <v>159.97999999999999</v>
      </c>
      <c r="O291" s="35">
        <f t="shared" si="17"/>
        <v>101.00571428571428</v>
      </c>
    </row>
    <row r="292" spans="1:15" x14ac:dyDescent="0.4">
      <c r="A292">
        <v>258</v>
      </c>
      <c r="B292" t="s">
        <v>3105</v>
      </c>
      <c r="C292" s="131">
        <v>36923</v>
      </c>
      <c r="D292" t="s">
        <v>1905</v>
      </c>
      <c r="E292" t="s">
        <v>645</v>
      </c>
      <c r="F292">
        <v>7</v>
      </c>
      <c r="G292" s="1">
        <v>247.25</v>
      </c>
      <c r="H292" s="1">
        <v>247.25</v>
      </c>
      <c r="I292" s="1">
        <v>141.62</v>
      </c>
      <c r="J292" s="1">
        <f t="shared" si="15"/>
        <v>35.321428571428569</v>
      </c>
      <c r="K292" s="1">
        <v>147.80000000000001</v>
      </c>
      <c r="N292" s="35">
        <f t="shared" si="16"/>
        <v>99.449999999999989</v>
      </c>
      <c r="O292" s="35">
        <f t="shared" si="17"/>
        <v>64.128571428571419</v>
      </c>
    </row>
    <row r="293" spans="1:15" x14ac:dyDescent="0.4">
      <c r="A293">
        <v>259</v>
      </c>
      <c r="B293" t="s">
        <v>3105</v>
      </c>
      <c r="C293" s="131">
        <v>36951</v>
      </c>
      <c r="D293" t="s">
        <v>1905</v>
      </c>
      <c r="E293" t="s">
        <v>645</v>
      </c>
      <c r="F293">
        <v>7</v>
      </c>
      <c r="G293" s="1">
        <v>5.0599999999999996</v>
      </c>
      <c r="H293" s="1">
        <v>5.0599999999999996</v>
      </c>
      <c r="I293" s="1">
        <v>2.97</v>
      </c>
      <c r="J293" s="1">
        <f t="shared" si="15"/>
        <v>0.72285714285714275</v>
      </c>
      <c r="K293" s="1">
        <v>3.1</v>
      </c>
      <c r="N293" s="35">
        <f t="shared" si="16"/>
        <v>1.9599999999999995</v>
      </c>
      <c r="O293" s="35">
        <f t="shared" si="17"/>
        <v>1.2371428571428567</v>
      </c>
    </row>
    <row r="294" spans="1:15" x14ac:dyDescent="0.4">
      <c r="A294">
        <v>260</v>
      </c>
      <c r="B294" t="s">
        <v>3105</v>
      </c>
      <c r="C294" s="131">
        <v>37043</v>
      </c>
      <c r="D294" t="s">
        <v>2121</v>
      </c>
      <c r="E294" t="s">
        <v>645</v>
      </c>
      <c r="F294">
        <v>7</v>
      </c>
      <c r="G294" s="1">
        <v>31.95</v>
      </c>
      <c r="H294" s="1">
        <v>31.95</v>
      </c>
      <c r="I294" s="1">
        <v>18.07</v>
      </c>
      <c r="J294" s="1">
        <f t="shared" si="15"/>
        <v>4.5642857142857141</v>
      </c>
      <c r="K294" s="1">
        <v>18.87</v>
      </c>
      <c r="N294" s="35">
        <f t="shared" si="16"/>
        <v>13.079999999999998</v>
      </c>
      <c r="O294" s="35">
        <f t="shared" si="17"/>
        <v>8.5157142857142851</v>
      </c>
    </row>
    <row r="295" spans="1:15" x14ac:dyDescent="0.4">
      <c r="A295">
        <v>261</v>
      </c>
      <c r="B295" t="s">
        <v>3105</v>
      </c>
      <c r="C295" s="131">
        <v>37104</v>
      </c>
      <c r="D295" t="s">
        <v>3108</v>
      </c>
      <c r="E295" t="s">
        <v>645</v>
      </c>
      <c r="F295">
        <v>7</v>
      </c>
      <c r="G295" s="1">
        <v>20.09</v>
      </c>
      <c r="H295" s="1">
        <v>20.09</v>
      </c>
      <c r="I295" s="1">
        <v>11.21</v>
      </c>
      <c r="J295" s="1">
        <f t="shared" si="15"/>
        <v>2.87</v>
      </c>
      <c r="K295" s="1">
        <v>11.71</v>
      </c>
      <c r="N295" s="35">
        <f t="shared" si="16"/>
        <v>8.379999999999999</v>
      </c>
      <c r="O295" s="35">
        <f t="shared" si="17"/>
        <v>5.5099999999999989</v>
      </c>
    </row>
    <row r="296" spans="1:15" x14ac:dyDescent="0.4">
      <c r="A296">
        <v>262</v>
      </c>
      <c r="B296" t="s">
        <v>3105</v>
      </c>
      <c r="C296" s="131">
        <v>37135</v>
      </c>
      <c r="D296" t="s">
        <v>2121</v>
      </c>
      <c r="E296" t="s">
        <v>645</v>
      </c>
      <c r="F296">
        <v>7</v>
      </c>
      <c r="G296" s="1">
        <v>131.18</v>
      </c>
      <c r="H296" s="1">
        <v>131.18</v>
      </c>
      <c r="I296" s="1">
        <v>73.260000000000005</v>
      </c>
      <c r="J296" s="1">
        <f t="shared" si="15"/>
        <v>18.740000000000002</v>
      </c>
      <c r="K296" s="1">
        <v>76.540000000000006</v>
      </c>
      <c r="N296" s="35">
        <f t="shared" si="16"/>
        <v>54.64</v>
      </c>
      <c r="O296" s="35">
        <f t="shared" si="17"/>
        <v>35.9</v>
      </c>
    </row>
    <row r="297" spans="1:15" x14ac:dyDescent="0.4">
      <c r="A297">
        <v>263</v>
      </c>
      <c r="B297" t="s">
        <v>3105</v>
      </c>
      <c r="C297" s="131">
        <v>37196</v>
      </c>
      <c r="D297" t="s">
        <v>2121</v>
      </c>
      <c r="E297" t="s">
        <v>645</v>
      </c>
      <c r="F297">
        <v>7</v>
      </c>
      <c r="G297" s="1">
        <v>3.86</v>
      </c>
      <c r="H297" s="1">
        <v>3.86</v>
      </c>
      <c r="I297" s="1">
        <v>2.2200000000000002</v>
      </c>
      <c r="J297" s="1">
        <f t="shared" si="15"/>
        <v>0.55142857142857138</v>
      </c>
      <c r="K297" s="1">
        <v>2.3200000000000003</v>
      </c>
      <c r="N297" s="35">
        <f t="shared" si="16"/>
        <v>1.5399999999999996</v>
      </c>
      <c r="O297" s="35">
        <f t="shared" si="17"/>
        <v>0.98857142857142821</v>
      </c>
    </row>
    <row r="298" spans="1:15" x14ac:dyDescent="0.4">
      <c r="A298">
        <v>264</v>
      </c>
      <c r="B298" t="s">
        <v>3105</v>
      </c>
      <c r="C298" s="131">
        <v>37226</v>
      </c>
      <c r="D298" t="s">
        <v>2121</v>
      </c>
      <c r="E298" t="s">
        <v>645</v>
      </c>
      <c r="F298">
        <v>7</v>
      </c>
      <c r="G298" s="1">
        <v>14.29</v>
      </c>
      <c r="H298" s="1">
        <v>14.29</v>
      </c>
      <c r="I298" s="1">
        <v>7.95</v>
      </c>
      <c r="J298" s="1">
        <f t="shared" si="15"/>
        <v>2.0414285714285714</v>
      </c>
      <c r="K298" s="1">
        <v>8.31</v>
      </c>
      <c r="N298" s="35">
        <f t="shared" si="16"/>
        <v>5.9799999999999986</v>
      </c>
      <c r="O298" s="35">
        <f t="shared" si="17"/>
        <v>3.9385714285714273</v>
      </c>
    </row>
    <row r="299" spans="1:15" x14ac:dyDescent="0.4">
      <c r="A299">
        <v>265</v>
      </c>
      <c r="B299" t="s">
        <v>3105</v>
      </c>
      <c r="C299" s="131">
        <v>38748</v>
      </c>
      <c r="D299" t="s">
        <v>3109</v>
      </c>
      <c r="E299" t="s">
        <v>645</v>
      </c>
      <c r="F299">
        <v>7</v>
      </c>
      <c r="G299" s="1">
        <v>735.99</v>
      </c>
      <c r="H299" s="1">
        <v>735.99</v>
      </c>
      <c r="I299" s="1">
        <v>322</v>
      </c>
      <c r="J299" s="1">
        <f t="shared" ref="J299:J362" si="18">G299/F299</f>
        <v>105.14142857142858</v>
      </c>
      <c r="K299" s="1">
        <v>340.4</v>
      </c>
      <c r="N299" s="35">
        <f t="shared" ref="N299:N362" si="19">G299-K299</f>
        <v>395.59000000000003</v>
      </c>
      <c r="O299" s="35">
        <f t="shared" ref="O299:O362" si="20">N299-J299</f>
        <v>290.44857142857143</v>
      </c>
    </row>
    <row r="300" spans="1:15" x14ac:dyDescent="0.4">
      <c r="A300">
        <v>266</v>
      </c>
      <c r="B300" t="s">
        <v>3105</v>
      </c>
      <c r="C300" s="131">
        <v>38807</v>
      </c>
      <c r="D300" t="s">
        <v>3110</v>
      </c>
      <c r="E300" t="s">
        <v>645</v>
      </c>
      <c r="F300">
        <v>7</v>
      </c>
      <c r="G300" s="1">
        <v>726.19</v>
      </c>
      <c r="H300" s="1">
        <v>726.19</v>
      </c>
      <c r="I300" s="1">
        <v>317.7</v>
      </c>
      <c r="J300" s="1">
        <f t="shared" si="18"/>
        <v>103.74142857142859</v>
      </c>
      <c r="K300" s="1">
        <v>335.86</v>
      </c>
      <c r="N300" s="35">
        <f t="shared" si="19"/>
        <v>390.33000000000004</v>
      </c>
      <c r="O300" s="35">
        <f t="shared" si="20"/>
        <v>286.58857142857147</v>
      </c>
    </row>
    <row r="301" spans="1:15" x14ac:dyDescent="0.4">
      <c r="A301">
        <v>267</v>
      </c>
      <c r="B301" t="s">
        <v>3105</v>
      </c>
      <c r="C301" s="131">
        <v>38868</v>
      </c>
      <c r="D301" t="s">
        <v>3007</v>
      </c>
      <c r="E301" t="s">
        <v>645</v>
      </c>
      <c r="F301">
        <v>7</v>
      </c>
      <c r="G301" s="1">
        <v>697.41</v>
      </c>
      <c r="H301" s="1">
        <v>697.41</v>
      </c>
      <c r="I301" s="1">
        <v>305.12</v>
      </c>
      <c r="J301" s="1">
        <f t="shared" si="18"/>
        <v>99.63</v>
      </c>
      <c r="K301" s="1">
        <v>322.56</v>
      </c>
      <c r="N301" s="35">
        <f t="shared" si="19"/>
        <v>374.84999999999997</v>
      </c>
      <c r="O301" s="35">
        <f t="shared" si="20"/>
        <v>275.21999999999997</v>
      </c>
    </row>
    <row r="302" spans="1:15" x14ac:dyDescent="0.4">
      <c r="A302">
        <v>268</v>
      </c>
      <c r="B302" t="s">
        <v>3105</v>
      </c>
      <c r="C302" s="131">
        <v>38990</v>
      </c>
      <c r="D302" t="s">
        <v>3008</v>
      </c>
      <c r="E302" t="s">
        <v>645</v>
      </c>
      <c r="F302">
        <v>7</v>
      </c>
      <c r="G302" s="1">
        <v>1123.58</v>
      </c>
      <c r="H302" s="1">
        <v>1123.58</v>
      </c>
      <c r="I302" s="1">
        <v>491.57</v>
      </c>
      <c r="J302" s="1">
        <f t="shared" si="18"/>
        <v>160.51142857142855</v>
      </c>
      <c r="K302" s="1">
        <v>519.66</v>
      </c>
      <c r="N302" s="35">
        <f t="shared" si="19"/>
        <v>603.91999999999996</v>
      </c>
      <c r="O302" s="35">
        <f t="shared" si="20"/>
        <v>443.40857142857141</v>
      </c>
    </row>
    <row r="303" spans="1:15" x14ac:dyDescent="0.4">
      <c r="A303">
        <v>269</v>
      </c>
      <c r="B303" t="s">
        <v>3105</v>
      </c>
      <c r="C303" s="131">
        <v>39021</v>
      </c>
      <c r="D303" t="s">
        <v>3009</v>
      </c>
      <c r="E303" t="s">
        <v>645</v>
      </c>
      <c r="F303">
        <v>7</v>
      </c>
      <c r="G303" s="1">
        <v>737.18</v>
      </c>
      <c r="H303" s="1">
        <v>737.18</v>
      </c>
      <c r="I303" s="1">
        <v>322.52</v>
      </c>
      <c r="J303" s="1">
        <f t="shared" si="18"/>
        <v>105.31142857142856</v>
      </c>
      <c r="K303" s="1">
        <v>340.95</v>
      </c>
      <c r="N303" s="35">
        <f t="shared" si="19"/>
        <v>396.22999999999996</v>
      </c>
      <c r="O303" s="35">
        <f t="shared" si="20"/>
        <v>290.9185714285714</v>
      </c>
    </row>
    <row r="304" spans="1:15" x14ac:dyDescent="0.4">
      <c r="A304">
        <v>270</v>
      </c>
      <c r="B304" t="s">
        <v>3105</v>
      </c>
      <c r="C304" s="131">
        <v>39051</v>
      </c>
      <c r="D304" t="s">
        <v>3111</v>
      </c>
      <c r="E304" t="s">
        <v>645</v>
      </c>
      <c r="F304">
        <v>7</v>
      </c>
      <c r="G304" s="1">
        <v>164.33</v>
      </c>
      <c r="H304" s="1">
        <v>164.33</v>
      </c>
      <c r="I304" s="1">
        <v>71.92</v>
      </c>
      <c r="J304" s="1">
        <f t="shared" si="18"/>
        <v>23.475714285714286</v>
      </c>
      <c r="K304" s="1">
        <v>76.03</v>
      </c>
      <c r="N304" s="35">
        <f t="shared" si="19"/>
        <v>88.300000000000011</v>
      </c>
      <c r="O304" s="35">
        <f t="shared" si="20"/>
        <v>64.824285714285722</v>
      </c>
    </row>
    <row r="305" spans="1:15" x14ac:dyDescent="0.4">
      <c r="A305">
        <v>271</v>
      </c>
      <c r="B305" t="s">
        <v>3105</v>
      </c>
      <c r="C305" s="131">
        <v>39172</v>
      </c>
      <c r="D305" t="s">
        <v>3112</v>
      </c>
      <c r="E305" t="s">
        <v>645</v>
      </c>
      <c r="F305">
        <v>7</v>
      </c>
      <c r="G305" s="1">
        <v>896.98</v>
      </c>
      <c r="H305" s="1">
        <v>896.98</v>
      </c>
      <c r="I305" s="1">
        <v>369.99</v>
      </c>
      <c r="J305" s="1">
        <f t="shared" si="18"/>
        <v>128.14000000000001</v>
      </c>
      <c r="K305" s="1">
        <v>392.42</v>
      </c>
      <c r="N305" s="35">
        <f t="shared" si="19"/>
        <v>504.56</v>
      </c>
      <c r="O305" s="35">
        <f t="shared" si="20"/>
        <v>376.41999999999996</v>
      </c>
    </row>
    <row r="306" spans="1:15" x14ac:dyDescent="0.4">
      <c r="A306">
        <v>272</v>
      </c>
      <c r="B306" t="s">
        <v>3105</v>
      </c>
      <c r="C306" s="131">
        <v>39202</v>
      </c>
      <c r="D306" t="s">
        <v>3113</v>
      </c>
      <c r="E306" t="s">
        <v>645</v>
      </c>
      <c r="F306">
        <v>7</v>
      </c>
      <c r="G306" s="1">
        <v>1179.3499999999999</v>
      </c>
      <c r="H306" s="1">
        <v>1179.3499999999999</v>
      </c>
      <c r="I306" s="1">
        <v>486.45</v>
      </c>
      <c r="J306" s="1">
        <f t="shared" si="18"/>
        <v>168.47857142857143</v>
      </c>
      <c r="K306" s="1">
        <v>515.93999999999994</v>
      </c>
      <c r="N306" s="35">
        <f t="shared" si="19"/>
        <v>663.41</v>
      </c>
      <c r="O306" s="35">
        <f t="shared" si="20"/>
        <v>494.93142857142857</v>
      </c>
    </row>
    <row r="307" spans="1:15" x14ac:dyDescent="0.4">
      <c r="A307">
        <v>273</v>
      </c>
      <c r="B307" t="s">
        <v>3105</v>
      </c>
      <c r="C307" s="131">
        <v>39233</v>
      </c>
      <c r="D307" t="s">
        <v>3114</v>
      </c>
      <c r="E307" t="s">
        <v>645</v>
      </c>
      <c r="F307">
        <v>7</v>
      </c>
      <c r="G307" s="1">
        <v>374.46</v>
      </c>
      <c r="H307" s="1">
        <v>374.46</v>
      </c>
      <c r="I307" s="1">
        <v>154.44</v>
      </c>
      <c r="J307" s="1">
        <f t="shared" si="18"/>
        <v>53.494285714285709</v>
      </c>
      <c r="K307" s="1">
        <v>163.80000000000001</v>
      </c>
      <c r="N307" s="35">
        <f t="shared" si="19"/>
        <v>210.65999999999997</v>
      </c>
      <c r="O307" s="35">
        <f t="shared" si="20"/>
        <v>157.16571428571427</v>
      </c>
    </row>
    <row r="308" spans="1:15" x14ac:dyDescent="0.4">
      <c r="A308">
        <v>274</v>
      </c>
      <c r="B308" t="s">
        <v>3105</v>
      </c>
      <c r="C308" s="131">
        <v>39447</v>
      </c>
      <c r="D308" t="s">
        <v>3115</v>
      </c>
      <c r="E308" t="s">
        <v>645</v>
      </c>
      <c r="F308">
        <v>7</v>
      </c>
      <c r="G308" s="1">
        <v>1136.1099999999999</v>
      </c>
      <c r="H308" s="1">
        <v>1136.1099999999999</v>
      </c>
      <c r="I308" s="1">
        <v>468.6</v>
      </c>
      <c r="J308" s="1">
        <f t="shared" si="18"/>
        <v>162.30142857142854</v>
      </c>
      <c r="K308" s="1">
        <v>497</v>
      </c>
      <c r="N308" s="35">
        <f t="shared" si="19"/>
        <v>639.1099999999999</v>
      </c>
      <c r="O308" s="35">
        <f t="shared" si="20"/>
        <v>476.80857142857133</v>
      </c>
    </row>
    <row r="309" spans="1:15" x14ac:dyDescent="0.4">
      <c r="A309">
        <v>275</v>
      </c>
      <c r="B309" t="s">
        <v>3105</v>
      </c>
      <c r="C309" s="131">
        <v>39478</v>
      </c>
      <c r="D309" t="s">
        <v>3116</v>
      </c>
      <c r="E309" t="s">
        <v>645</v>
      </c>
      <c r="F309">
        <v>7</v>
      </c>
      <c r="G309" s="1">
        <v>7180.51</v>
      </c>
      <c r="H309" s="1">
        <v>7180.51</v>
      </c>
      <c r="I309" s="1">
        <v>2782.41</v>
      </c>
      <c r="J309" s="1">
        <f t="shared" si="18"/>
        <v>1025.787142857143</v>
      </c>
      <c r="K309" s="1">
        <v>2961.92</v>
      </c>
      <c r="N309" s="35">
        <f t="shared" si="19"/>
        <v>4218.59</v>
      </c>
      <c r="O309" s="35">
        <f t="shared" si="20"/>
        <v>3192.8028571428572</v>
      </c>
    </row>
    <row r="310" spans="1:15" x14ac:dyDescent="0.4">
      <c r="A310">
        <v>276</v>
      </c>
      <c r="B310" t="s">
        <v>3105</v>
      </c>
      <c r="C310" s="131">
        <v>39507</v>
      </c>
      <c r="D310" t="s">
        <v>3117</v>
      </c>
      <c r="E310" t="s">
        <v>645</v>
      </c>
      <c r="F310">
        <v>7</v>
      </c>
      <c r="G310" s="1">
        <v>839.18</v>
      </c>
      <c r="H310" s="1">
        <v>839.18</v>
      </c>
      <c r="I310" s="1">
        <v>325.19</v>
      </c>
      <c r="J310" s="1">
        <f t="shared" si="18"/>
        <v>119.88285714285713</v>
      </c>
      <c r="K310" s="1">
        <v>346.17</v>
      </c>
      <c r="N310" s="35">
        <f t="shared" si="19"/>
        <v>493.00999999999993</v>
      </c>
      <c r="O310" s="35">
        <f t="shared" si="20"/>
        <v>373.12714285714281</v>
      </c>
    </row>
    <row r="311" spans="1:15" x14ac:dyDescent="0.4">
      <c r="A311">
        <v>277</v>
      </c>
      <c r="B311" t="s">
        <v>3105</v>
      </c>
      <c r="C311" s="131">
        <v>39538</v>
      </c>
      <c r="D311" t="s">
        <v>3118</v>
      </c>
      <c r="E311" t="s">
        <v>645</v>
      </c>
      <c r="F311">
        <v>7</v>
      </c>
      <c r="G311" s="1">
        <v>3112.14</v>
      </c>
      <c r="H311" s="1">
        <v>3112.14</v>
      </c>
      <c r="I311" s="1">
        <v>1205.92</v>
      </c>
      <c r="J311" s="1">
        <f t="shared" si="18"/>
        <v>444.59142857142854</v>
      </c>
      <c r="K311" s="1">
        <v>1283.72</v>
      </c>
      <c r="N311" s="35">
        <f t="shared" si="19"/>
        <v>1828.4199999999998</v>
      </c>
      <c r="O311" s="35">
        <f t="shared" si="20"/>
        <v>1383.8285714285712</v>
      </c>
    </row>
    <row r="312" spans="1:15" x14ac:dyDescent="0.4">
      <c r="A312">
        <v>278</v>
      </c>
      <c r="B312" t="s">
        <v>3105</v>
      </c>
      <c r="C312" s="131">
        <v>39599</v>
      </c>
      <c r="D312" t="s">
        <v>3119</v>
      </c>
      <c r="E312" t="s">
        <v>645</v>
      </c>
      <c r="F312">
        <v>7</v>
      </c>
      <c r="G312" s="1">
        <v>162.41</v>
      </c>
      <c r="H312" s="1">
        <v>162.41</v>
      </c>
      <c r="I312" s="1">
        <v>62.93</v>
      </c>
      <c r="J312" s="1">
        <f t="shared" si="18"/>
        <v>23.201428571428572</v>
      </c>
      <c r="K312" s="1">
        <v>66.989999999999995</v>
      </c>
      <c r="N312" s="35">
        <f t="shared" si="19"/>
        <v>95.42</v>
      </c>
      <c r="O312" s="35">
        <f t="shared" si="20"/>
        <v>72.218571428571437</v>
      </c>
    </row>
    <row r="313" spans="1:15" x14ac:dyDescent="0.4">
      <c r="A313">
        <v>279</v>
      </c>
      <c r="B313" t="s">
        <v>3105</v>
      </c>
      <c r="C313" s="131">
        <v>39629</v>
      </c>
      <c r="D313" t="s">
        <v>3120</v>
      </c>
      <c r="E313" t="s">
        <v>645</v>
      </c>
      <c r="F313">
        <v>7</v>
      </c>
      <c r="G313" s="1">
        <v>1235.27</v>
      </c>
      <c r="H313" s="1">
        <v>1235.27</v>
      </c>
      <c r="I313" s="1">
        <v>478.64</v>
      </c>
      <c r="J313" s="1">
        <f t="shared" si="18"/>
        <v>176.46714285714285</v>
      </c>
      <c r="K313" s="1">
        <v>509.52</v>
      </c>
      <c r="N313" s="35">
        <f t="shared" si="19"/>
        <v>725.75</v>
      </c>
      <c r="O313" s="35">
        <f t="shared" si="20"/>
        <v>549.28285714285721</v>
      </c>
    </row>
    <row r="314" spans="1:15" x14ac:dyDescent="0.4">
      <c r="A314">
        <v>280</v>
      </c>
      <c r="B314" t="s">
        <v>3105</v>
      </c>
      <c r="C314" s="131">
        <v>39660</v>
      </c>
      <c r="D314" t="s">
        <v>3121</v>
      </c>
      <c r="E314" t="s">
        <v>645</v>
      </c>
      <c r="F314">
        <v>7</v>
      </c>
      <c r="G314" s="1">
        <v>1954.24</v>
      </c>
      <c r="H314" s="1">
        <v>1954.24</v>
      </c>
      <c r="I314" s="1">
        <v>757.29</v>
      </c>
      <c r="J314" s="1">
        <f t="shared" si="18"/>
        <v>279.17714285714288</v>
      </c>
      <c r="K314" s="1">
        <v>806.15</v>
      </c>
      <c r="N314" s="35">
        <f t="shared" si="19"/>
        <v>1148.0900000000001</v>
      </c>
      <c r="O314" s="35">
        <f t="shared" si="20"/>
        <v>868.91285714285732</v>
      </c>
    </row>
    <row r="315" spans="1:15" x14ac:dyDescent="0.4">
      <c r="A315">
        <v>281</v>
      </c>
      <c r="B315" t="s">
        <v>3105</v>
      </c>
      <c r="C315" s="131">
        <v>39721</v>
      </c>
      <c r="D315" t="s">
        <v>3122</v>
      </c>
      <c r="E315" t="s">
        <v>645</v>
      </c>
      <c r="F315">
        <v>7</v>
      </c>
      <c r="G315" s="1">
        <v>754.24</v>
      </c>
      <c r="H315" s="1">
        <v>754.24</v>
      </c>
      <c r="I315" s="1">
        <v>292.29000000000002</v>
      </c>
      <c r="J315" s="1">
        <f t="shared" si="18"/>
        <v>107.74857142857142</v>
      </c>
      <c r="K315" s="1">
        <v>311.15000000000003</v>
      </c>
      <c r="N315" s="35">
        <f t="shared" si="19"/>
        <v>443.09</v>
      </c>
      <c r="O315" s="35">
        <f t="shared" si="20"/>
        <v>335.34142857142854</v>
      </c>
    </row>
    <row r="316" spans="1:15" x14ac:dyDescent="0.4">
      <c r="A316">
        <v>282</v>
      </c>
      <c r="B316" t="s">
        <v>3105</v>
      </c>
      <c r="C316" s="131">
        <v>39752</v>
      </c>
      <c r="D316" t="s">
        <v>3123</v>
      </c>
      <c r="E316" t="s">
        <v>645</v>
      </c>
      <c r="F316">
        <v>7</v>
      </c>
      <c r="G316" s="1">
        <v>709.04</v>
      </c>
      <c r="H316" s="1">
        <v>709.04</v>
      </c>
      <c r="I316" s="1">
        <v>274.77999999999997</v>
      </c>
      <c r="J316" s="1">
        <f t="shared" si="18"/>
        <v>101.29142857142857</v>
      </c>
      <c r="K316" s="1">
        <v>292.5</v>
      </c>
      <c r="N316" s="35">
        <f t="shared" si="19"/>
        <v>416.53999999999996</v>
      </c>
      <c r="O316" s="35">
        <f t="shared" si="20"/>
        <v>315.24857142857138</v>
      </c>
    </row>
    <row r="317" spans="1:15" x14ac:dyDescent="0.4">
      <c r="A317">
        <v>283</v>
      </c>
      <c r="B317" t="s">
        <v>3105</v>
      </c>
      <c r="C317" s="131">
        <v>39782</v>
      </c>
      <c r="D317" t="s">
        <v>3124</v>
      </c>
      <c r="E317" t="s">
        <v>645</v>
      </c>
      <c r="F317">
        <v>7</v>
      </c>
      <c r="G317" s="1">
        <v>1108.72</v>
      </c>
      <c r="H317" s="1">
        <v>1108.72</v>
      </c>
      <c r="I317" s="1">
        <v>429.66</v>
      </c>
      <c r="J317" s="1">
        <f t="shared" si="18"/>
        <v>158.38857142857142</v>
      </c>
      <c r="K317" s="1">
        <v>457.38</v>
      </c>
      <c r="N317" s="35">
        <f t="shared" si="19"/>
        <v>651.34</v>
      </c>
      <c r="O317" s="35">
        <f t="shared" si="20"/>
        <v>492.95142857142861</v>
      </c>
    </row>
    <row r="318" spans="1:15" x14ac:dyDescent="0.4">
      <c r="A318">
        <v>284</v>
      </c>
      <c r="B318" t="s">
        <v>3105</v>
      </c>
      <c r="C318" s="131">
        <v>39872</v>
      </c>
      <c r="D318" t="s">
        <v>3117</v>
      </c>
      <c r="E318" t="s">
        <v>645</v>
      </c>
      <c r="F318">
        <v>7</v>
      </c>
      <c r="G318" s="1">
        <v>617.82000000000005</v>
      </c>
      <c r="H318" s="1">
        <v>617.82000000000005</v>
      </c>
      <c r="I318" s="1">
        <v>223.97</v>
      </c>
      <c r="J318" s="1">
        <f t="shared" si="18"/>
        <v>88.26</v>
      </c>
      <c r="K318" s="1">
        <v>239.42</v>
      </c>
      <c r="N318" s="35">
        <f t="shared" si="19"/>
        <v>378.40000000000009</v>
      </c>
      <c r="O318" s="35">
        <f t="shared" si="20"/>
        <v>290.1400000000001</v>
      </c>
    </row>
    <row r="319" spans="1:15" x14ac:dyDescent="0.4">
      <c r="A319">
        <v>285</v>
      </c>
      <c r="B319" t="s">
        <v>3105</v>
      </c>
      <c r="C319" s="131">
        <v>39933</v>
      </c>
      <c r="D319" t="s">
        <v>3125</v>
      </c>
      <c r="E319" t="s">
        <v>645</v>
      </c>
      <c r="F319">
        <v>7</v>
      </c>
      <c r="G319" s="1">
        <v>1106.5899999999999</v>
      </c>
      <c r="H319" s="1">
        <v>1106.5899999999999</v>
      </c>
      <c r="I319" s="1">
        <v>401.13</v>
      </c>
      <c r="J319" s="1">
        <f t="shared" si="18"/>
        <v>158.0842857142857</v>
      </c>
      <c r="K319" s="1">
        <v>428.8</v>
      </c>
      <c r="N319" s="35">
        <f t="shared" si="19"/>
        <v>677.79</v>
      </c>
      <c r="O319" s="35">
        <f t="shared" si="20"/>
        <v>519.70571428571429</v>
      </c>
    </row>
    <row r="320" spans="1:15" x14ac:dyDescent="0.4">
      <c r="A320">
        <v>286</v>
      </c>
      <c r="B320" t="s">
        <v>3105</v>
      </c>
      <c r="C320" s="131">
        <v>39964</v>
      </c>
      <c r="D320" t="s">
        <v>3126</v>
      </c>
      <c r="E320" t="s">
        <v>645</v>
      </c>
      <c r="F320">
        <v>7</v>
      </c>
      <c r="G320" s="1">
        <v>2434.33</v>
      </c>
      <c r="H320" s="1">
        <v>2434.33</v>
      </c>
      <c r="I320" s="1">
        <v>882.47</v>
      </c>
      <c r="J320" s="1">
        <f t="shared" si="18"/>
        <v>347.76142857142855</v>
      </c>
      <c r="K320" s="1">
        <v>943.33</v>
      </c>
      <c r="N320" s="35">
        <f t="shared" si="19"/>
        <v>1491</v>
      </c>
      <c r="O320" s="35">
        <f t="shared" si="20"/>
        <v>1143.2385714285715</v>
      </c>
    </row>
    <row r="321" spans="1:15" x14ac:dyDescent="0.4">
      <c r="A321">
        <v>287</v>
      </c>
      <c r="B321" t="s">
        <v>3105</v>
      </c>
      <c r="C321" s="131">
        <v>39994</v>
      </c>
      <c r="D321" t="s">
        <v>3127</v>
      </c>
      <c r="E321" t="s">
        <v>645</v>
      </c>
      <c r="F321">
        <v>7</v>
      </c>
      <c r="G321" s="1">
        <v>1441.58</v>
      </c>
      <c r="H321" s="1">
        <v>1441.58</v>
      </c>
      <c r="I321" s="1">
        <v>522.58000000000004</v>
      </c>
      <c r="J321" s="1">
        <f t="shared" si="18"/>
        <v>205.94</v>
      </c>
      <c r="K321" s="1">
        <v>558.62</v>
      </c>
      <c r="N321" s="35">
        <f t="shared" si="19"/>
        <v>882.95999999999992</v>
      </c>
      <c r="O321" s="35">
        <f t="shared" si="20"/>
        <v>677.02</v>
      </c>
    </row>
    <row r="322" spans="1:15" x14ac:dyDescent="0.4">
      <c r="A322">
        <v>288</v>
      </c>
      <c r="B322" t="s">
        <v>3105</v>
      </c>
      <c r="C322" s="131">
        <v>40025</v>
      </c>
      <c r="D322" t="s">
        <v>3128</v>
      </c>
      <c r="E322" t="s">
        <v>645</v>
      </c>
      <c r="F322">
        <v>7</v>
      </c>
      <c r="G322" s="1">
        <v>1778.81</v>
      </c>
      <c r="H322" s="1">
        <v>1778.81</v>
      </c>
      <c r="I322" s="1">
        <v>644.82000000000005</v>
      </c>
      <c r="J322" s="1">
        <f t="shared" si="18"/>
        <v>254.11571428571429</v>
      </c>
      <c r="K322" s="1">
        <v>689.29000000000008</v>
      </c>
      <c r="N322" s="35">
        <f t="shared" si="19"/>
        <v>1089.52</v>
      </c>
      <c r="O322" s="35">
        <f t="shared" si="20"/>
        <v>835.40428571428572</v>
      </c>
    </row>
    <row r="323" spans="1:15" x14ac:dyDescent="0.4">
      <c r="A323">
        <v>289</v>
      </c>
      <c r="B323" t="s">
        <v>3105</v>
      </c>
      <c r="C323" s="131">
        <v>40056</v>
      </c>
      <c r="D323" t="s">
        <v>3129</v>
      </c>
      <c r="E323" t="s">
        <v>645</v>
      </c>
      <c r="F323">
        <v>7</v>
      </c>
      <c r="G323" s="1">
        <v>3477.83</v>
      </c>
      <c r="H323" s="1">
        <v>3477.83</v>
      </c>
      <c r="I323" s="1">
        <v>1260.73</v>
      </c>
      <c r="J323" s="1">
        <f t="shared" si="18"/>
        <v>496.83285714285711</v>
      </c>
      <c r="K323" s="1">
        <v>1347.68</v>
      </c>
      <c r="N323" s="35">
        <f t="shared" si="19"/>
        <v>2130.1499999999996</v>
      </c>
      <c r="O323" s="35">
        <f t="shared" si="20"/>
        <v>1633.3171428571425</v>
      </c>
    </row>
    <row r="324" spans="1:15" x14ac:dyDescent="0.4">
      <c r="A324">
        <v>290</v>
      </c>
      <c r="B324" t="s">
        <v>3105</v>
      </c>
      <c r="C324" s="131">
        <v>40086</v>
      </c>
      <c r="D324" t="s">
        <v>3130</v>
      </c>
      <c r="E324" t="s">
        <v>645</v>
      </c>
      <c r="F324">
        <v>7</v>
      </c>
      <c r="G324" s="1">
        <v>2100.16</v>
      </c>
      <c r="H324" s="1">
        <v>2100.16</v>
      </c>
      <c r="I324" s="1">
        <v>761.28</v>
      </c>
      <c r="J324" s="1">
        <f t="shared" si="18"/>
        <v>300.02285714285711</v>
      </c>
      <c r="K324" s="1">
        <v>813.79</v>
      </c>
      <c r="N324" s="35">
        <f t="shared" si="19"/>
        <v>1286.3699999999999</v>
      </c>
      <c r="O324" s="35">
        <f t="shared" si="20"/>
        <v>986.34714285714279</v>
      </c>
    </row>
    <row r="325" spans="1:15" x14ac:dyDescent="0.4">
      <c r="A325">
        <v>291</v>
      </c>
      <c r="B325" t="s">
        <v>3105</v>
      </c>
      <c r="C325" s="131">
        <v>40147</v>
      </c>
      <c r="D325" t="s">
        <v>3131</v>
      </c>
      <c r="E325" t="s">
        <v>645</v>
      </c>
      <c r="F325">
        <v>7</v>
      </c>
      <c r="G325" s="1">
        <v>370.13</v>
      </c>
      <c r="H325" s="1">
        <v>370.13</v>
      </c>
      <c r="I325" s="1">
        <v>134.13</v>
      </c>
      <c r="J325" s="1">
        <f t="shared" si="18"/>
        <v>52.875714285714288</v>
      </c>
      <c r="K325" s="1">
        <v>143.38</v>
      </c>
      <c r="N325" s="35">
        <f t="shared" si="19"/>
        <v>226.75</v>
      </c>
      <c r="O325" s="35">
        <f t="shared" si="20"/>
        <v>173.87428571428572</v>
      </c>
    </row>
    <row r="326" spans="1:15" x14ac:dyDescent="0.4">
      <c r="A326">
        <v>292</v>
      </c>
      <c r="B326" t="s">
        <v>3105</v>
      </c>
      <c r="C326" s="131">
        <v>40178</v>
      </c>
      <c r="D326" t="s">
        <v>3132</v>
      </c>
      <c r="E326" t="s">
        <v>645</v>
      </c>
      <c r="F326">
        <v>7</v>
      </c>
      <c r="G326" s="1">
        <v>268.58999999999997</v>
      </c>
      <c r="H326" s="1">
        <v>268.58999999999997</v>
      </c>
      <c r="I326" s="1">
        <v>97.36</v>
      </c>
      <c r="J326" s="1">
        <f t="shared" si="18"/>
        <v>38.369999999999997</v>
      </c>
      <c r="K326" s="1">
        <v>104.07</v>
      </c>
      <c r="N326" s="35">
        <f t="shared" si="19"/>
        <v>164.51999999999998</v>
      </c>
      <c r="O326" s="35">
        <f t="shared" si="20"/>
        <v>126.14999999999998</v>
      </c>
    </row>
    <row r="327" spans="1:15" x14ac:dyDescent="0.4">
      <c r="A327">
        <v>293</v>
      </c>
      <c r="B327" t="s">
        <v>3105</v>
      </c>
      <c r="C327" s="131">
        <v>40209</v>
      </c>
      <c r="D327" t="s">
        <v>3133</v>
      </c>
      <c r="E327" t="s">
        <v>645</v>
      </c>
      <c r="F327">
        <v>7</v>
      </c>
      <c r="G327" s="1">
        <v>3174.22</v>
      </c>
      <c r="H327" s="1">
        <v>3174.22</v>
      </c>
      <c r="I327" s="1">
        <v>1071.31</v>
      </c>
      <c r="J327" s="1">
        <f t="shared" si="18"/>
        <v>453.46</v>
      </c>
      <c r="K327" s="1">
        <v>1150.6699999999998</v>
      </c>
      <c r="N327" s="35">
        <f t="shared" si="19"/>
        <v>2023.55</v>
      </c>
      <c r="O327" s="35">
        <f t="shared" si="20"/>
        <v>1570.09</v>
      </c>
    </row>
    <row r="328" spans="1:15" x14ac:dyDescent="0.4">
      <c r="A328">
        <v>294</v>
      </c>
      <c r="B328" t="s">
        <v>3105</v>
      </c>
      <c r="C328" s="131">
        <v>40268</v>
      </c>
      <c r="D328" t="s">
        <v>3134</v>
      </c>
      <c r="E328" t="s">
        <v>645</v>
      </c>
      <c r="F328">
        <v>7</v>
      </c>
      <c r="G328" s="1">
        <v>2278.23</v>
      </c>
      <c r="H328" s="1">
        <v>2278.23</v>
      </c>
      <c r="I328" s="1">
        <v>768.92</v>
      </c>
      <c r="J328" s="1">
        <f t="shared" si="18"/>
        <v>325.4614285714286</v>
      </c>
      <c r="K328" s="1">
        <v>825.88</v>
      </c>
      <c r="N328" s="35">
        <f t="shared" si="19"/>
        <v>1452.35</v>
      </c>
      <c r="O328" s="35">
        <f t="shared" si="20"/>
        <v>1126.8885714285714</v>
      </c>
    </row>
    <row r="329" spans="1:15" x14ac:dyDescent="0.4">
      <c r="A329">
        <v>295</v>
      </c>
      <c r="B329" t="s">
        <v>3105</v>
      </c>
      <c r="C329" s="131">
        <v>40298</v>
      </c>
      <c r="D329" t="s">
        <v>3135</v>
      </c>
      <c r="E329" t="s">
        <v>645</v>
      </c>
      <c r="F329">
        <v>7</v>
      </c>
      <c r="G329" s="1">
        <v>1723.91</v>
      </c>
      <c r="H329" s="1">
        <v>1723.91</v>
      </c>
      <c r="I329" s="1">
        <v>581.85</v>
      </c>
      <c r="J329" s="1">
        <f t="shared" si="18"/>
        <v>246.27285714285716</v>
      </c>
      <c r="K329" s="1">
        <v>624.95000000000005</v>
      </c>
      <c r="N329" s="35">
        <f t="shared" si="19"/>
        <v>1098.96</v>
      </c>
      <c r="O329" s="35">
        <f t="shared" si="20"/>
        <v>852.68714285714282</v>
      </c>
    </row>
    <row r="330" spans="1:15" x14ac:dyDescent="0.4">
      <c r="A330">
        <v>296</v>
      </c>
      <c r="B330" t="s">
        <v>3105</v>
      </c>
      <c r="C330" s="131">
        <v>40421</v>
      </c>
      <c r="D330" t="s">
        <v>3136</v>
      </c>
      <c r="E330" t="s">
        <v>645</v>
      </c>
      <c r="F330">
        <v>7</v>
      </c>
      <c r="G330" s="1">
        <v>1403.62</v>
      </c>
      <c r="H330" s="1">
        <v>1403.62</v>
      </c>
      <c r="I330" s="1">
        <v>473.72</v>
      </c>
      <c r="J330" s="1">
        <f t="shared" si="18"/>
        <v>200.51714285714283</v>
      </c>
      <c r="K330" s="1">
        <v>508.81000000000006</v>
      </c>
      <c r="N330" s="35">
        <f t="shared" si="19"/>
        <v>894.80999999999983</v>
      </c>
      <c r="O330" s="35">
        <f t="shared" si="20"/>
        <v>694.29285714285697</v>
      </c>
    </row>
    <row r="331" spans="1:15" x14ac:dyDescent="0.4">
      <c r="A331">
        <v>297</v>
      </c>
      <c r="B331" t="s">
        <v>3105</v>
      </c>
      <c r="C331" s="131">
        <v>40451</v>
      </c>
      <c r="D331" t="s">
        <v>3137</v>
      </c>
      <c r="E331" t="s">
        <v>645</v>
      </c>
      <c r="F331">
        <v>7</v>
      </c>
      <c r="G331" s="1">
        <v>922.22</v>
      </c>
      <c r="H331" s="1">
        <v>922.22</v>
      </c>
      <c r="I331" s="1">
        <v>311.26</v>
      </c>
      <c r="J331" s="1">
        <f t="shared" si="18"/>
        <v>131.74571428571429</v>
      </c>
      <c r="K331" s="1">
        <v>334.32</v>
      </c>
      <c r="N331" s="35">
        <f t="shared" si="19"/>
        <v>587.90000000000009</v>
      </c>
      <c r="O331" s="35">
        <f t="shared" si="20"/>
        <v>456.15428571428583</v>
      </c>
    </row>
    <row r="332" spans="1:15" x14ac:dyDescent="0.4">
      <c r="A332">
        <v>298</v>
      </c>
      <c r="B332" t="s">
        <v>3105</v>
      </c>
      <c r="C332" s="131">
        <v>40482</v>
      </c>
      <c r="D332" t="s">
        <v>3138</v>
      </c>
      <c r="E332" t="s">
        <v>645</v>
      </c>
      <c r="F332">
        <v>7</v>
      </c>
      <c r="G332" s="1">
        <v>995.9</v>
      </c>
      <c r="H332" s="1">
        <v>995.9</v>
      </c>
      <c r="I332" s="1">
        <v>336.15</v>
      </c>
      <c r="J332" s="1">
        <f t="shared" si="18"/>
        <v>142.27142857142857</v>
      </c>
      <c r="K332" s="1">
        <v>361.04999999999995</v>
      </c>
      <c r="N332" s="35">
        <f t="shared" si="19"/>
        <v>634.85</v>
      </c>
      <c r="O332" s="35">
        <f t="shared" si="20"/>
        <v>492.57857142857142</v>
      </c>
    </row>
    <row r="333" spans="1:15" x14ac:dyDescent="0.4">
      <c r="A333">
        <v>299</v>
      </c>
      <c r="B333" t="s">
        <v>3105</v>
      </c>
      <c r="C333" s="131">
        <v>40543</v>
      </c>
      <c r="D333" t="s">
        <v>3139</v>
      </c>
      <c r="E333" t="s">
        <v>645</v>
      </c>
      <c r="F333">
        <v>7</v>
      </c>
      <c r="G333" s="1">
        <v>30314.23</v>
      </c>
      <c r="H333" s="1">
        <v>30314.23</v>
      </c>
      <c r="I333" s="1">
        <v>10231.07</v>
      </c>
      <c r="J333" s="1">
        <f t="shared" si="18"/>
        <v>4330.6042857142857</v>
      </c>
      <c r="K333" s="1">
        <v>10988.93</v>
      </c>
      <c r="N333" s="35">
        <f t="shared" si="19"/>
        <v>19325.3</v>
      </c>
      <c r="O333" s="35">
        <f t="shared" si="20"/>
        <v>14994.695714285714</v>
      </c>
    </row>
    <row r="334" spans="1:15" x14ac:dyDescent="0.4">
      <c r="A334">
        <v>300</v>
      </c>
      <c r="B334" t="s">
        <v>3105</v>
      </c>
      <c r="C334" s="131">
        <v>40574</v>
      </c>
      <c r="D334" t="s">
        <v>3039</v>
      </c>
      <c r="E334" t="s">
        <v>645</v>
      </c>
      <c r="F334">
        <v>7</v>
      </c>
      <c r="G334" s="1">
        <v>2603.7199999999998</v>
      </c>
      <c r="H334" s="1">
        <v>2603.7199999999998</v>
      </c>
      <c r="I334" s="1">
        <v>813.63</v>
      </c>
      <c r="J334" s="1">
        <f t="shared" si="18"/>
        <v>371.96</v>
      </c>
      <c r="K334" s="1">
        <v>878.72</v>
      </c>
      <c r="N334" s="35">
        <f t="shared" si="19"/>
        <v>1724.9999999999998</v>
      </c>
      <c r="O334" s="35">
        <f t="shared" si="20"/>
        <v>1353.0399999999997</v>
      </c>
    </row>
    <row r="335" spans="1:15" x14ac:dyDescent="0.4">
      <c r="A335">
        <v>301</v>
      </c>
      <c r="B335" t="s">
        <v>3105</v>
      </c>
      <c r="C335" s="131">
        <v>40602</v>
      </c>
      <c r="D335" t="s">
        <v>3140</v>
      </c>
      <c r="E335" t="s">
        <v>645</v>
      </c>
      <c r="F335">
        <v>7</v>
      </c>
      <c r="G335" s="1">
        <v>915.41</v>
      </c>
      <c r="H335" s="1">
        <v>915.41</v>
      </c>
      <c r="I335" s="1">
        <v>286.07</v>
      </c>
      <c r="J335" s="1">
        <f t="shared" si="18"/>
        <v>130.77285714285713</v>
      </c>
      <c r="K335" s="1">
        <v>308.95999999999998</v>
      </c>
      <c r="N335" s="35">
        <f t="shared" si="19"/>
        <v>606.45000000000005</v>
      </c>
      <c r="O335" s="35">
        <f t="shared" si="20"/>
        <v>475.67714285714294</v>
      </c>
    </row>
    <row r="336" spans="1:15" x14ac:dyDescent="0.4">
      <c r="A336">
        <v>302</v>
      </c>
      <c r="B336" t="s">
        <v>3105</v>
      </c>
      <c r="C336" s="131">
        <v>40633</v>
      </c>
      <c r="D336" t="s">
        <v>3141</v>
      </c>
      <c r="E336" t="s">
        <v>645</v>
      </c>
      <c r="F336">
        <v>7</v>
      </c>
      <c r="G336" s="1">
        <v>3526.38</v>
      </c>
      <c r="H336" s="1">
        <v>3526.38</v>
      </c>
      <c r="I336" s="1">
        <v>1102</v>
      </c>
      <c r="J336" s="1">
        <f t="shared" si="18"/>
        <v>503.76857142857142</v>
      </c>
      <c r="K336" s="1">
        <v>1190.1600000000001</v>
      </c>
      <c r="N336" s="35">
        <f t="shared" si="19"/>
        <v>2336.2200000000003</v>
      </c>
      <c r="O336" s="35">
        <f t="shared" si="20"/>
        <v>1832.4514285714288</v>
      </c>
    </row>
    <row r="337" spans="1:15" x14ac:dyDescent="0.4">
      <c r="A337">
        <v>303</v>
      </c>
      <c r="B337" t="s">
        <v>3105</v>
      </c>
      <c r="C337" s="131">
        <v>40694</v>
      </c>
      <c r="D337" t="s">
        <v>3142</v>
      </c>
      <c r="E337" t="s">
        <v>645</v>
      </c>
      <c r="F337">
        <v>7</v>
      </c>
      <c r="G337" s="1">
        <v>1618.17</v>
      </c>
      <c r="H337" s="1">
        <v>1618.17</v>
      </c>
      <c r="I337" s="1">
        <v>505.66</v>
      </c>
      <c r="J337" s="1">
        <f t="shared" si="18"/>
        <v>231.16714285714286</v>
      </c>
      <c r="K337" s="1">
        <v>546.11</v>
      </c>
      <c r="N337" s="35">
        <f t="shared" si="19"/>
        <v>1072.06</v>
      </c>
      <c r="O337" s="35">
        <f t="shared" si="20"/>
        <v>840.89285714285711</v>
      </c>
    </row>
    <row r="338" spans="1:15" x14ac:dyDescent="0.4">
      <c r="A338">
        <v>304</v>
      </c>
      <c r="B338" t="s">
        <v>3105</v>
      </c>
      <c r="C338" s="131">
        <v>40755</v>
      </c>
      <c r="D338" t="s">
        <v>3143</v>
      </c>
      <c r="E338" t="s">
        <v>645</v>
      </c>
      <c r="F338">
        <v>7</v>
      </c>
      <c r="G338" s="1">
        <v>2150.46</v>
      </c>
      <c r="H338" s="1">
        <v>2150.46</v>
      </c>
      <c r="I338" s="1">
        <v>672</v>
      </c>
      <c r="J338" s="1">
        <f t="shared" si="18"/>
        <v>307.20857142857142</v>
      </c>
      <c r="K338" s="1">
        <v>725.76</v>
      </c>
      <c r="N338" s="35">
        <f t="shared" si="19"/>
        <v>1424.7</v>
      </c>
      <c r="O338" s="35">
        <f t="shared" si="20"/>
        <v>1117.4914285714285</v>
      </c>
    </row>
    <row r="339" spans="1:15" x14ac:dyDescent="0.4">
      <c r="A339">
        <v>305</v>
      </c>
      <c r="B339" t="s">
        <v>3105</v>
      </c>
      <c r="C339" s="131">
        <v>40786</v>
      </c>
      <c r="D339" t="s">
        <v>3144</v>
      </c>
      <c r="E339" t="s">
        <v>645</v>
      </c>
      <c r="F339">
        <v>7</v>
      </c>
      <c r="G339" s="1">
        <v>316.97000000000003</v>
      </c>
      <c r="H339" s="1">
        <v>316.97000000000003</v>
      </c>
      <c r="I339" s="1">
        <v>99.03</v>
      </c>
      <c r="J339" s="1">
        <f t="shared" si="18"/>
        <v>45.281428571428577</v>
      </c>
      <c r="K339" s="1">
        <v>106.96000000000001</v>
      </c>
      <c r="N339" s="35">
        <f t="shared" si="19"/>
        <v>210.01000000000002</v>
      </c>
      <c r="O339" s="35">
        <f t="shared" si="20"/>
        <v>164.72857142857146</v>
      </c>
    </row>
    <row r="340" spans="1:15" x14ac:dyDescent="0.4">
      <c r="A340">
        <v>306</v>
      </c>
      <c r="B340" t="s">
        <v>3105</v>
      </c>
      <c r="C340" s="131">
        <v>40816</v>
      </c>
      <c r="D340" t="s">
        <v>3145</v>
      </c>
      <c r="E340" t="s">
        <v>645</v>
      </c>
      <c r="F340">
        <v>7</v>
      </c>
      <c r="G340" s="1">
        <v>948.77</v>
      </c>
      <c r="H340" s="1">
        <v>948.77</v>
      </c>
      <c r="I340" s="1">
        <v>296.5</v>
      </c>
      <c r="J340" s="1">
        <f t="shared" si="18"/>
        <v>135.53857142857143</v>
      </c>
      <c r="K340" s="1">
        <v>320.22000000000003</v>
      </c>
      <c r="N340" s="35">
        <f t="shared" si="19"/>
        <v>628.54999999999995</v>
      </c>
      <c r="O340" s="35">
        <f t="shared" si="20"/>
        <v>493.0114285714285</v>
      </c>
    </row>
    <row r="341" spans="1:15" x14ac:dyDescent="0.4">
      <c r="A341">
        <v>307</v>
      </c>
      <c r="B341" t="s">
        <v>3105</v>
      </c>
      <c r="C341" s="131">
        <v>40847</v>
      </c>
      <c r="D341" t="s">
        <v>3146</v>
      </c>
      <c r="E341" t="s">
        <v>645</v>
      </c>
      <c r="F341">
        <v>7</v>
      </c>
      <c r="G341" s="1">
        <v>772</v>
      </c>
      <c r="H341" s="1">
        <v>772</v>
      </c>
      <c r="I341" s="1">
        <v>241.25</v>
      </c>
      <c r="J341" s="1">
        <f t="shared" si="18"/>
        <v>110.28571428571429</v>
      </c>
      <c r="K341" s="1">
        <v>260.55</v>
      </c>
      <c r="N341" s="35">
        <f t="shared" si="19"/>
        <v>511.45</v>
      </c>
      <c r="O341" s="35">
        <f t="shared" si="20"/>
        <v>401.16428571428571</v>
      </c>
    </row>
    <row r="342" spans="1:15" x14ac:dyDescent="0.4">
      <c r="A342">
        <v>308</v>
      </c>
      <c r="B342" t="s">
        <v>3105</v>
      </c>
      <c r="C342" s="131">
        <v>40877</v>
      </c>
      <c r="D342" t="s">
        <v>3147</v>
      </c>
      <c r="E342" t="s">
        <v>645</v>
      </c>
      <c r="F342">
        <v>7</v>
      </c>
      <c r="G342" s="1">
        <v>966.35</v>
      </c>
      <c r="H342" s="1">
        <v>966.35</v>
      </c>
      <c r="I342" s="1">
        <v>302</v>
      </c>
      <c r="J342" s="1">
        <f t="shared" si="18"/>
        <v>138.05000000000001</v>
      </c>
      <c r="K342" s="1">
        <v>326.16000000000003</v>
      </c>
      <c r="N342" s="35">
        <f t="shared" si="19"/>
        <v>640.19000000000005</v>
      </c>
      <c r="O342" s="35">
        <f t="shared" si="20"/>
        <v>502.14000000000004</v>
      </c>
    </row>
    <row r="343" spans="1:15" x14ac:dyDescent="0.4">
      <c r="A343">
        <v>309</v>
      </c>
      <c r="B343" t="s">
        <v>3105</v>
      </c>
      <c r="C343" s="131">
        <v>40939</v>
      </c>
      <c r="D343" t="s">
        <v>3148</v>
      </c>
      <c r="E343" t="s">
        <v>645</v>
      </c>
      <c r="F343">
        <v>7</v>
      </c>
      <c r="G343" s="1">
        <v>1262.3399999999999</v>
      </c>
      <c r="H343" s="1">
        <v>1262.3399999999999</v>
      </c>
      <c r="I343" s="1">
        <v>362.94</v>
      </c>
      <c r="J343" s="1">
        <f t="shared" si="18"/>
        <v>180.3342857142857</v>
      </c>
      <c r="K343" s="1">
        <v>394.5</v>
      </c>
      <c r="N343" s="35">
        <f t="shared" si="19"/>
        <v>867.83999999999992</v>
      </c>
      <c r="O343" s="35">
        <f t="shared" si="20"/>
        <v>687.50571428571425</v>
      </c>
    </row>
    <row r="344" spans="1:15" x14ac:dyDescent="0.4">
      <c r="A344">
        <v>310</v>
      </c>
      <c r="B344" t="s">
        <v>3105</v>
      </c>
      <c r="C344" s="131">
        <v>40968</v>
      </c>
      <c r="D344" t="s">
        <v>3149</v>
      </c>
      <c r="E344" t="s">
        <v>645</v>
      </c>
      <c r="F344">
        <v>7</v>
      </c>
      <c r="G344" s="1">
        <v>685.12</v>
      </c>
      <c r="H344" s="1">
        <v>685.12</v>
      </c>
      <c r="I344" s="1">
        <v>196.99</v>
      </c>
      <c r="J344" s="1">
        <f t="shared" si="18"/>
        <v>97.874285714285719</v>
      </c>
      <c r="K344" s="1">
        <v>214.12</v>
      </c>
      <c r="N344" s="35">
        <f t="shared" si="19"/>
        <v>471</v>
      </c>
      <c r="O344" s="35">
        <f t="shared" si="20"/>
        <v>373.12571428571425</v>
      </c>
    </row>
    <row r="345" spans="1:15" x14ac:dyDescent="0.4">
      <c r="A345">
        <v>311</v>
      </c>
      <c r="B345" t="s">
        <v>3105</v>
      </c>
      <c r="C345" s="131">
        <v>40999</v>
      </c>
      <c r="D345" t="s">
        <v>3150</v>
      </c>
      <c r="E345" t="s">
        <v>645</v>
      </c>
      <c r="F345">
        <v>7</v>
      </c>
      <c r="G345" s="1">
        <v>996.02</v>
      </c>
      <c r="H345" s="1">
        <v>996.02</v>
      </c>
      <c r="I345" s="1">
        <v>286.35000000000002</v>
      </c>
      <c r="J345" s="1">
        <f t="shared" si="18"/>
        <v>142.28857142857143</v>
      </c>
      <c r="K345" s="1">
        <v>311.25</v>
      </c>
      <c r="N345" s="35">
        <f t="shared" si="19"/>
        <v>684.77</v>
      </c>
      <c r="O345" s="35">
        <f t="shared" si="20"/>
        <v>542.48142857142852</v>
      </c>
    </row>
    <row r="346" spans="1:15" x14ac:dyDescent="0.4">
      <c r="A346">
        <v>312</v>
      </c>
      <c r="B346" t="s">
        <v>3105</v>
      </c>
      <c r="C346" s="131">
        <v>41029</v>
      </c>
      <c r="D346" t="s">
        <v>3151</v>
      </c>
      <c r="E346" t="s">
        <v>645</v>
      </c>
      <c r="F346">
        <v>7</v>
      </c>
      <c r="G346" s="1">
        <v>1351.1</v>
      </c>
      <c r="H346" s="1">
        <v>1351.1</v>
      </c>
      <c r="I346" s="1">
        <v>388.47</v>
      </c>
      <c r="J346" s="1">
        <f t="shared" si="18"/>
        <v>193.01428571428571</v>
      </c>
      <c r="K346" s="1">
        <v>422.25</v>
      </c>
      <c r="N346" s="35">
        <f t="shared" si="19"/>
        <v>928.84999999999991</v>
      </c>
      <c r="O346" s="35">
        <f t="shared" si="20"/>
        <v>735.83571428571418</v>
      </c>
    </row>
    <row r="347" spans="1:15" x14ac:dyDescent="0.4">
      <c r="A347">
        <v>313</v>
      </c>
      <c r="B347" t="s">
        <v>3105</v>
      </c>
      <c r="C347" s="131">
        <v>41060</v>
      </c>
      <c r="D347" t="s">
        <v>3152</v>
      </c>
      <c r="E347" t="s">
        <v>645</v>
      </c>
      <c r="F347">
        <v>7</v>
      </c>
      <c r="G347" s="1">
        <v>618.53</v>
      </c>
      <c r="H347" s="1">
        <v>618.53</v>
      </c>
      <c r="I347" s="1">
        <v>177.79</v>
      </c>
      <c r="J347" s="1">
        <f t="shared" si="18"/>
        <v>88.361428571428561</v>
      </c>
      <c r="K347" s="1">
        <v>193.25</v>
      </c>
      <c r="N347" s="35">
        <f t="shared" si="19"/>
        <v>425.28</v>
      </c>
      <c r="O347" s="35">
        <f t="shared" si="20"/>
        <v>336.9185714285714</v>
      </c>
    </row>
    <row r="348" spans="1:15" x14ac:dyDescent="0.4">
      <c r="A348">
        <v>314</v>
      </c>
      <c r="B348" t="s">
        <v>3105</v>
      </c>
      <c r="C348" s="131">
        <v>41121</v>
      </c>
      <c r="D348" t="s">
        <v>3153</v>
      </c>
      <c r="E348" t="s">
        <v>645</v>
      </c>
      <c r="F348">
        <v>7</v>
      </c>
      <c r="G348" s="1">
        <v>973.41</v>
      </c>
      <c r="H348" s="1">
        <v>973.41</v>
      </c>
      <c r="I348" s="1">
        <v>279.86</v>
      </c>
      <c r="J348" s="1">
        <f t="shared" si="18"/>
        <v>139.05857142857141</v>
      </c>
      <c r="K348" s="1">
        <v>304.2</v>
      </c>
      <c r="N348" s="35">
        <f t="shared" si="19"/>
        <v>669.21</v>
      </c>
      <c r="O348" s="35">
        <f t="shared" si="20"/>
        <v>530.1514285714286</v>
      </c>
    </row>
    <row r="349" spans="1:15" x14ac:dyDescent="0.4">
      <c r="A349">
        <v>315</v>
      </c>
      <c r="B349" t="s">
        <v>3105</v>
      </c>
      <c r="C349" s="131">
        <v>41152</v>
      </c>
      <c r="D349" t="s">
        <v>3154</v>
      </c>
      <c r="E349" t="s">
        <v>645</v>
      </c>
      <c r="F349">
        <v>7</v>
      </c>
      <c r="G349" s="1">
        <v>588.66999999999996</v>
      </c>
      <c r="H349" s="1">
        <v>588.66999999999996</v>
      </c>
      <c r="I349" s="1">
        <v>169.28</v>
      </c>
      <c r="J349" s="1">
        <f t="shared" si="18"/>
        <v>84.09571428571428</v>
      </c>
      <c r="K349" s="1">
        <v>184</v>
      </c>
      <c r="N349" s="35">
        <f t="shared" si="19"/>
        <v>404.66999999999996</v>
      </c>
      <c r="O349" s="35">
        <f t="shared" si="20"/>
        <v>320.57428571428568</v>
      </c>
    </row>
    <row r="350" spans="1:15" x14ac:dyDescent="0.4">
      <c r="A350">
        <v>316</v>
      </c>
      <c r="B350" t="s">
        <v>3105</v>
      </c>
      <c r="C350" s="131">
        <v>41182</v>
      </c>
      <c r="D350" t="s">
        <v>3155</v>
      </c>
      <c r="E350" t="s">
        <v>645</v>
      </c>
      <c r="F350">
        <v>7</v>
      </c>
      <c r="G350" s="1">
        <v>505.12</v>
      </c>
      <c r="H350" s="1">
        <v>505.12</v>
      </c>
      <c r="I350" s="1">
        <v>145.24</v>
      </c>
      <c r="J350" s="1">
        <f t="shared" si="18"/>
        <v>72.16</v>
      </c>
      <c r="K350" s="1">
        <v>157.87</v>
      </c>
      <c r="N350" s="35">
        <f t="shared" si="19"/>
        <v>347.25</v>
      </c>
      <c r="O350" s="35">
        <f t="shared" si="20"/>
        <v>275.09000000000003</v>
      </c>
    </row>
    <row r="351" spans="1:15" x14ac:dyDescent="0.4">
      <c r="A351">
        <v>317</v>
      </c>
      <c r="B351" t="s">
        <v>3105</v>
      </c>
      <c r="C351" s="131">
        <v>41213</v>
      </c>
      <c r="D351" t="s">
        <v>3156</v>
      </c>
      <c r="E351" t="s">
        <v>645</v>
      </c>
      <c r="F351">
        <v>7</v>
      </c>
      <c r="G351" s="1">
        <v>768.57</v>
      </c>
      <c r="H351" s="1">
        <v>768.57</v>
      </c>
      <c r="I351" s="1">
        <v>220.94</v>
      </c>
      <c r="J351" s="1">
        <f t="shared" si="18"/>
        <v>109.7957142857143</v>
      </c>
      <c r="K351" s="1">
        <v>240.16</v>
      </c>
      <c r="N351" s="35">
        <f t="shared" si="19"/>
        <v>528.41000000000008</v>
      </c>
      <c r="O351" s="35">
        <f t="shared" si="20"/>
        <v>418.61428571428576</v>
      </c>
    </row>
    <row r="352" spans="1:15" x14ac:dyDescent="0.4">
      <c r="A352">
        <v>318</v>
      </c>
      <c r="B352" t="s">
        <v>3105</v>
      </c>
      <c r="C352" s="131">
        <v>41274</v>
      </c>
      <c r="D352" t="s">
        <v>3157</v>
      </c>
      <c r="E352" t="s">
        <v>645</v>
      </c>
      <c r="F352">
        <v>7</v>
      </c>
      <c r="G352" s="1">
        <v>339.81</v>
      </c>
      <c r="H352" s="1">
        <v>339.81</v>
      </c>
      <c r="I352" s="1">
        <v>97.7</v>
      </c>
      <c r="J352" s="1">
        <f t="shared" si="18"/>
        <v>48.544285714285714</v>
      </c>
      <c r="K352" s="1">
        <v>106.2</v>
      </c>
      <c r="N352" s="35">
        <f t="shared" si="19"/>
        <v>233.61</v>
      </c>
      <c r="O352" s="35">
        <f t="shared" si="20"/>
        <v>185.06571428571431</v>
      </c>
    </row>
    <row r="353" spans="1:15" x14ac:dyDescent="0.4">
      <c r="A353">
        <v>319</v>
      </c>
      <c r="B353" t="s">
        <v>3105</v>
      </c>
      <c r="C353" s="131">
        <v>41305</v>
      </c>
      <c r="D353" t="s">
        <v>3158</v>
      </c>
      <c r="E353" t="s">
        <v>645</v>
      </c>
      <c r="F353">
        <v>7</v>
      </c>
      <c r="G353" s="1">
        <v>1637.63</v>
      </c>
      <c r="H353" s="1">
        <v>1637.63</v>
      </c>
      <c r="I353" s="1">
        <v>429.87</v>
      </c>
      <c r="J353" s="1">
        <f t="shared" si="18"/>
        <v>233.94714285714286</v>
      </c>
      <c r="K353" s="1">
        <v>470.81</v>
      </c>
      <c r="N353" s="35">
        <f t="shared" si="19"/>
        <v>1166.8200000000002</v>
      </c>
      <c r="O353" s="35">
        <f t="shared" si="20"/>
        <v>932.87285714285736</v>
      </c>
    </row>
    <row r="354" spans="1:15" x14ac:dyDescent="0.4">
      <c r="A354">
        <v>320</v>
      </c>
      <c r="B354" t="s">
        <v>3105</v>
      </c>
      <c r="C354" s="131">
        <v>41333</v>
      </c>
      <c r="D354" t="s">
        <v>3159</v>
      </c>
      <c r="E354" t="s">
        <v>645</v>
      </c>
      <c r="F354">
        <v>7</v>
      </c>
      <c r="G354" s="1">
        <v>685.12</v>
      </c>
      <c r="H354" s="1">
        <v>685.12</v>
      </c>
      <c r="I354" s="1">
        <v>179.86</v>
      </c>
      <c r="J354" s="1">
        <f t="shared" si="18"/>
        <v>97.874285714285719</v>
      </c>
      <c r="K354" s="1">
        <v>196.99</v>
      </c>
      <c r="N354" s="35">
        <f t="shared" si="19"/>
        <v>488.13</v>
      </c>
      <c r="O354" s="35">
        <f t="shared" si="20"/>
        <v>390.25571428571425</v>
      </c>
    </row>
    <row r="355" spans="1:15" x14ac:dyDescent="0.4">
      <c r="A355">
        <v>321</v>
      </c>
      <c r="B355" t="s">
        <v>3105</v>
      </c>
      <c r="C355" s="131">
        <v>41425</v>
      </c>
      <c r="D355" t="s">
        <v>3160</v>
      </c>
      <c r="E355" t="s">
        <v>645</v>
      </c>
      <c r="F355">
        <v>7</v>
      </c>
      <c r="G355" s="1">
        <v>2104.89</v>
      </c>
      <c r="H355" s="1">
        <v>2104.89</v>
      </c>
      <c r="I355" s="1">
        <v>552.51</v>
      </c>
      <c r="J355" s="1">
        <f t="shared" si="18"/>
        <v>300.69857142857143</v>
      </c>
      <c r="K355" s="1">
        <v>605.13</v>
      </c>
      <c r="N355" s="35">
        <f t="shared" si="19"/>
        <v>1499.7599999999998</v>
      </c>
      <c r="O355" s="35">
        <f t="shared" si="20"/>
        <v>1199.0614285714282</v>
      </c>
    </row>
    <row r="356" spans="1:15" x14ac:dyDescent="0.4">
      <c r="A356">
        <v>322</v>
      </c>
      <c r="B356" t="s">
        <v>3105</v>
      </c>
      <c r="C356" s="131">
        <v>41455</v>
      </c>
      <c r="D356" t="s">
        <v>3161</v>
      </c>
      <c r="E356" t="s">
        <v>645</v>
      </c>
      <c r="F356">
        <v>7</v>
      </c>
      <c r="G356" s="1">
        <v>2132.21</v>
      </c>
      <c r="H356" s="1">
        <v>2132.21</v>
      </c>
      <c r="I356" s="1">
        <v>559.71</v>
      </c>
      <c r="J356" s="1">
        <f t="shared" si="18"/>
        <v>304.60142857142858</v>
      </c>
      <c r="K356" s="1">
        <v>613.02</v>
      </c>
      <c r="N356" s="35">
        <f t="shared" si="19"/>
        <v>1519.19</v>
      </c>
      <c r="O356" s="35">
        <f t="shared" si="20"/>
        <v>1214.5885714285714</v>
      </c>
    </row>
    <row r="357" spans="1:15" x14ac:dyDescent="0.4">
      <c r="A357">
        <v>323</v>
      </c>
      <c r="B357" t="s">
        <v>3105</v>
      </c>
      <c r="C357" s="131">
        <v>41486</v>
      </c>
      <c r="D357" t="s">
        <v>3162</v>
      </c>
      <c r="E357" t="s">
        <v>645</v>
      </c>
      <c r="F357">
        <v>7</v>
      </c>
      <c r="G357" s="1">
        <v>1433.4</v>
      </c>
      <c r="H357" s="1">
        <v>1433.4</v>
      </c>
      <c r="I357" s="1">
        <v>376.27</v>
      </c>
      <c r="J357" s="1">
        <f t="shared" si="18"/>
        <v>204.77142857142857</v>
      </c>
      <c r="K357" s="1">
        <v>412.09999999999997</v>
      </c>
      <c r="N357" s="35">
        <f t="shared" si="19"/>
        <v>1021.3000000000002</v>
      </c>
      <c r="O357" s="35">
        <f t="shared" si="20"/>
        <v>816.52857142857158</v>
      </c>
    </row>
    <row r="358" spans="1:15" x14ac:dyDescent="0.4">
      <c r="A358">
        <v>324</v>
      </c>
      <c r="B358" t="s">
        <v>3105</v>
      </c>
      <c r="C358" s="131">
        <v>41517</v>
      </c>
      <c r="D358" t="s">
        <v>3163</v>
      </c>
      <c r="E358" t="s">
        <v>645</v>
      </c>
      <c r="F358">
        <v>7</v>
      </c>
      <c r="G358" s="1">
        <v>901.87</v>
      </c>
      <c r="H358" s="1">
        <v>901.87</v>
      </c>
      <c r="I358" s="1">
        <v>236.77</v>
      </c>
      <c r="J358" s="1">
        <f t="shared" si="18"/>
        <v>128.83857142857144</v>
      </c>
      <c r="K358" s="1">
        <v>259.32</v>
      </c>
      <c r="N358" s="35">
        <f t="shared" si="19"/>
        <v>642.54999999999995</v>
      </c>
      <c r="O358" s="35">
        <f t="shared" si="20"/>
        <v>513.71142857142854</v>
      </c>
    </row>
    <row r="359" spans="1:15" x14ac:dyDescent="0.4">
      <c r="A359">
        <v>325</v>
      </c>
      <c r="B359" t="s">
        <v>3105</v>
      </c>
      <c r="C359" s="131">
        <v>41578</v>
      </c>
      <c r="D359" t="s">
        <v>3164</v>
      </c>
      <c r="E359" t="s">
        <v>645</v>
      </c>
      <c r="F359">
        <v>7</v>
      </c>
      <c r="G359" s="1">
        <v>1439.25</v>
      </c>
      <c r="H359" s="1">
        <v>1439.25</v>
      </c>
      <c r="I359" s="1">
        <v>377.79</v>
      </c>
      <c r="J359" s="1">
        <f t="shared" si="18"/>
        <v>205.60714285714286</v>
      </c>
      <c r="K359" s="1">
        <v>413.77000000000004</v>
      </c>
      <c r="N359" s="35">
        <f t="shared" si="19"/>
        <v>1025.48</v>
      </c>
      <c r="O359" s="35">
        <f t="shared" si="20"/>
        <v>819.87285714285713</v>
      </c>
    </row>
    <row r="360" spans="1:15" x14ac:dyDescent="0.4">
      <c r="A360">
        <v>326</v>
      </c>
      <c r="B360" t="s">
        <v>3105</v>
      </c>
      <c r="C360" s="131">
        <v>41608</v>
      </c>
      <c r="D360" t="s">
        <v>3165</v>
      </c>
      <c r="E360" t="s">
        <v>645</v>
      </c>
      <c r="F360">
        <v>7</v>
      </c>
      <c r="G360" s="1">
        <v>538.35</v>
      </c>
      <c r="H360" s="1">
        <v>538.35</v>
      </c>
      <c r="I360" s="1">
        <v>141.33000000000001</v>
      </c>
      <c r="J360" s="1">
        <f t="shared" si="18"/>
        <v>76.907142857142858</v>
      </c>
      <c r="K360" s="1">
        <v>154.79000000000002</v>
      </c>
      <c r="N360" s="35">
        <f t="shared" si="19"/>
        <v>383.56</v>
      </c>
      <c r="O360" s="35">
        <f t="shared" si="20"/>
        <v>306.65285714285716</v>
      </c>
    </row>
    <row r="361" spans="1:15" x14ac:dyDescent="0.4">
      <c r="A361">
        <v>327</v>
      </c>
      <c r="B361" t="s">
        <v>3105</v>
      </c>
      <c r="C361" s="131">
        <v>41729</v>
      </c>
      <c r="D361" t="s">
        <v>3166</v>
      </c>
      <c r="E361" t="s">
        <v>645</v>
      </c>
      <c r="F361">
        <v>7</v>
      </c>
      <c r="G361" s="1">
        <v>347.16</v>
      </c>
      <c r="H361" s="1">
        <v>347.16</v>
      </c>
      <c r="I361" s="1">
        <v>82.46</v>
      </c>
      <c r="J361" s="1">
        <f t="shared" si="18"/>
        <v>49.594285714285718</v>
      </c>
      <c r="K361" s="1">
        <v>91.139999999999986</v>
      </c>
      <c r="N361" s="35">
        <f t="shared" si="19"/>
        <v>256.02000000000004</v>
      </c>
      <c r="O361" s="35">
        <f t="shared" si="20"/>
        <v>206.42571428571432</v>
      </c>
    </row>
    <row r="362" spans="1:15" x14ac:dyDescent="0.4">
      <c r="A362">
        <v>328</v>
      </c>
      <c r="B362" t="s">
        <v>3105</v>
      </c>
      <c r="C362" s="131">
        <v>41790</v>
      </c>
      <c r="D362" t="s">
        <v>3070</v>
      </c>
      <c r="E362" t="s">
        <v>645</v>
      </c>
      <c r="F362">
        <v>7</v>
      </c>
      <c r="G362" s="1">
        <v>1373.3</v>
      </c>
      <c r="H362" s="1">
        <v>1373.3</v>
      </c>
      <c r="I362" s="1">
        <v>326.14</v>
      </c>
      <c r="J362" s="1">
        <f t="shared" si="18"/>
        <v>196.18571428571428</v>
      </c>
      <c r="K362" s="1">
        <v>360.46999999999997</v>
      </c>
      <c r="N362" s="35">
        <f t="shared" si="19"/>
        <v>1012.8299999999999</v>
      </c>
      <c r="O362" s="35">
        <f t="shared" si="20"/>
        <v>816.64428571428562</v>
      </c>
    </row>
    <row r="363" spans="1:15" x14ac:dyDescent="0.4">
      <c r="A363">
        <v>329</v>
      </c>
      <c r="B363" t="s">
        <v>3105</v>
      </c>
      <c r="C363" s="131">
        <v>41882</v>
      </c>
      <c r="D363" t="s">
        <v>3071</v>
      </c>
      <c r="E363" t="s">
        <v>645</v>
      </c>
      <c r="F363">
        <v>7</v>
      </c>
      <c r="G363" s="1">
        <v>745.52</v>
      </c>
      <c r="H363" s="1">
        <v>745.52</v>
      </c>
      <c r="I363" s="1">
        <v>177.08</v>
      </c>
      <c r="J363" s="1">
        <f t="shared" ref="J363:J426" si="21">G363/F363</f>
        <v>106.50285714285714</v>
      </c>
      <c r="K363" s="1">
        <v>195.72000000000003</v>
      </c>
      <c r="N363" s="35">
        <f t="shared" ref="N363:N426" si="22">G363-K363</f>
        <v>549.79999999999995</v>
      </c>
      <c r="O363" s="35">
        <f t="shared" ref="O363:O426" si="23">N363-J363</f>
        <v>443.29714285714283</v>
      </c>
    </row>
    <row r="364" spans="1:15" x14ac:dyDescent="0.4">
      <c r="A364">
        <v>330</v>
      </c>
      <c r="B364" t="s">
        <v>3105</v>
      </c>
      <c r="C364" s="131">
        <v>41973</v>
      </c>
      <c r="D364" t="s">
        <v>3072</v>
      </c>
      <c r="E364" t="s">
        <v>645</v>
      </c>
      <c r="F364">
        <v>7</v>
      </c>
      <c r="G364" s="1">
        <v>1266.1500000000001</v>
      </c>
      <c r="H364" s="1">
        <v>1266.1500000000001</v>
      </c>
      <c r="I364" s="1">
        <v>300.68</v>
      </c>
      <c r="J364" s="1">
        <f t="shared" si="21"/>
        <v>180.87857142857143</v>
      </c>
      <c r="K364" s="1">
        <v>332.33</v>
      </c>
      <c r="N364" s="35">
        <f t="shared" si="22"/>
        <v>933.82000000000016</v>
      </c>
      <c r="O364" s="35">
        <f t="shared" si="23"/>
        <v>752.94142857142879</v>
      </c>
    </row>
    <row r="365" spans="1:15" x14ac:dyDescent="0.4">
      <c r="A365">
        <v>331</v>
      </c>
      <c r="B365" t="s">
        <v>3105</v>
      </c>
      <c r="C365" s="131">
        <v>42035</v>
      </c>
      <c r="D365" t="s">
        <v>3167</v>
      </c>
      <c r="E365" t="s">
        <v>645</v>
      </c>
      <c r="F365">
        <v>7</v>
      </c>
      <c r="G365" s="1">
        <v>719.81</v>
      </c>
      <c r="H365" s="1">
        <v>719.81</v>
      </c>
      <c r="I365" s="1">
        <v>152.97</v>
      </c>
      <c r="J365" s="1">
        <f t="shared" si="21"/>
        <v>102.83</v>
      </c>
      <c r="K365" s="1">
        <v>170.96</v>
      </c>
      <c r="N365" s="35">
        <f t="shared" si="22"/>
        <v>548.84999999999991</v>
      </c>
      <c r="O365" s="35">
        <f t="shared" si="23"/>
        <v>446.01999999999992</v>
      </c>
    </row>
    <row r="366" spans="1:15" x14ac:dyDescent="0.4">
      <c r="A366">
        <v>332</v>
      </c>
      <c r="B366" t="s">
        <v>3105</v>
      </c>
      <c r="C366" s="131">
        <v>42124</v>
      </c>
      <c r="D366" t="s">
        <v>3168</v>
      </c>
      <c r="E366" t="s">
        <v>645</v>
      </c>
      <c r="F366">
        <v>7</v>
      </c>
      <c r="G366" s="1">
        <v>882.91</v>
      </c>
      <c r="H366" s="1">
        <v>882.91</v>
      </c>
      <c r="I366" s="1">
        <v>187.6</v>
      </c>
      <c r="J366" s="1">
        <f t="shared" si="21"/>
        <v>126.13</v>
      </c>
      <c r="K366" s="1">
        <v>209.67</v>
      </c>
      <c r="N366" s="35">
        <f t="shared" si="22"/>
        <v>673.24</v>
      </c>
      <c r="O366" s="35">
        <f t="shared" si="23"/>
        <v>547.11</v>
      </c>
    </row>
    <row r="367" spans="1:15" x14ac:dyDescent="0.4">
      <c r="A367">
        <v>333</v>
      </c>
      <c r="B367" t="s">
        <v>3105</v>
      </c>
      <c r="C367" s="131">
        <v>42185</v>
      </c>
      <c r="D367" t="s">
        <v>3169</v>
      </c>
      <c r="E367" t="s">
        <v>645</v>
      </c>
      <c r="F367">
        <v>7</v>
      </c>
      <c r="G367" s="1">
        <v>464.23</v>
      </c>
      <c r="H367" s="1">
        <v>464.23</v>
      </c>
      <c r="I367" s="1">
        <v>98.67</v>
      </c>
      <c r="J367" s="1">
        <f t="shared" si="21"/>
        <v>66.318571428571431</v>
      </c>
      <c r="K367" s="1">
        <v>110.28</v>
      </c>
      <c r="N367" s="35">
        <f t="shared" si="22"/>
        <v>353.95000000000005</v>
      </c>
      <c r="O367" s="35">
        <f t="shared" si="23"/>
        <v>287.63142857142861</v>
      </c>
    </row>
    <row r="368" spans="1:15" x14ac:dyDescent="0.4">
      <c r="A368">
        <v>334</v>
      </c>
      <c r="B368" t="s">
        <v>3105</v>
      </c>
      <c r="C368" s="131">
        <v>42369</v>
      </c>
      <c r="D368" t="s">
        <v>3170</v>
      </c>
      <c r="E368" t="s">
        <v>645</v>
      </c>
      <c r="F368">
        <v>7</v>
      </c>
      <c r="G368" s="1">
        <v>604.79999999999995</v>
      </c>
      <c r="H368" s="1">
        <v>604.79999999999995</v>
      </c>
      <c r="I368" s="1">
        <v>128.52000000000001</v>
      </c>
      <c r="J368" s="1">
        <f t="shared" si="21"/>
        <v>86.399999999999991</v>
      </c>
      <c r="K368" s="1">
        <v>143.64000000000001</v>
      </c>
      <c r="N368" s="35">
        <f t="shared" si="22"/>
        <v>461.15999999999997</v>
      </c>
      <c r="O368" s="35">
        <f t="shared" si="23"/>
        <v>374.76</v>
      </c>
    </row>
    <row r="369" spans="1:15" x14ac:dyDescent="0.4">
      <c r="A369">
        <v>335</v>
      </c>
      <c r="B369" t="s">
        <v>3105</v>
      </c>
      <c r="C369" s="131">
        <v>42185</v>
      </c>
      <c r="D369" t="s">
        <v>3171</v>
      </c>
      <c r="E369" t="s">
        <v>645</v>
      </c>
      <c r="F369">
        <v>7</v>
      </c>
      <c r="G369" s="1">
        <v>14066.75</v>
      </c>
      <c r="H369" s="1">
        <v>14066.75</v>
      </c>
      <c r="I369" s="1">
        <v>1913.09</v>
      </c>
      <c r="J369" s="1">
        <f t="shared" si="21"/>
        <v>2009.5357142857142</v>
      </c>
      <c r="K369" s="1">
        <v>2138.16</v>
      </c>
      <c r="N369" s="35">
        <f t="shared" si="22"/>
        <v>11928.59</v>
      </c>
      <c r="O369" s="35">
        <f t="shared" si="23"/>
        <v>9919.0542857142864</v>
      </c>
    </row>
    <row r="370" spans="1:15" x14ac:dyDescent="0.4">
      <c r="A370">
        <v>336</v>
      </c>
      <c r="B370" t="s">
        <v>3105</v>
      </c>
      <c r="C370" s="131">
        <v>42429</v>
      </c>
      <c r="D370" t="s">
        <v>3172</v>
      </c>
      <c r="E370" t="s">
        <v>645</v>
      </c>
      <c r="F370">
        <v>7</v>
      </c>
      <c r="G370" s="1">
        <v>468.24</v>
      </c>
      <c r="H370" s="1">
        <v>468.24</v>
      </c>
      <c r="I370" s="1">
        <v>87.82</v>
      </c>
      <c r="J370" s="1">
        <f t="shared" si="21"/>
        <v>66.891428571428577</v>
      </c>
      <c r="K370" s="1">
        <v>99.53</v>
      </c>
      <c r="N370" s="35">
        <f t="shared" si="22"/>
        <v>368.71000000000004</v>
      </c>
      <c r="O370" s="35">
        <f t="shared" si="23"/>
        <v>301.81857142857143</v>
      </c>
    </row>
    <row r="371" spans="1:15" x14ac:dyDescent="0.4">
      <c r="A371">
        <v>337</v>
      </c>
      <c r="B371" t="s">
        <v>3105</v>
      </c>
      <c r="C371" s="131">
        <v>42460</v>
      </c>
      <c r="D371" t="s">
        <v>3173</v>
      </c>
      <c r="E371" t="s">
        <v>645</v>
      </c>
      <c r="F371">
        <v>7</v>
      </c>
      <c r="G371" s="1">
        <v>1085.95</v>
      </c>
      <c r="H371" s="1">
        <v>1085.95</v>
      </c>
      <c r="I371" s="1">
        <v>203.62</v>
      </c>
      <c r="J371" s="1">
        <f t="shared" si="21"/>
        <v>155.1357142857143</v>
      </c>
      <c r="K371" s="1">
        <v>230.77</v>
      </c>
      <c r="N371" s="35">
        <f t="shared" si="22"/>
        <v>855.18000000000006</v>
      </c>
      <c r="O371" s="35">
        <f t="shared" si="23"/>
        <v>700.04428571428571</v>
      </c>
    </row>
    <row r="372" spans="1:15" x14ac:dyDescent="0.4">
      <c r="A372">
        <v>338</v>
      </c>
      <c r="B372" t="s">
        <v>3105</v>
      </c>
      <c r="C372" s="131">
        <v>42490</v>
      </c>
      <c r="D372" t="s">
        <v>3174</v>
      </c>
      <c r="E372" t="s">
        <v>645</v>
      </c>
      <c r="F372">
        <v>7</v>
      </c>
      <c r="G372" s="1">
        <v>861.08</v>
      </c>
      <c r="H372" s="1">
        <v>861.08</v>
      </c>
      <c r="I372" s="1">
        <v>161.47</v>
      </c>
      <c r="J372" s="1">
        <f t="shared" si="21"/>
        <v>123.01142857142858</v>
      </c>
      <c r="K372" s="1">
        <v>183</v>
      </c>
      <c r="N372" s="35">
        <f t="shared" si="22"/>
        <v>678.08</v>
      </c>
      <c r="O372" s="35">
        <f t="shared" si="23"/>
        <v>555.06857142857143</v>
      </c>
    </row>
    <row r="373" spans="1:15" x14ac:dyDescent="0.4">
      <c r="A373">
        <v>339</v>
      </c>
      <c r="B373" t="s">
        <v>3105</v>
      </c>
      <c r="C373" s="131">
        <v>42613</v>
      </c>
      <c r="D373" t="s">
        <v>3175</v>
      </c>
      <c r="E373" t="s">
        <v>645</v>
      </c>
      <c r="F373">
        <v>7</v>
      </c>
      <c r="G373" s="1">
        <v>744.53</v>
      </c>
      <c r="H373" s="1">
        <v>744.53</v>
      </c>
      <c r="I373" s="1">
        <v>139.58000000000001</v>
      </c>
      <c r="J373" s="1">
        <f t="shared" si="21"/>
        <v>106.36142857142856</v>
      </c>
      <c r="K373" s="1">
        <v>158.19</v>
      </c>
      <c r="N373" s="35">
        <f t="shared" si="22"/>
        <v>586.33999999999992</v>
      </c>
      <c r="O373" s="35">
        <f t="shared" si="23"/>
        <v>479.97857142857134</v>
      </c>
    </row>
    <row r="374" spans="1:15" x14ac:dyDescent="0.4">
      <c r="A374">
        <v>340</v>
      </c>
      <c r="B374" t="s">
        <v>3105</v>
      </c>
      <c r="C374" s="131">
        <v>42704</v>
      </c>
      <c r="D374" t="s">
        <v>3176</v>
      </c>
      <c r="E374" t="s">
        <v>645</v>
      </c>
      <c r="F374">
        <v>7</v>
      </c>
      <c r="G374" s="1">
        <v>629.27</v>
      </c>
      <c r="H374" s="1">
        <v>629.27</v>
      </c>
      <c r="I374" s="1">
        <v>117.98</v>
      </c>
      <c r="J374" s="1">
        <f t="shared" si="21"/>
        <v>89.895714285714277</v>
      </c>
      <c r="K374" s="1">
        <v>133.71</v>
      </c>
      <c r="N374" s="35">
        <f t="shared" si="22"/>
        <v>495.55999999999995</v>
      </c>
      <c r="O374" s="35">
        <f t="shared" si="23"/>
        <v>405.66428571428565</v>
      </c>
    </row>
    <row r="375" spans="1:15" x14ac:dyDescent="0.4">
      <c r="A375">
        <v>341</v>
      </c>
      <c r="B375" t="s">
        <v>3105</v>
      </c>
      <c r="C375" s="131">
        <v>42552</v>
      </c>
      <c r="D375" t="s">
        <v>3177</v>
      </c>
      <c r="E375" t="s">
        <v>645</v>
      </c>
      <c r="F375">
        <v>7</v>
      </c>
      <c r="G375" s="1">
        <v>5995.83</v>
      </c>
      <c r="H375" s="1">
        <v>5995.83</v>
      </c>
      <c r="I375" s="1">
        <v>1124.24</v>
      </c>
      <c r="J375" s="1">
        <f t="shared" si="21"/>
        <v>856.54714285714283</v>
      </c>
      <c r="K375" s="1">
        <v>1274.1400000000001</v>
      </c>
      <c r="N375" s="35">
        <f t="shared" si="22"/>
        <v>4721.6899999999996</v>
      </c>
      <c r="O375" s="35">
        <f t="shared" si="23"/>
        <v>3865.1428571428569</v>
      </c>
    </row>
    <row r="376" spans="1:15" x14ac:dyDescent="0.4">
      <c r="A376">
        <v>342</v>
      </c>
      <c r="B376" t="s">
        <v>3105</v>
      </c>
      <c r="C376" s="131">
        <v>42766</v>
      </c>
      <c r="D376" t="s">
        <v>3178</v>
      </c>
      <c r="E376" t="s">
        <v>645</v>
      </c>
      <c r="F376">
        <v>7</v>
      </c>
      <c r="G376" s="1">
        <v>662.82</v>
      </c>
      <c r="H376" s="1">
        <v>662.82</v>
      </c>
      <c r="I376" s="1">
        <v>107.71</v>
      </c>
      <c r="J376" s="1">
        <f t="shared" si="21"/>
        <v>94.688571428571436</v>
      </c>
      <c r="K376" s="1">
        <v>124.28</v>
      </c>
      <c r="N376" s="35">
        <f t="shared" si="22"/>
        <v>538.54000000000008</v>
      </c>
      <c r="O376" s="35">
        <f t="shared" si="23"/>
        <v>443.85142857142864</v>
      </c>
    </row>
    <row r="377" spans="1:15" x14ac:dyDescent="0.4">
      <c r="A377">
        <v>343</v>
      </c>
      <c r="B377" t="s">
        <v>3105</v>
      </c>
      <c r="C377" s="131">
        <v>42978</v>
      </c>
      <c r="D377" t="s">
        <v>3175</v>
      </c>
      <c r="E377" t="s">
        <v>645</v>
      </c>
      <c r="F377">
        <v>7</v>
      </c>
      <c r="G377" s="1">
        <v>944.28</v>
      </c>
      <c r="H377" s="1">
        <v>944.28</v>
      </c>
      <c r="I377" s="1">
        <v>153.46</v>
      </c>
      <c r="J377" s="1">
        <f t="shared" si="21"/>
        <v>134.89714285714285</v>
      </c>
      <c r="K377" s="1">
        <v>177.07</v>
      </c>
      <c r="N377" s="35">
        <f t="shared" si="22"/>
        <v>767.21</v>
      </c>
      <c r="O377" s="35">
        <f t="shared" si="23"/>
        <v>632.31285714285718</v>
      </c>
    </row>
    <row r="378" spans="1:15" x14ac:dyDescent="0.4">
      <c r="A378">
        <v>344</v>
      </c>
      <c r="B378" t="s">
        <v>3105</v>
      </c>
      <c r="C378" s="131">
        <v>43039</v>
      </c>
      <c r="D378" t="s">
        <v>3179</v>
      </c>
      <c r="E378" t="s">
        <v>645</v>
      </c>
      <c r="F378">
        <v>7</v>
      </c>
      <c r="G378" s="1">
        <v>652.91999999999996</v>
      </c>
      <c r="H378" s="1">
        <v>652.91999999999996</v>
      </c>
      <c r="I378" s="1">
        <v>106.08</v>
      </c>
      <c r="J378" s="1">
        <f t="shared" si="21"/>
        <v>93.27428571428571</v>
      </c>
      <c r="K378" s="1">
        <v>122.4</v>
      </c>
      <c r="N378" s="35">
        <f t="shared" si="22"/>
        <v>530.52</v>
      </c>
      <c r="O378" s="35">
        <f t="shared" si="23"/>
        <v>437.24571428571426</v>
      </c>
    </row>
    <row r="379" spans="1:15" x14ac:dyDescent="0.4">
      <c r="A379">
        <v>345</v>
      </c>
      <c r="B379" t="s">
        <v>3105</v>
      </c>
      <c r="C379" s="131">
        <v>43069</v>
      </c>
      <c r="D379" t="s">
        <v>3176</v>
      </c>
      <c r="E379" t="s">
        <v>645</v>
      </c>
      <c r="F379">
        <v>7</v>
      </c>
      <c r="G379" s="1">
        <v>1080.18</v>
      </c>
      <c r="H379" s="1">
        <v>1080.18</v>
      </c>
      <c r="I379" s="1">
        <v>175.51</v>
      </c>
      <c r="J379" s="1">
        <f t="shared" si="21"/>
        <v>154.31142857142859</v>
      </c>
      <c r="K379" s="1">
        <v>202.51999999999998</v>
      </c>
      <c r="N379" s="35">
        <f t="shared" si="22"/>
        <v>877.66000000000008</v>
      </c>
      <c r="O379" s="35">
        <f t="shared" si="23"/>
        <v>723.34857142857152</v>
      </c>
    </row>
    <row r="380" spans="1:15" x14ac:dyDescent="0.4">
      <c r="A380">
        <v>346</v>
      </c>
      <c r="B380" t="s">
        <v>3105</v>
      </c>
      <c r="C380" s="131">
        <v>43190</v>
      </c>
      <c r="D380" t="s">
        <v>3180</v>
      </c>
      <c r="E380" t="s">
        <v>645</v>
      </c>
      <c r="F380">
        <v>7</v>
      </c>
      <c r="G380" s="1">
        <v>998.13</v>
      </c>
      <c r="H380" s="1">
        <v>998.13</v>
      </c>
      <c r="I380" s="1">
        <v>137.22999999999999</v>
      </c>
      <c r="J380" s="1">
        <f t="shared" si="21"/>
        <v>142.59</v>
      </c>
      <c r="K380" s="1">
        <v>162.17999999999998</v>
      </c>
      <c r="N380" s="35">
        <f t="shared" si="22"/>
        <v>835.95</v>
      </c>
      <c r="O380" s="35">
        <f t="shared" si="23"/>
        <v>693.36</v>
      </c>
    </row>
    <row r="381" spans="1:15" x14ac:dyDescent="0.4">
      <c r="A381">
        <v>347</v>
      </c>
      <c r="B381" t="s">
        <v>3105</v>
      </c>
      <c r="C381" s="131">
        <v>43465</v>
      </c>
      <c r="D381" t="s">
        <v>3104</v>
      </c>
      <c r="E381" t="s">
        <v>645</v>
      </c>
      <c r="F381">
        <v>7</v>
      </c>
      <c r="G381" s="1">
        <v>952.32</v>
      </c>
      <c r="H381" s="1">
        <v>952.32</v>
      </c>
      <c r="I381" s="1">
        <v>130.94999999999999</v>
      </c>
      <c r="J381" s="1">
        <f t="shared" si="21"/>
        <v>136.0457142857143</v>
      </c>
      <c r="K381" s="1">
        <v>154.76</v>
      </c>
      <c r="N381" s="35">
        <f t="shared" si="22"/>
        <v>797.56000000000006</v>
      </c>
      <c r="O381" s="35">
        <f t="shared" si="23"/>
        <v>661.51428571428573</v>
      </c>
    </row>
    <row r="382" spans="1:15" x14ac:dyDescent="0.4">
      <c r="A382">
        <v>348</v>
      </c>
      <c r="B382" t="s">
        <v>3105</v>
      </c>
      <c r="C382" s="131">
        <v>43465</v>
      </c>
      <c r="D382" t="s">
        <v>3089</v>
      </c>
      <c r="E382" t="s">
        <v>645</v>
      </c>
      <c r="F382">
        <v>7</v>
      </c>
      <c r="G382" s="1">
        <v>9292.76</v>
      </c>
      <c r="H382" s="1">
        <v>9292.76</v>
      </c>
      <c r="I382" s="1">
        <v>1277.76</v>
      </c>
      <c r="J382" s="1">
        <f t="shared" si="21"/>
        <v>1327.537142857143</v>
      </c>
      <c r="K382" s="1">
        <v>1510.08</v>
      </c>
      <c r="N382" s="35">
        <f t="shared" si="22"/>
        <v>7782.68</v>
      </c>
      <c r="O382" s="35">
        <f t="shared" si="23"/>
        <v>6455.1428571428569</v>
      </c>
    </row>
    <row r="383" spans="1:15" x14ac:dyDescent="0.4">
      <c r="A383">
        <v>349</v>
      </c>
      <c r="B383" t="s">
        <v>3105</v>
      </c>
      <c r="C383" s="131">
        <v>43249</v>
      </c>
      <c r="D383" t="s">
        <v>3181</v>
      </c>
      <c r="E383" t="s">
        <v>645</v>
      </c>
      <c r="F383">
        <v>7</v>
      </c>
      <c r="G383" s="1">
        <v>5289.63</v>
      </c>
      <c r="H383" s="1">
        <v>5289.63</v>
      </c>
      <c r="I383" s="1">
        <v>727.32</v>
      </c>
      <c r="J383" s="1">
        <f t="shared" si="21"/>
        <v>755.66142857142859</v>
      </c>
      <c r="K383" s="1">
        <v>859.56000000000006</v>
      </c>
      <c r="N383" s="35">
        <f t="shared" si="22"/>
        <v>4430.07</v>
      </c>
      <c r="O383" s="35">
        <f t="shared" si="23"/>
        <v>3674.4085714285711</v>
      </c>
    </row>
    <row r="384" spans="1:15" x14ac:dyDescent="0.4">
      <c r="A384">
        <v>350</v>
      </c>
      <c r="B384" t="s">
        <v>3105</v>
      </c>
      <c r="C384" s="131">
        <v>43473</v>
      </c>
      <c r="D384" t="s">
        <v>3182</v>
      </c>
      <c r="E384" t="s">
        <v>645</v>
      </c>
      <c r="F384">
        <v>7</v>
      </c>
      <c r="G384" s="1">
        <v>28304</v>
      </c>
      <c r="H384" s="1">
        <v>28304</v>
      </c>
      <c r="I384" s="1">
        <v>3184.2</v>
      </c>
      <c r="J384" s="1">
        <f t="shared" si="21"/>
        <v>4043.4285714285716</v>
      </c>
      <c r="K384" s="1">
        <v>3891.7999999999997</v>
      </c>
      <c r="N384" s="35">
        <f t="shared" si="22"/>
        <v>24412.2</v>
      </c>
      <c r="O384" s="35">
        <f t="shared" si="23"/>
        <v>20368.771428571428</v>
      </c>
    </row>
    <row r="385" spans="1:15" x14ac:dyDescent="0.4">
      <c r="A385">
        <v>351</v>
      </c>
      <c r="B385" t="s">
        <v>3105</v>
      </c>
      <c r="C385" s="131">
        <v>43511</v>
      </c>
      <c r="D385" t="s">
        <v>3172</v>
      </c>
      <c r="E385" t="s">
        <v>645</v>
      </c>
      <c r="F385">
        <v>7</v>
      </c>
      <c r="G385" s="1">
        <v>27814.5</v>
      </c>
      <c r="H385" s="1">
        <v>27814.5</v>
      </c>
      <c r="I385" s="1">
        <v>3129.12</v>
      </c>
      <c r="J385" s="1">
        <f t="shared" si="21"/>
        <v>3973.5</v>
      </c>
      <c r="K385" s="1">
        <v>3824.48</v>
      </c>
      <c r="N385" s="35">
        <f t="shared" si="22"/>
        <v>23990.02</v>
      </c>
      <c r="O385" s="35">
        <f t="shared" si="23"/>
        <v>20016.52</v>
      </c>
    </row>
    <row r="386" spans="1:15" x14ac:dyDescent="0.4">
      <c r="A386">
        <v>352</v>
      </c>
      <c r="B386" t="s">
        <v>3105</v>
      </c>
      <c r="C386" s="131">
        <v>43524</v>
      </c>
      <c r="D386" t="s">
        <v>1682</v>
      </c>
      <c r="E386" t="s">
        <v>645</v>
      </c>
      <c r="F386">
        <v>7</v>
      </c>
      <c r="G386" s="1">
        <v>2848.64</v>
      </c>
      <c r="H386" s="1">
        <v>2848.64</v>
      </c>
      <c r="I386" s="1">
        <v>320.49</v>
      </c>
      <c r="J386" s="1">
        <f t="shared" si="21"/>
        <v>406.94857142857143</v>
      </c>
      <c r="K386" s="1">
        <v>391.71000000000004</v>
      </c>
      <c r="N386" s="35">
        <f t="shared" si="22"/>
        <v>2456.9299999999998</v>
      </c>
      <c r="O386" s="35">
        <f t="shared" si="23"/>
        <v>2049.9814285714283</v>
      </c>
    </row>
    <row r="387" spans="1:15" x14ac:dyDescent="0.4">
      <c r="A387">
        <v>353</v>
      </c>
      <c r="B387" t="s">
        <v>3105</v>
      </c>
      <c r="C387" s="131">
        <v>43546</v>
      </c>
      <c r="D387" t="s">
        <v>3183</v>
      </c>
      <c r="E387" t="s">
        <v>645</v>
      </c>
      <c r="F387">
        <v>7</v>
      </c>
      <c r="G387" s="1">
        <v>28304</v>
      </c>
      <c r="H387" s="1">
        <v>28304</v>
      </c>
      <c r="I387" s="1">
        <v>3184.2</v>
      </c>
      <c r="J387" s="1">
        <f t="shared" si="21"/>
        <v>4043.4285714285716</v>
      </c>
      <c r="K387" s="1">
        <v>3891.7999999999997</v>
      </c>
      <c r="N387" s="35">
        <f t="shared" si="22"/>
        <v>24412.2</v>
      </c>
      <c r="O387" s="35">
        <f t="shared" si="23"/>
        <v>20368.771428571428</v>
      </c>
    </row>
    <row r="388" spans="1:15" x14ac:dyDescent="0.4">
      <c r="A388">
        <v>354</v>
      </c>
      <c r="B388" t="s">
        <v>3105</v>
      </c>
      <c r="C388" s="131">
        <v>43555</v>
      </c>
      <c r="D388" t="s">
        <v>3084</v>
      </c>
      <c r="E388" t="s">
        <v>645</v>
      </c>
      <c r="F388">
        <v>7</v>
      </c>
      <c r="G388" s="1">
        <v>2242.31</v>
      </c>
      <c r="H388" s="1">
        <v>2242.31</v>
      </c>
      <c r="I388" s="1">
        <v>252.27</v>
      </c>
      <c r="J388" s="1">
        <f t="shared" si="21"/>
        <v>320.33</v>
      </c>
      <c r="K388" s="1">
        <v>308.33000000000004</v>
      </c>
      <c r="N388" s="35">
        <f t="shared" si="22"/>
        <v>1933.98</v>
      </c>
      <c r="O388" s="35">
        <f t="shared" si="23"/>
        <v>1613.65</v>
      </c>
    </row>
    <row r="389" spans="1:15" x14ac:dyDescent="0.4">
      <c r="A389">
        <v>355</v>
      </c>
      <c r="B389" t="s">
        <v>3105</v>
      </c>
      <c r="C389" s="131">
        <v>43585</v>
      </c>
      <c r="D389" t="s">
        <v>3174</v>
      </c>
      <c r="E389" t="s">
        <v>645</v>
      </c>
      <c r="F389">
        <v>7</v>
      </c>
      <c r="G389" s="1">
        <v>1788.09</v>
      </c>
      <c r="H389" s="1">
        <v>1788.09</v>
      </c>
      <c r="I389" s="1">
        <v>201.15</v>
      </c>
      <c r="J389" s="1">
        <f t="shared" si="21"/>
        <v>255.44142857142856</v>
      </c>
      <c r="K389" s="1">
        <v>245.85000000000002</v>
      </c>
      <c r="N389" s="35">
        <f t="shared" si="22"/>
        <v>1542.2399999999998</v>
      </c>
      <c r="O389" s="35">
        <f t="shared" si="23"/>
        <v>1286.7985714285712</v>
      </c>
    </row>
    <row r="390" spans="1:15" x14ac:dyDescent="0.4">
      <c r="A390">
        <v>356</v>
      </c>
      <c r="B390" t="s">
        <v>3105</v>
      </c>
      <c r="C390" s="131">
        <v>43598</v>
      </c>
      <c r="D390" t="s">
        <v>3184</v>
      </c>
      <c r="E390" t="s">
        <v>645</v>
      </c>
      <c r="F390">
        <v>7</v>
      </c>
      <c r="G390" s="1">
        <v>28304</v>
      </c>
      <c r="H390" s="1">
        <v>28304</v>
      </c>
      <c r="I390" s="1">
        <v>3184.2</v>
      </c>
      <c r="J390" s="1">
        <f t="shared" si="21"/>
        <v>4043.4285714285716</v>
      </c>
      <c r="K390" s="1">
        <v>3891.7999999999997</v>
      </c>
      <c r="N390" s="35">
        <f t="shared" si="22"/>
        <v>24412.2</v>
      </c>
      <c r="O390" s="35">
        <f t="shared" si="23"/>
        <v>20368.771428571428</v>
      </c>
    </row>
    <row r="391" spans="1:15" x14ac:dyDescent="0.4">
      <c r="A391">
        <v>357</v>
      </c>
      <c r="B391" t="s">
        <v>3105</v>
      </c>
      <c r="C391" s="131">
        <v>43616</v>
      </c>
      <c r="D391" t="s">
        <v>3185</v>
      </c>
      <c r="E391" t="s">
        <v>645</v>
      </c>
      <c r="F391">
        <v>7</v>
      </c>
      <c r="G391" s="1">
        <v>993.31</v>
      </c>
      <c r="H391" s="1">
        <v>993.31</v>
      </c>
      <c r="I391" s="1">
        <v>111.74</v>
      </c>
      <c r="J391" s="1">
        <f t="shared" si="21"/>
        <v>141.90142857142857</v>
      </c>
      <c r="K391" s="1">
        <v>136.57</v>
      </c>
      <c r="N391" s="35">
        <f t="shared" si="22"/>
        <v>856.74</v>
      </c>
      <c r="O391" s="35">
        <f t="shared" si="23"/>
        <v>714.83857142857141</v>
      </c>
    </row>
    <row r="392" spans="1:15" x14ac:dyDescent="0.4">
      <c r="A392">
        <v>358</v>
      </c>
      <c r="B392" t="s">
        <v>3105</v>
      </c>
      <c r="C392" s="131">
        <v>43633</v>
      </c>
      <c r="D392" t="s">
        <v>3186</v>
      </c>
      <c r="E392" t="s">
        <v>645</v>
      </c>
      <c r="F392">
        <v>7</v>
      </c>
      <c r="G392" s="1">
        <v>28304</v>
      </c>
      <c r="H392" s="1">
        <v>28304</v>
      </c>
      <c r="I392" s="1">
        <v>3184.2</v>
      </c>
      <c r="J392" s="1">
        <f t="shared" si="21"/>
        <v>4043.4285714285716</v>
      </c>
      <c r="K392" s="1">
        <v>3891.7999999999997</v>
      </c>
      <c r="N392" s="35">
        <f t="shared" si="22"/>
        <v>24412.2</v>
      </c>
      <c r="O392" s="35">
        <f t="shared" si="23"/>
        <v>20368.771428571428</v>
      </c>
    </row>
    <row r="393" spans="1:15" x14ac:dyDescent="0.4">
      <c r="A393">
        <v>359</v>
      </c>
      <c r="B393" t="s">
        <v>3105</v>
      </c>
      <c r="C393" s="131">
        <v>43677</v>
      </c>
      <c r="D393" t="s">
        <v>3187</v>
      </c>
      <c r="E393" t="s">
        <v>645</v>
      </c>
      <c r="F393">
        <v>7</v>
      </c>
      <c r="G393" s="1">
        <v>329.95</v>
      </c>
      <c r="H393" s="1">
        <v>329.95</v>
      </c>
      <c r="I393" s="1">
        <v>37.119999999999997</v>
      </c>
      <c r="J393" s="1">
        <f t="shared" si="21"/>
        <v>47.135714285714286</v>
      </c>
      <c r="K393" s="1">
        <v>45.37</v>
      </c>
      <c r="N393" s="35">
        <f t="shared" si="22"/>
        <v>284.58</v>
      </c>
      <c r="O393" s="35">
        <f t="shared" si="23"/>
        <v>237.44428571428568</v>
      </c>
    </row>
    <row r="394" spans="1:15" x14ac:dyDescent="0.4">
      <c r="A394">
        <v>360</v>
      </c>
      <c r="B394" t="s">
        <v>3105</v>
      </c>
      <c r="C394" s="131">
        <v>43683</v>
      </c>
      <c r="D394" t="s">
        <v>3186</v>
      </c>
      <c r="E394" t="s">
        <v>645</v>
      </c>
      <c r="F394">
        <v>7</v>
      </c>
      <c r="G394" s="1">
        <v>28304</v>
      </c>
      <c r="H394" s="1">
        <v>28304</v>
      </c>
      <c r="I394" s="1">
        <v>3184.2</v>
      </c>
      <c r="J394" s="1">
        <f t="shared" si="21"/>
        <v>4043.4285714285716</v>
      </c>
      <c r="K394" s="1">
        <v>3891.7999999999997</v>
      </c>
      <c r="N394" s="35">
        <f t="shared" si="22"/>
        <v>24412.2</v>
      </c>
      <c r="O394" s="35">
        <f t="shared" si="23"/>
        <v>20368.771428571428</v>
      </c>
    </row>
    <row r="395" spans="1:15" x14ac:dyDescent="0.4">
      <c r="A395">
        <v>361</v>
      </c>
      <c r="B395" t="s">
        <v>3105</v>
      </c>
      <c r="C395" s="131">
        <v>43733</v>
      </c>
      <c r="D395" t="s">
        <v>3186</v>
      </c>
      <c r="E395" t="s">
        <v>645</v>
      </c>
      <c r="F395">
        <v>7</v>
      </c>
      <c r="G395" s="1">
        <v>28304</v>
      </c>
      <c r="H395" s="1">
        <v>28304</v>
      </c>
      <c r="I395" s="1">
        <v>3184.2</v>
      </c>
      <c r="J395" s="1">
        <f t="shared" si="21"/>
        <v>4043.4285714285716</v>
      </c>
      <c r="K395" s="1">
        <v>3891.7999999999997</v>
      </c>
      <c r="N395" s="35">
        <f t="shared" si="22"/>
        <v>24412.2</v>
      </c>
      <c r="O395" s="35">
        <f t="shared" si="23"/>
        <v>20368.771428571428</v>
      </c>
    </row>
    <row r="396" spans="1:15" x14ac:dyDescent="0.4">
      <c r="A396">
        <v>362</v>
      </c>
      <c r="B396" t="s">
        <v>3105</v>
      </c>
      <c r="C396" s="131">
        <v>43780</v>
      </c>
      <c r="D396" t="s">
        <v>3186</v>
      </c>
      <c r="E396" t="s">
        <v>645</v>
      </c>
      <c r="F396">
        <v>7</v>
      </c>
      <c r="G396" s="1">
        <v>28304</v>
      </c>
      <c r="H396" s="1">
        <v>28304</v>
      </c>
      <c r="I396" s="1">
        <v>3184.2</v>
      </c>
      <c r="J396" s="1">
        <f t="shared" si="21"/>
        <v>4043.4285714285716</v>
      </c>
      <c r="K396" s="1">
        <v>3891.7999999999997</v>
      </c>
      <c r="N396" s="35">
        <f t="shared" si="22"/>
        <v>24412.2</v>
      </c>
      <c r="O396" s="35">
        <f t="shared" si="23"/>
        <v>20368.771428571428</v>
      </c>
    </row>
    <row r="397" spans="1:15" x14ac:dyDescent="0.4">
      <c r="A397">
        <v>363</v>
      </c>
      <c r="B397" t="s">
        <v>3105</v>
      </c>
      <c r="C397" s="131">
        <v>43850</v>
      </c>
      <c r="D397" t="s">
        <v>3188</v>
      </c>
      <c r="E397" t="s">
        <v>645</v>
      </c>
      <c r="F397">
        <v>7</v>
      </c>
      <c r="G397" s="1">
        <v>28304</v>
      </c>
      <c r="H397" s="1">
        <v>28304</v>
      </c>
      <c r="I397" s="1">
        <v>2476.6</v>
      </c>
      <c r="J397" s="1">
        <f t="shared" si="21"/>
        <v>4043.4285714285716</v>
      </c>
      <c r="K397" s="1">
        <v>3184.2</v>
      </c>
      <c r="N397" s="35">
        <f t="shared" si="22"/>
        <v>25119.8</v>
      </c>
      <c r="O397" s="35">
        <f t="shared" si="23"/>
        <v>21076.371428571427</v>
      </c>
    </row>
    <row r="398" spans="1:15" x14ac:dyDescent="0.4">
      <c r="A398">
        <v>364</v>
      </c>
      <c r="B398" t="s">
        <v>3105</v>
      </c>
      <c r="C398" s="131">
        <v>43867</v>
      </c>
      <c r="D398" t="s">
        <v>3188</v>
      </c>
      <c r="E398" t="s">
        <v>645</v>
      </c>
      <c r="F398">
        <v>7</v>
      </c>
      <c r="G398" s="1">
        <v>28304</v>
      </c>
      <c r="H398" s="1">
        <v>28304</v>
      </c>
      <c r="I398" s="1">
        <v>2476.6</v>
      </c>
      <c r="J398" s="1">
        <f t="shared" si="21"/>
        <v>4043.4285714285716</v>
      </c>
      <c r="K398" s="1">
        <v>3184.2</v>
      </c>
      <c r="N398" s="35">
        <f t="shared" si="22"/>
        <v>25119.8</v>
      </c>
      <c r="O398" s="35">
        <f t="shared" si="23"/>
        <v>21076.371428571427</v>
      </c>
    </row>
    <row r="399" spans="1:15" x14ac:dyDescent="0.4">
      <c r="A399">
        <v>365</v>
      </c>
      <c r="B399" t="s">
        <v>3105</v>
      </c>
      <c r="C399" s="131">
        <v>43921</v>
      </c>
      <c r="D399" t="s">
        <v>3089</v>
      </c>
      <c r="E399" t="s">
        <v>645</v>
      </c>
      <c r="F399">
        <v>7</v>
      </c>
      <c r="G399" s="1">
        <v>801.88</v>
      </c>
      <c r="H399" s="1">
        <v>801.88</v>
      </c>
      <c r="I399" s="1">
        <v>70.17</v>
      </c>
      <c r="J399" s="1">
        <f t="shared" si="21"/>
        <v>114.55428571428571</v>
      </c>
      <c r="K399" s="1">
        <v>90.22</v>
      </c>
      <c r="N399" s="35">
        <f t="shared" si="22"/>
        <v>711.66</v>
      </c>
      <c r="O399" s="35">
        <f t="shared" si="23"/>
        <v>597.10571428571427</v>
      </c>
    </row>
    <row r="400" spans="1:15" x14ac:dyDescent="0.4">
      <c r="A400">
        <v>366</v>
      </c>
      <c r="B400" t="s">
        <v>3105</v>
      </c>
      <c r="C400" s="131">
        <v>43937</v>
      </c>
      <c r="D400" t="s">
        <v>3189</v>
      </c>
      <c r="E400" t="s">
        <v>645</v>
      </c>
      <c r="F400">
        <v>7</v>
      </c>
      <c r="G400" s="1">
        <v>28304</v>
      </c>
      <c r="H400" s="1">
        <v>28304</v>
      </c>
      <c r="I400" s="1">
        <v>2476.6</v>
      </c>
      <c r="J400" s="1">
        <f t="shared" si="21"/>
        <v>4043.4285714285716</v>
      </c>
      <c r="K400" s="1">
        <v>3184.2</v>
      </c>
      <c r="N400" s="35">
        <f t="shared" si="22"/>
        <v>25119.8</v>
      </c>
      <c r="O400" s="35">
        <f t="shared" si="23"/>
        <v>21076.371428571427</v>
      </c>
    </row>
    <row r="401" spans="1:15" x14ac:dyDescent="0.4">
      <c r="A401">
        <v>367</v>
      </c>
      <c r="B401" t="s">
        <v>3105</v>
      </c>
      <c r="C401" s="131">
        <v>43951</v>
      </c>
      <c r="D401" t="s">
        <v>3079</v>
      </c>
      <c r="E401" t="s">
        <v>645</v>
      </c>
      <c r="F401">
        <v>7</v>
      </c>
      <c r="G401" s="1">
        <v>1050.54</v>
      </c>
      <c r="H401" s="1">
        <v>1050.54</v>
      </c>
      <c r="I401" s="1">
        <v>91.91</v>
      </c>
      <c r="J401" s="1">
        <f t="shared" si="21"/>
        <v>150.07714285714286</v>
      </c>
      <c r="K401" s="1">
        <v>118.17</v>
      </c>
      <c r="N401" s="35">
        <f t="shared" si="22"/>
        <v>932.37</v>
      </c>
      <c r="O401" s="35">
        <f t="shared" si="23"/>
        <v>782.2928571428572</v>
      </c>
    </row>
    <row r="402" spans="1:15" x14ac:dyDescent="0.4">
      <c r="A402">
        <v>368</v>
      </c>
      <c r="B402" t="s">
        <v>3105</v>
      </c>
      <c r="C402" s="131">
        <v>43983</v>
      </c>
      <c r="D402" t="s">
        <v>3189</v>
      </c>
      <c r="E402" t="s">
        <v>645</v>
      </c>
      <c r="F402">
        <v>7</v>
      </c>
      <c r="G402" s="1">
        <v>28304</v>
      </c>
      <c r="H402" s="1">
        <v>28304</v>
      </c>
      <c r="I402" s="1">
        <v>2476.6</v>
      </c>
      <c r="J402" s="1">
        <f t="shared" si="21"/>
        <v>4043.4285714285716</v>
      </c>
      <c r="K402" s="1">
        <v>3184.2</v>
      </c>
      <c r="N402" s="35">
        <f t="shared" si="22"/>
        <v>25119.8</v>
      </c>
      <c r="O402" s="35">
        <f t="shared" si="23"/>
        <v>21076.371428571427</v>
      </c>
    </row>
    <row r="403" spans="1:15" x14ac:dyDescent="0.4">
      <c r="A403">
        <v>369</v>
      </c>
      <c r="B403" t="s">
        <v>3105</v>
      </c>
      <c r="C403" s="131">
        <v>44012</v>
      </c>
      <c r="D403" t="s">
        <v>3092</v>
      </c>
      <c r="E403" t="s">
        <v>645</v>
      </c>
      <c r="F403">
        <v>7</v>
      </c>
      <c r="G403" s="1">
        <v>898.95</v>
      </c>
      <c r="H403" s="1">
        <v>898.95</v>
      </c>
      <c r="I403" s="1">
        <v>78.650000000000006</v>
      </c>
      <c r="J403" s="1">
        <f t="shared" si="21"/>
        <v>128.42142857142858</v>
      </c>
      <c r="K403" s="1">
        <v>101.12</v>
      </c>
      <c r="N403" s="35">
        <f t="shared" si="22"/>
        <v>797.83</v>
      </c>
      <c r="O403" s="35">
        <f t="shared" si="23"/>
        <v>669.40857142857146</v>
      </c>
    </row>
    <row r="404" spans="1:15" x14ac:dyDescent="0.4">
      <c r="A404">
        <v>370</v>
      </c>
      <c r="B404" t="s">
        <v>3105</v>
      </c>
      <c r="C404" s="131">
        <v>44021</v>
      </c>
      <c r="D404" t="s">
        <v>3189</v>
      </c>
      <c r="E404" t="s">
        <v>645</v>
      </c>
      <c r="F404">
        <v>7</v>
      </c>
      <c r="G404" s="1">
        <v>28304</v>
      </c>
      <c r="H404" s="1">
        <v>28304</v>
      </c>
      <c r="I404" s="1">
        <v>2476.6</v>
      </c>
      <c r="J404" s="1">
        <f t="shared" si="21"/>
        <v>4043.4285714285716</v>
      </c>
      <c r="K404" s="1">
        <v>3184.2</v>
      </c>
      <c r="N404" s="35">
        <f t="shared" si="22"/>
        <v>25119.8</v>
      </c>
      <c r="O404" s="35">
        <f t="shared" si="23"/>
        <v>21076.371428571427</v>
      </c>
    </row>
    <row r="405" spans="1:15" x14ac:dyDescent="0.4">
      <c r="A405">
        <v>371</v>
      </c>
      <c r="B405" t="s">
        <v>3105</v>
      </c>
      <c r="C405" s="131">
        <v>44042</v>
      </c>
      <c r="D405" t="s">
        <v>3189</v>
      </c>
      <c r="E405" t="s">
        <v>645</v>
      </c>
      <c r="F405">
        <v>7</v>
      </c>
      <c r="G405" s="1">
        <v>28304</v>
      </c>
      <c r="H405" s="1">
        <v>28304</v>
      </c>
      <c r="I405" s="1">
        <v>2476.6</v>
      </c>
      <c r="J405" s="1">
        <f t="shared" si="21"/>
        <v>4043.4285714285716</v>
      </c>
      <c r="K405" s="1">
        <v>3184.2</v>
      </c>
      <c r="N405" s="35">
        <f t="shared" si="22"/>
        <v>25119.8</v>
      </c>
      <c r="O405" s="35">
        <f t="shared" si="23"/>
        <v>21076.371428571427</v>
      </c>
    </row>
    <row r="406" spans="1:15" x14ac:dyDescent="0.4">
      <c r="A406">
        <v>372</v>
      </c>
      <c r="B406" t="s">
        <v>3105</v>
      </c>
      <c r="C406" s="131">
        <v>44054</v>
      </c>
      <c r="D406" t="s">
        <v>3189</v>
      </c>
      <c r="E406" t="s">
        <v>645</v>
      </c>
      <c r="F406">
        <v>7</v>
      </c>
      <c r="G406" s="1">
        <v>28304</v>
      </c>
      <c r="H406" s="1">
        <v>28304</v>
      </c>
      <c r="I406" s="1">
        <v>2476.6</v>
      </c>
      <c r="J406" s="1">
        <f t="shared" si="21"/>
        <v>4043.4285714285716</v>
      </c>
      <c r="K406" s="1">
        <v>3184.2</v>
      </c>
      <c r="N406" s="35">
        <f t="shared" si="22"/>
        <v>25119.8</v>
      </c>
      <c r="O406" s="35">
        <f t="shared" si="23"/>
        <v>21076.371428571427</v>
      </c>
    </row>
    <row r="407" spans="1:15" x14ac:dyDescent="0.4">
      <c r="A407">
        <v>373</v>
      </c>
      <c r="B407" t="s">
        <v>3105</v>
      </c>
      <c r="C407" s="131">
        <v>44075</v>
      </c>
      <c r="D407" t="s">
        <v>3189</v>
      </c>
      <c r="E407" t="s">
        <v>645</v>
      </c>
      <c r="F407">
        <v>7</v>
      </c>
      <c r="G407" s="1">
        <v>28304</v>
      </c>
      <c r="H407" s="1">
        <v>28304</v>
      </c>
      <c r="I407" s="1">
        <v>2476.6</v>
      </c>
      <c r="J407" s="1">
        <f t="shared" si="21"/>
        <v>4043.4285714285716</v>
      </c>
      <c r="K407" s="1">
        <v>3184.2</v>
      </c>
      <c r="N407" s="35">
        <f t="shared" si="22"/>
        <v>25119.8</v>
      </c>
      <c r="O407" s="35">
        <f t="shared" si="23"/>
        <v>21076.371428571427</v>
      </c>
    </row>
    <row r="408" spans="1:15" x14ac:dyDescent="0.4">
      <c r="A408">
        <v>374</v>
      </c>
      <c r="B408" t="s">
        <v>3105</v>
      </c>
      <c r="C408" s="131">
        <v>44120</v>
      </c>
      <c r="D408" t="s">
        <v>3189</v>
      </c>
      <c r="E408" t="s">
        <v>645</v>
      </c>
      <c r="F408">
        <v>7</v>
      </c>
      <c r="G408" s="1">
        <v>28304</v>
      </c>
      <c r="H408" s="1">
        <v>28304</v>
      </c>
      <c r="I408" s="1">
        <v>2476.6</v>
      </c>
      <c r="J408" s="1">
        <f t="shared" si="21"/>
        <v>4043.4285714285716</v>
      </c>
      <c r="K408" s="1">
        <v>3184.2</v>
      </c>
      <c r="N408" s="35">
        <f t="shared" si="22"/>
        <v>25119.8</v>
      </c>
      <c r="O408" s="35">
        <f t="shared" si="23"/>
        <v>21076.371428571427</v>
      </c>
    </row>
    <row r="409" spans="1:15" x14ac:dyDescent="0.4">
      <c r="A409">
        <v>375</v>
      </c>
      <c r="B409" t="s">
        <v>3105</v>
      </c>
      <c r="C409" s="131">
        <v>44152</v>
      </c>
      <c r="D409" t="s">
        <v>3189</v>
      </c>
      <c r="E409" t="s">
        <v>645</v>
      </c>
      <c r="F409">
        <v>7</v>
      </c>
      <c r="G409" s="1">
        <v>28304</v>
      </c>
      <c r="H409" s="1">
        <v>28304</v>
      </c>
      <c r="I409" s="1">
        <v>2476.6</v>
      </c>
      <c r="J409" s="1">
        <f t="shared" si="21"/>
        <v>4043.4285714285716</v>
      </c>
      <c r="K409" s="1">
        <v>3184.2</v>
      </c>
      <c r="N409" s="35">
        <f t="shared" si="22"/>
        <v>25119.8</v>
      </c>
      <c r="O409" s="35">
        <f t="shared" si="23"/>
        <v>21076.371428571427</v>
      </c>
    </row>
    <row r="410" spans="1:15" x14ac:dyDescent="0.4">
      <c r="A410">
        <v>376</v>
      </c>
      <c r="B410" t="s">
        <v>3105</v>
      </c>
      <c r="C410" s="131">
        <v>44165</v>
      </c>
      <c r="D410" t="s">
        <v>3190</v>
      </c>
      <c r="E410" t="s">
        <v>645</v>
      </c>
      <c r="F410">
        <v>7</v>
      </c>
      <c r="G410" s="1">
        <v>730.5</v>
      </c>
      <c r="H410" s="1">
        <v>730.5</v>
      </c>
      <c r="I410" s="1">
        <v>63.91</v>
      </c>
      <c r="J410" s="1">
        <f t="shared" si="21"/>
        <v>104.35714285714286</v>
      </c>
      <c r="K410" s="1">
        <v>82.17</v>
      </c>
      <c r="N410" s="35">
        <f t="shared" si="22"/>
        <v>648.33000000000004</v>
      </c>
      <c r="O410" s="35">
        <f t="shared" si="23"/>
        <v>543.97285714285715</v>
      </c>
    </row>
    <row r="411" spans="1:15" x14ac:dyDescent="0.4">
      <c r="A411">
        <v>377</v>
      </c>
      <c r="B411" t="s">
        <v>3105</v>
      </c>
      <c r="C411" s="131">
        <v>44194</v>
      </c>
      <c r="D411" t="s">
        <v>3189</v>
      </c>
      <c r="E411" t="s">
        <v>645</v>
      </c>
      <c r="F411">
        <v>7</v>
      </c>
      <c r="G411" s="1">
        <v>28304</v>
      </c>
      <c r="H411" s="1">
        <v>28304</v>
      </c>
      <c r="I411" s="1">
        <v>2476.6</v>
      </c>
      <c r="J411" s="1">
        <f t="shared" si="21"/>
        <v>4043.4285714285716</v>
      </c>
      <c r="K411" s="1">
        <v>3184.2</v>
      </c>
      <c r="N411" s="35">
        <f t="shared" si="22"/>
        <v>25119.8</v>
      </c>
      <c r="O411" s="35">
        <f t="shared" si="23"/>
        <v>21076.371428571427</v>
      </c>
    </row>
    <row r="412" spans="1:15" x14ac:dyDescent="0.4">
      <c r="A412">
        <v>378</v>
      </c>
      <c r="B412" t="s">
        <v>3105</v>
      </c>
      <c r="C412" s="131">
        <v>44196</v>
      </c>
      <c r="D412" t="s">
        <v>3082</v>
      </c>
      <c r="E412" t="s">
        <v>645</v>
      </c>
      <c r="F412">
        <v>7</v>
      </c>
      <c r="G412" s="1">
        <v>868.09</v>
      </c>
      <c r="H412" s="1">
        <v>868.09</v>
      </c>
      <c r="I412" s="1">
        <v>607.66999999999996</v>
      </c>
      <c r="J412" s="1">
        <f t="shared" si="21"/>
        <v>124.01285714285714</v>
      </c>
      <c r="K412" s="1">
        <v>781.28</v>
      </c>
      <c r="N412" s="35">
        <f t="shared" si="22"/>
        <v>86.810000000000059</v>
      </c>
      <c r="O412" s="35">
        <f t="shared" si="23"/>
        <v>-37.202857142857084</v>
      </c>
    </row>
    <row r="413" spans="1:15" x14ac:dyDescent="0.4">
      <c r="A413">
        <v>379</v>
      </c>
      <c r="B413" t="s">
        <v>3105</v>
      </c>
      <c r="C413" s="131">
        <v>44020</v>
      </c>
      <c r="D413" t="s">
        <v>3089</v>
      </c>
      <c r="E413" t="s">
        <v>645</v>
      </c>
      <c r="F413">
        <v>7</v>
      </c>
      <c r="G413" s="1">
        <v>2022.44</v>
      </c>
      <c r="H413" s="1">
        <v>2022.44</v>
      </c>
      <c r="I413" s="1">
        <v>176.96</v>
      </c>
      <c r="J413" s="1">
        <f t="shared" si="21"/>
        <v>288.92</v>
      </c>
      <c r="K413" s="1">
        <v>227.52</v>
      </c>
      <c r="N413" s="35">
        <f t="shared" si="22"/>
        <v>1794.92</v>
      </c>
      <c r="O413" s="35">
        <f t="shared" si="23"/>
        <v>1506</v>
      </c>
    </row>
    <row r="414" spans="1:15" x14ac:dyDescent="0.4">
      <c r="A414">
        <v>380</v>
      </c>
      <c r="B414" t="s">
        <v>3105</v>
      </c>
      <c r="C414" s="131">
        <v>44227</v>
      </c>
      <c r="D414" t="s">
        <v>3178</v>
      </c>
      <c r="E414" t="s">
        <v>645</v>
      </c>
      <c r="F414">
        <v>7</v>
      </c>
      <c r="G414" s="1">
        <v>930.87</v>
      </c>
      <c r="H414" s="1">
        <v>930.87</v>
      </c>
      <c r="I414" s="1">
        <v>58.18</v>
      </c>
      <c r="J414" s="1">
        <f t="shared" si="21"/>
        <v>132.98142857142858</v>
      </c>
      <c r="K414" s="1">
        <v>81.45</v>
      </c>
      <c r="N414" s="35">
        <f t="shared" si="22"/>
        <v>849.42</v>
      </c>
      <c r="O414" s="35">
        <f t="shared" si="23"/>
        <v>716.43857142857132</v>
      </c>
    </row>
    <row r="415" spans="1:15" x14ac:dyDescent="0.4">
      <c r="A415">
        <v>381</v>
      </c>
      <c r="B415" t="s">
        <v>3105</v>
      </c>
      <c r="C415" s="131">
        <v>44231</v>
      </c>
      <c r="D415" t="s">
        <v>3189</v>
      </c>
      <c r="E415" t="s">
        <v>645</v>
      </c>
      <c r="F415">
        <v>7</v>
      </c>
      <c r="G415" s="1">
        <v>28304</v>
      </c>
      <c r="H415" s="1">
        <v>28304</v>
      </c>
      <c r="I415" s="1">
        <v>1769</v>
      </c>
      <c r="J415" s="1">
        <f t="shared" si="21"/>
        <v>4043.4285714285716</v>
      </c>
      <c r="K415" s="1">
        <v>2476.6</v>
      </c>
      <c r="N415" s="35">
        <f t="shared" si="22"/>
        <v>25827.4</v>
      </c>
      <c r="O415" s="35">
        <f t="shared" si="23"/>
        <v>21783.971428571429</v>
      </c>
    </row>
    <row r="416" spans="1:15" x14ac:dyDescent="0.4">
      <c r="A416">
        <v>382</v>
      </c>
      <c r="B416" t="s">
        <v>3105</v>
      </c>
      <c r="C416" s="131">
        <v>44258</v>
      </c>
      <c r="D416" t="s">
        <v>3189</v>
      </c>
      <c r="E416" t="s">
        <v>645</v>
      </c>
      <c r="F416">
        <v>7</v>
      </c>
      <c r="G416" s="1">
        <v>28304</v>
      </c>
      <c r="H416" s="1">
        <v>28304</v>
      </c>
      <c r="I416" s="1">
        <v>14152</v>
      </c>
      <c r="J416" s="1">
        <f t="shared" si="21"/>
        <v>4043.4285714285716</v>
      </c>
      <c r="K416" s="1">
        <v>19812.8</v>
      </c>
      <c r="N416" s="35">
        <f t="shared" si="22"/>
        <v>8491.2000000000007</v>
      </c>
      <c r="O416" s="35">
        <f t="shared" si="23"/>
        <v>4447.7714285714292</v>
      </c>
    </row>
    <row r="417" spans="1:15" x14ac:dyDescent="0.4">
      <c r="A417">
        <v>383</v>
      </c>
      <c r="B417" t="s">
        <v>3105</v>
      </c>
      <c r="C417" s="131">
        <v>44286</v>
      </c>
      <c r="D417" t="s">
        <v>3173</v>
      </c>
      <c r="E417" t="s">
        <v>645</v>
      </c>
      <c r="F417">
        <v>7</v>
      </c>
      <c r="G417" s="1">
        <v>489.2</v>
      </c>
      <c r="H417" s="1">
        <v>489.2</v>
      </c>
      <c r="I417" s="1">
        <v>30.58</v>
      </c>
      <c r="J417" s="1">
        <f t="shared" si="21"/>
        <v>69.885714285714286</v>
      </c>
      <c r="K417" s="1">
        <v>42.81</v>
      </c>
      <c r="N417" s="35">
        <f t="shared" si="22"/>
        <v>446.39</v>
      </c>
      <c r="O417" s="35">
        <f t="shared" si="23"/>
        <v>376.50428571428569</v>
      </c>
    </row>
    <row r="418" spans="1:15" x14ac:dyDescent="0.4">
      <c r="A418">
        <v>384</v>
      </c>
      <c r="B418" t="s">
        <v>3105</v>
      </c>
      <c r="C418" s="131">
        <v>44287</v>
      </c>
      <c r="D418" t="s">
        <v>3189</v>
      </c>
      <c r="E418" t="s">
        <v>645</v>
      </c>
      <c r="F418">
        <v>7</v>
      </c>
      <c r="G418" s="1">
        <v>28304</v>
      </c>
      <c r="H418" s="1">
        <v>28304</v>
      </c>
      <c r="I418" s="1">
        <v>1769</v>
      </c>
      <c r="J418" s="1">
        <f t="shared" si="21"/>
        <v>4043.4285714285716</v>
      </c>
      <c r="K418" s="1">
        <v>2476.6</v>
      </c>
      <c r="N418" s="35">
        <f t="shared" si="22"/>
        <v>25827.4</v>
      </c>
      <c r="O418" s="35">
        <f t="shared" si="23"/>
        <v>21783.971428571429</v>
      </c>
    </row>
    <row r="419" spans="1:15" x14ac:dyDescent="0.4">
      <c r="A419">
        <v>385</v>
      </c>
      <c r="B419" t="s">
        <v>3105</v>
      </c>
      <c r="C419" s="131">
        <v>44363</v>
      </c>
      <c r="D419" t="s">
        <v>3183</v>
      </c>
      <c r="E419" t="s">
        <v>645</v>
      </c>
      <c r="F419">
        <v>7</v>
      </c>
      <c r="G419" s="1">
        <v>28304</v>
      </c>
      <c r="H419" s="1">
        <v>28304</v>
      </c>
      <c r="I419" s="1">
        <v>1769</v>
      </c>
      <c r="J419" s="1">
        <f t="shared" si="21"/>
        <v>4043.4285714285716</v>
      </c>
      <c r="K419" s="1">
        <v>2476.6</v>
      </c>
      <c r="N419" s="35">
        <f t="shared" si="22"/>
        <v>25827.4</v>
      </c>
      <c r="O419" s="35">
        <f t="shared" si="23"/>
        <v>21783.971428571429</v>
      </c>
    </row>
    <row r="420" spans="1:15" x14ac:dyDescent="0.4">
      <c r="A420">
        <v>386</v>
      </c>
      <c r="B420" t="s">
        <v>3105</v>
      </c>
      <c r="C420" s="131">
        <v>44377</v>
      </c>
      <c r="D420" t="s">
        <v>3191</v>
      </c>
      <c r="E420" t="s">
        <v>645</v>
      </c>
      <c r="F420">
        <v>7</v>
      </c>
      <c r="G420" s="1">
        <v>8870.9</v>
      </c>
      <c r="H420" s="1">
        <v>8870.9</v>
      </c>
      <c r="I420" s="1">
        <v>554.42999999999995</v>
      </c>
      <c r="J420" s="1">
        <f t="shared" si="21"/>
        <v>1267.2714285714285</v>
      </c>
      <c r="K420" s="1">
        <v>776.19999999999993</v>
      </c>
      <c r="N420" s="35">
        <f t="shared" si="22"/>
        <v>8094.7</v>
      </c>
      <c r="O420" s="35">
        <f t="shared" si="23"/>
        <v>6827.4285714285716</v>
      </c>
    </row>
    <row r="421" spans="1:15" x14ac:dyDescent="0.4">
      <c r="A421">
        <v>387</v>
      </c>
      <c r="B421" t="s">
        <v>3105</v>
      </c>
      <c r="C421" s="131">
        <v>44408</v>
      </c>
      <c r="D421" t="s">
        <v>3187</v>
      </c>
      <c r="E421" t="s">
        <v>645</v>
      </c>
      <c r="F421">
        <v>7</v>
      </c>
      <c r="G421" s="1">
        <v>625.66</v>
      </c>
      <c r="H421" s="1">
        <v>625.66</v>
      </c>
      <c r="I421" s="1">
        <v>39.1</v>
      </c>
      <c r="J421" s="1">
        <f t="shared" si="21"/>
        <v>89.38</v>
      </c>
      <c r="K421" s="1">
        <v>54.74</v>
      </c>
      <c r="N421" s="35">
        <f t="shared" si="22"/>
        <v>570.91999999999996</v>
      </c>
      <c r="O421" s="35">
        <f t="shared" si="23"/>
        <v>481.53999999999996</v>
      </c>
    </row>
    <row r="422" spans="1:15" x14ac:dyDescent="0.4">
      <c r="A422">
        <v>388</v>
      </c>
      <c r="B422" t="s">
        <v>3105</v>
      </c>
      <c r="C422" s="131">
        <v>44439</v>
      </c>
      <c r="D422" t="s">
        <v>3175</v>
      </c>
      <c r="E422" t="s">
        <v>645</v>
      </c>
      <c r="F422">
        <v>7</v>
      </c>
      <c r="G422" s="1">
        <v>932.09</v>
      </c>
      <c r="H422" s="1">
        <v>932.09</v>
      </c>
      <c r="I422" s="1">
        <v>58.25</v>
      </c>
      <c r="J422" s="1">
        <f t="shared" si="21"/>
        <v>133.15571428571428</v>
      </c>
      <c r="K422" s="1">
        <v>81.55</v>
      </c>
      <c r="N422" s="35">
        <f t="shared" si="22"/>
        <v>850.54000000000008</v>
      </c>
      <c r="O422" s="35">
        <f t="shared" si="23"/>
        <v>717.38428571428585</v>
      </c>
    </row>
    <row r="423" spans="1:15" x14ac:dyDescent="0.4">
      <c r="A423">
        <v>389</v>
      </c>
      <c r="B423" t="s">
        <v>3105</v>
      </c>
      <c r="C423" s="131">
        <v>44522</v>
      </c>
      <c r="D423" t="s">
        <v>3189</v>
      </c>
      <c r="E423" t="s">
        <v>645</v>
      </c>
      <c r="F423">
        <v>7</v>
      </c>
      <c r="G423" s="1">
        <v>28304</v>
      </c>
      <c r="H423" s="1">
        <v>28304</v>
      </c>
      <c r="I423" s="1">
        <v>1769</v>
      </c>
      <c r="J423" s="1">
        <f t="shared" si="21"/>
        <v>4043.4285714285716</v>
      </c>
      <c r="K423" s="1">
        <v>2476.6</v>
      </c>
      <c r="N423" s="35">
        <f t="shared" si="22"/>
        <v>25827.4</v>
      </c>
      <c r="O423" s="35">
        <f t="shared" si="23"/>
        <v>21783.971428571429</v>
      </c>
    </row>
    <row r="424" spans="1:15" x14ac:dyDescent="0.4">
      <c r="A424">
        <v>391</v>
      </c>
      <c r="B424" t="s">
        <v>3105</v>
      </c>
      <c r="C424" s="131">
        <v>44561</v>
      </c>
      <c r="D424" t="s">
        <v>3192</v>
      </c>
      <c r="E424" t="s">
        <v>645</v>
      </c>
      <c r="F424">
        <v>7</v>
      </c>
      <c r="G424" s="1">
        <v>2029.07</v>
      </c>
      <c r="H424" s="1">
        <v>2029.07</v>
      </c>
      <c r="I424" s="1">
        <v>126.82</v>
      </c>
      <c r="J424" s="1">
        <f t="shared" si="21"/>
        <v>289.86714285714282</v>
      </c>
      <c r="K424" s="1">
        <v>177.54999999999998</v>
      </c>
      <c r="N424" s="35">
        <f t="shared" si="22"/>
        <v>1851.52</v>
      </c>
      <c r="O424" s="35">
        <f t="shared" si="23"/>
        <v>1561.6528571428571</v>
      </c>
    </row>
    <row r="425" spans="1:15" x14ac:dyDescent="0.4">
      <c r="A425">
        <v>392</v>
      </c>
      <c r="B425" t="s">
        <v>3105</v>
      </c>
      <c r="C425" s="131">
        <v>44620</v>
      </c>
      <c r="D425" t="s">
        <v>3095</v>
      </c>
      <c r="E425" t="s">
        <v>645</v>
      </c>
      <c r="F425">
        <v>7</v>
      </c>
      <c r="G425" s="1">
        <v>1476.15</v>
      </c>
      <c r="H425" s="1">
        <v>1476.15</v>
      </c>
      <c r="I425" s="1">
        <v>55.35</v>
      </c>
      <c r="J425" s="1">
        <f t="shared" si="21"/>
        <v>210.87857142857143</v>
      </c>
      <c r="K425" s="1">
        <v>92.25</v>
      </c>
      <c r="N425" s="35">
        <f t="shared" si="22"/>
        <v>1383.9</v>
      </c>
      <c r="O425" s="35">
        <f t="shared" si="23"/>
        <v>1173.0214285714287</v>
      </c>
    </row>
    <row r="426" spans="1:15" x14ac:dyDescent="0.4">
      <c r="A426">
        <v>393</v>
      </c>
      <c r="B426" t="s">
        <v>3105</v>
      </c>
      <c r="C426" s="131">
        <v>44651</v>
      </c>
      <c r="D426" t="s">
        <v>3193</v>
      </c>
      <c r="E426" t="s">
        <v>645</v>
      </c>
      <c r="F426">
        <v>7</v>
      </c>
      <c r="G426" s="1">
        <v>266.73</v>
      </c>
      <c r="H426" s="1">
        <v>266.73</v>
      </c>
      <c r="I426" s="1">
        <v>10</v>
      </c>
      <c r="J426" s="1">
        <f t="shared" si="21"/>
        <v>38.104285714285716</v>
      </c>
      <c r="K426" s="1">
        <v>16.670000000000002</v>
      </c>
      <c r="N426" s="35">
        <f t="shared" si="22"/>
        <v>250.06</v>
      </c>
      <c r="O426" s="35">
        <f t="shared" si="23"/>
        <v>211.95571428571429</v>
      </c>
    </row>
    <row r="427" spans="1:15" x14ac:dyDescent="0.4">
      <c r="A427">
        <v>394</v>
      </c>
      <c r="B427" t="s">
        <v>3105</v>
      </c>
      <c r="C427" s="131">
        <v>44712</v>
      </c>
      <c r="D427" t="s">
        <v>3096</v>
      </c>
      <c r="E427" t="s">
        <v>645</v>
      </c>
      <c r="F427">
        <v>7</v>
      </c>
      <c r="G427" s="1">
        <v>375.31</v>
      </c>
      <c r="H427" s="1">
        <v>375.31</v>
      </c>
      <c r="I427" s="1">
        <v>14.07</v>
      </c>
      <c r="J427" s="1">
        <f t="shared" ref="J427:J530" si="24">G427/F427</f>
        <v>53.615714285714283</v>
      </c>
      <c r="K427" s="1">
        <v>23.450000000000003</v>
      </c>
      <c r="N427" s="35">
        <f t="shared" ref="N427:N536" si="25">G427-K427</f>
        <v>351.86</v>
      </c>
      <c r="O427" s="35">
        <f t="shared" ref="O427:O536" si="26">N427-J427</f>
        <v>298.24428571428575</v>
      </c>
    </row>
    <row r="428" spans="1:15" x14ac:dyDescent="0.4">
      <c r="A428">
        <v>395</v>
      </c>
      <c r="B428" t="s">
        <v>3105</v>
      </c>
      <c r="C428" s="131">
        <v>44742</v>
      </c>
      <c r="D428" t="s">
        <v>3097</v>
      </c>
      <c r="E428" t="s">
        <v>645</v>
      </c>
      <c r="F428">
        <v>7</v>
      </c>
      <c r="G428" s="1">
        <v>1925.58</v>
      </c>
      <c r="H428" s="1">
        <v>1925.58</v>
      </c>
      <c r="I428" s="1">
        <v>72.209999999999994</v>
      </c>
      <c r="J428" s="1">
        <f t="shared" si="24"/>
        <v>275.08285714285711</v>
      </c>
      <c r="K428" s="1">
        <v>120.35</v>
      </c>
      <c r="N428" s="35">
        <f t="shared" si="25"/>
        <v>1805.23</v>
      </c>
      <c r="O428" s="35">
        <f t="shared" si="26"/>
        <v>1530.1471428571429</v>
      </c>
    </row>
    <row r="429" spans="1:15" x14ac:dyDescent="0.4">
      <c r="A429">
        <v>396</v>
      </c>
      <c r="B429" t="s">
        <v>3105</v>
      </c>
      <c r="C429" s="131">
        <v>44834</v>
      </c>
      <c r="D429" t="s">
        <v>3194</v>
      </c>
      <c r="E429" t="s">
        <v>645</v>
      </c>
      <c r="F429">
        <v>7</v>
      </c>
      <c r="G429" s="1">
        <v>754.55</v>
      </c>
      <c r="H429" s="1">
        <v>754.55</v>
      </c>
      <c r="I429" s="1">
        <v>28.29</v>
      </c>
      <c r="J429" s="1">
        <f t="shared" si="24"/>
        <v>107.79285714285713</v>
      </c>
      <c r="K429" s="1">
        <v>47.15</v>
      </c>
      <c r="N429" s="35">
        <f t="shared" si="25"/>
        <v>707.4</v>
      </c>
      <c r="O429" s="35">
        <f t="shared" si="26"/>
        <v>599.60714285714289</v>
      </c>
    </row>
    <row r="430" spans="1:15" x14ac:dyDescent="0.4">
      <c r="A430">
        <v>397</v>
      </c>
      <c r="B430" t="s">
        <v>3105</v>
      </c>
      <c r="C430" s="131">
        <v>44865</v>
      </c>
      <c r="D430" t="s">
        <v>3195</v>
      </c>
      <c r="E430" t="s">
        <v>645</v>
      </c>
      <c r="F430">
        <v>7</v>
      </c>
      <c r="G430" s="1">
        <v>1859.32</v>
      </c>
      <c r="H430" s="1">
        <v>1859.32</v>
      </c>
      <c r="I430" s="1">
        <v>69.72</v>
      </c>
      <c r="J430" s="1">
        <f t="shared" si="24"/>
        <v>265.61714285714282</v>
      </c>
      <c r="K430" s="1">
        <v>116.19999999999999</v>
      </c>
      <c r="N430" s="35">
        <f t="shared" si="25"/>
        <v>1743.12</v>
      </c>
      <c r="O430" s="35">
        <f t="shared" si="26"/>
        <v>1477.502857142857</v>
      </c>
    </row>
    <row r="431" spans="1:15" x14ac:dyDescent="0.4">
      <c r="A431">
        <v>398</v>
      </c>
      <c r="B431" t="s">
        <v>3105</v>
      </c>
      <c r="C431" s="131">
        <v>45005</v>
      </c>
      <c r="D431" t="s">
        <v>3173</v>
      </c>
      <c r="E431" t="s">
        <v>645</v>
      </c>
      <c r="F431">
        <v>7</v>
      </c>
      <c r="G431" s="1">
        <v>27325.200000000001</v>
      </c>
      <c r="H431" s="1">
        <v>27325.200000000001</v>
      </c>
      <c r="I431" s="1">
        <v>341.57</v>
      </c>
      <c r="J431" s="1">
        <f t="shared" si="24"/>
        <v>3903.6</v>
      </c>
      <c r="K431" s="1">
        <v>1024.7</v>
      </c>
      <c r="N431" s="35">
        <f t="shared" si="25"/>
        <v>26300.5</v>
      </c>
      <c r="O431" s="35">
        <f t="shared" si="26"/>
        <v>22396.9</v>
      </c>
    </row>
    <row r="432" spans="1:15" x14ac:dyDescent="0.4">
      <c r="A432">
        <v>399</v>
      </c>
      <c r="B432" t="s">
        <v>3105</v>
      </c>
      <c r="C432" s="131">
        <v>45046</v>
      </c>
      <c r="D432" t="s">
        <v>3196</v>
      </c>
      <c r="E432" t="s">
        <v>645</v>
      </c>
      <c r="F432">
        <v>7</v>
      </c>
      <c r="G432" s="1">
        <v>4267.58</v>
      </c>
      <c r="H432" s="1">
        <v>4267.58</v>
      </c>
      <c r="I432" s="1">
        <v>53.34</v>
      </c>
      <c r="J432" s="1">
        <f t="shared" si="24"/>
        <v>609.65428571428572</v>
      </c>
      <c r="K432" s="1">
        <v>160.03</v>
      </c>
      <c r="N432" s="35">
        <f t="shared" si="25"/>
        <v>4107.55</v>
      </c>
      <c r="O432" s="35">
        <f t="shared" si="26"/>
        <v>3497.8957142857143</v>
      </c>
    </row>
    <row r="433" spans="1:15" x14ac:dyDescent="0.4">
      <c r="A433">
        <v>400</v>
      </c>
      <c r="B433" t="s">
        <v>3105</v>
      </c>
      <c r="C433" s="131">
        <v>45047</v>
      </c>
      <c r="D433" t="s">
        <v>3197</v>
      </c>
      <c r="E433" t="s">
        <v>645</v>
      </c>
      <c r="F433">
        <v>7</v>
      </c>
      <c r="G433" s="1">
        <v>27325.200000000001</v>
      </c>
      <c r="H433" s="1">
        <v>27325.200000000001</v>
      </c>
      <c r="I433" s="1">
        <v>341.57</v>
      </c>
      <c r="J433" s="1">
        <f t="shared" si="24"/>
        <v>3903.6</v>
      </c>
      <c r="K433" s="1">
        <v>1024.7</v>
      </c>
      <c r="N433" s="35">
        <f t="shared" si="25"/>
        <v>26300.5</v>
      </c>
      <c r="O433" s="35">
        <f t="shared" si="26"/>
        <v>22396.9</v>
      </c>
    </row>
    <row r="434" spans="1:15" x14ac:dyDescent="0.4">
      <c r="A434">
        <v>401</v>
      </c>
      <c r="B434" t="s">
        <v>3105</v>
      </c>
      <c r="C434" s="131">
        <v>45068</v>
      </c>
      <c r="D434" t="s">
        <v>3197</v>
      </c>
      <c r="E434" t="s">
        <v>645</v>
      </c>
      <c r="F434">
        <v>7</v>
      </c>
      <c r="G434" s="1">
        <v>27325.200000000001</v>
      </c>
      <c r="H434" s="1">
        <v>27325.200000000001</v>
      </c>
      <c r="I434" s="1">
        <v>341.57</v>
      </c>
      <c r="J434" s="1">
        <f t="shared" si="24"/>
        <v>3903.6</v>
      </c>
      <c r="K434" s="1">
        <v>1024.7</v>
      </c>
      <c r="N434" s="35">
        <f t="shared" si="25"/>
        <v>26300.5</v>
      </c>
      <c r="O434" s="35">
        <f t="shared" si="26"/>
        <v>22396.9</v>
      </c>
    </row>
    <row r="435" spans="1:15" x14ac:dyDescent="0.4">
      <c r="A435">
        <v>402</v>
      </c>
      <c r="B435" t="s">
        <v>3105</v>
      </c>
      <c r="C435" s="131">
        <v>45077</v>
      </c>
      <c r="D435" t="s">
        <v>3086</v>
      </c>
      <c r="E435" t="s">
        <v>645</v>
      </c>
      <c r="F435">
        <v>7</v>
      </c>
      <c r="G435" s="1">
        <v>929.87</v>
      </c>
      <c r="H435" s="1">
        <v>929.87</v>
      </c>
      <c r="I435" s="1">
        <v>11.62</v>
      </c>
      <c r="J435" s="1">
        <f t="shared" si="24"/>
        <v>132.83857142857144</v>
      </c>
      <c r="K435" s="1">
        <v>34.869999999999997</v>
      </c>
      <c r="N435" s="35">
        <f t="shared" si="25"/>
        <v>895</v>
      </c>
      <c r="O435" s="35">
        <f t="shared" si="26"/>
        <v>762.16142857142859</v>
      </c>
    </row>
    <row r="436" spans="1:15" x14ac:dyDescent="0.4">
      <c r="A436">
        <v>403</v>
      </c>
      <c r="B436" t="s">
        <v>3105</v>
      </c>
      <c r="C436" s="131">
        <v>45078</v>
      </c>
      <c r="D436" t="s">
        <v>3191</v>
      </c>
      <c r="E436" t="s">
        <v>645</v>
      </c>
      <c r="F436">
        <v>7</v>
      </c>
      <c r="G436" s="1">
        <v>3344.05</v>
      </c>
      <c r="H436" s="1">
        <v>3344.05</v>
      </c>
      <c r="I436" s="1">
        <v>41.8</v>
      </c>
      <c r="J436" s="1">
        <f t="shared" si="24"/>
        <v>477.72142857142859</v>
      </c>
      <c r="K436" s="1">
        <v>125.39999999999999</v>
      </c>
      <c r="N436" s="35">
        <f t="shared" si="25"/>
        <v>3218.65</v>
      </c>
      <c r="O436" s="35">
        <f t="shared" si="26"/>
        <v>2740.9285714285716</v>
      </c>
    </row>
    <row r="437" spans="1:15" x14ac:dyDescent="0.4">
      <c r="A437">
        <v>404</v>
      </c>
      <c r="B437" t="s">
        <v>3105</v>
      </c>
      <c r="C437" s="131">
        <v>45112</v>
      </c>
      <c r="D437" t="s">
        <v>3087</v>
      </c>
      <c r="E437" t="s">
        <v>645</v>
      </c>
      <c r="F437">
        <v>7</v>
      </c>
      <c r="G437" s="1">
        <v>27325.200000000001</v>
      </c>
      <c r="H437" s="1">
        <v>27325.200000000001</v>
      </c>
      <c r="I437" s="1">
        <v>341.57</v>
      </c>
      <c r="J437" s="1">
        <f t="shared" si="24"/>
        <v>3903.6</v>
      </c>
      <c r="K437" s="1">
        <v>1024.7</v>
      </c>
      <c r="N437" s="35">
        <f t="shared" si="25"/>
        <v>26300.5</v>
      </c>
      <c r="O437" s="35">
        <f t="shared" si="26"/>
        <v>22396.9</v>
      </c>
    </row>
    <row r="438" spans="1:15" x14ac:dyDescent="0.4">
      <c r="A438">
        <v>405</v>
      </c>
      <c r="B438" t="s">
        <v>3105</v>
      </c>
      <c r="C438" s="131">
        <v>45138</v>
      </c>
      <c r="D438" t="s">
        <v>3087</v>
      </c>
      <c r="E438" t="s">
        <v>645</v>
      </c>
      <c r="F438">
        <v>7</v>
      </c>
      <c r="G438" s="1">
        <v>1674.03</v>
      </c>
      <c r="H438" s="1">
        <v>1674.03</v>
      </c>
      <c r="I438" s="1">
        <v>20.93</v>
      </c>
      <c r="J438" s="1">
        <f t="shared" si="24"/>
        <v>239.14714285714285</v>
      </c>
      <c r="K438" s="1">
        <v>62.78</v>
      </c>
      <c r="N438" s="35">
        <f t="shared" si="25"/>
        <v>1611.25</v>
      </c>
      <c r="O438" s="35">
        <f t="shared" si="26"/>
        <v>1372.1028571428571</v>
      </c>
    </row>
    <row r="439" spans="1:15" x14ac:dyDescent="0.4">
      <c r="A439">
        <v>406</v>
      </c>
      <c r="B439" t="s">
        <v>3105</v>
      </c>
      <c r="C439" s="131">
        <v>45200</v>
      </c>
      <c r="D439" t="s">
        <v>3198</v>
      </c>
      <c r="E439" t="s">
        <v>645</v>
      </c>
      <c r="F439">
        <v>7</v>
      </c>
      <c r="G439" s="1">
        <v>27325.200000000001</v>
      </c>
      <c r="H439" s="1">
        <v>27325.200000000001</v>
      </c>
      <c r="I439" s="1">
        <v>341.57</v>
      </c>
      <c r="J439" s="1">
        <f t="shared" si="24"/>
        <v>3903.6</v>
      </c>
      <c r="K439" s="1">
        <v>1024.7</v>
      </c>
      <c r="N439" s="35">
        <f t="shared" si="25"/>
        <v>26300.5</v>
      </c>
      <c r="O439" s="35">
        <f t="shared" si="26"/>
        <v>22396.9</v>
      </c>
    </row>
    <row r="440" spans="1:15" x14ac:dyDescent="0.4">
      <c r="A440">
        <v>407</v>
      </c>
      <c r="B440" t="s">
        <v>3105</v>
      </c>
      <c r="C440" s="131">
        <v>45230</v>
      </c>
      <c r="D440" t="s">
        <v>3198</v>
      </c>
      <c r="E440" t="s">
        <v>645</v>
      </c>
      <c r="F440">
        <v>7</v>
      </c>
      <c r="G440" s="1">
        <v>1456.82</v>
      </c>
      <c r="H440" s="1">
        <v>1456.82</v>
      </c>
      <c r="I440" s="1">
        <v>18.21</v>
      </c>
      <c r="J440" s="1">
        <f t="shared" si="24"/>
        <v>208.11714285714285</v>
      </c>
      <c r="K440" s="1">
        <v>54.63</v>
      </c>
      <c r="N440" s="35">
        <f t="shared" si="25"/>
        <v>1402.1899999999998</v>
      </c>
      <c r="O440" s="35">
        <f t="shared" si="26"/>
        <v>1194.0728571428569</v>
      </c>
    </row>
    <row r="441" spans="1:15" x14ac:dyDescent="0.4">
      <c r="A441">
        <v>408</v>
      </c>
      <c r="B441" t="s">
        <v>3105</v>
      </c>
      <c r="C441" s="131">
        <v>45232</v>
      </c>
      <c r="D441" t="s">
        <v>3190</v>
      </c>
      <c r="E441" t="s">
        <v>645</v>
      </c>
      <c r="F441">
        <v>7</v>
      </c>
      <c r="G441" s="1">
        <v>27325.200000000001</v>
      </c>
      <c r="H441" s="1">
        <v>27325.200000000001</v>
      </c>
      <c r="I441" s="1">
        <v>341.57</v>
      </c>
      <c r="J441" s="1">
        <f t="shared" si="24"/>
        <v>3903.6</v>
      </c>
      <c r="K441" s="1">
        <v>1024.7</v>
      </c>
      <c r="N441" s="35">
        <f t="shared" si="25"/>
        <v>26300.5</v>
      </c>
      <c r="O441" s="35">
        <f t="shared" si="26"/>
        <v>22396.9</v>
      </c>
    </row>
    <row r="442" spans="1:15" x14ac:dyDescent="0.4">
      <c r="A442">
        <v>409</v>
      </c>
      <c r="B442" t="s">
        <v>3105</v>
      </c>
      <c r="C442" s="131">
        <v>45291</v>
      </c>
      <c r="D442" t="s">
        <v>3104</v>
      </c>
      <c r="E442" t="s">
        <v>645</v>
      </c>
      <c r="F442">
        <v>7</v>
      </c>
      <c r="G442" s="1">
        <v>27325.200000000001</v>
      </c>
      <c r="H442" s="1">
        <v>27325.200000000001</v>
      </c>
      <c r="I442" s="1">
        <v>341.57</v>
      </c>
      <c r="J442" s="1">
        <f t="shared" si="24"/>
        <v>3903.6</v>
      </c>
      <c r="K442" s="1">
        <v>1024.7</v>
      </c>
      <c r="N442" s="35">
        <f t="shared" si="25"/>
        <v>26300.5</v>
      </c>
      <c r="O442" s="35">
        <f t="shared" si="26"/>
        <v>22396.9</v>
      </c>
    </row>
    <row r="443" spans="1:15" x14ac:dyDescent="0.4">
      <c r="A443">
        <v>410</v>
      </c>
      <c r="B443" t="s">
        <v>3105</v>
      </c>
      <c r="C443" s="131">
        <v>45040</v>
      </c>
      <c r="D443" t="s">
        <v>3199</v>
      </c>
      <c r="E443" t="s">
        <v>645</v>
      </c>
      <c r="F443">
        <v>7</v>
      </c>
      <c r="G443" s="1">
        <v>27325.200000000001</v>
      </c>
      <c r="H443" s="1">
        <v>27325.200000000001</v>
      </c>
      <c r="I443" s="1">
        <v>1366.26</v>
      </c>
      <c r="J443" s="1">
        <f t="shared" si="24"/>
        <v>3903.6</v>
      </c>
      <c r="K443" s="1">
        <v>4098.78</v>
      </c>
      <c r="N443" s="35">
        <f t="shared" si="25"/>
        <v>23226.420000000002</v>
      </c>
      <c r="O443" s="35">
        <f t="shared" si="26"/>
        <v>19322.820000000003</v>
      </c>
    </row>
    <row r="444" spans="1:15" x14ac:dyDescent="0.4">
      <c r="A444">
        <v>411</v>
      </c>
      <c r="B444" t="s">
        <v>3105</v>
      </c>
      <c r="C444" s="131">
        <v>45205</v>
      </c>
      <c r="D444" t="s">
        <v>3199</v>
      </c>
      <c r="E444" t="s">
        <v>645</v>
      </c>
      <c r="F444">
        <v>7</v>
      </c>
      <c r="G444" s="1">
        <v>26874.799999999999</v>
      </c>
      <c r="H444" s="1">
        <v>26874.799999999999</v>
      </c>
      <c r="I444" s="1">
        <v>1343.74</v>
      </c>
      <c r="J444" s="1">
        <f t="shared" si="24"/>
        <v>3839.2571428571428</v>
      </c>
      <c r="K444" s="1">
        <v>4031.2200000000003</v>
      </c>
      <c r="N444" s="35">
        <f t="shared" si="25"/>
        <v>22843.579999999998</v>
      </c>
      <c r="O444" s="35">
        <f t="shared" si="26"/>
        <v>19004.322857142855</v>
      </c>
    </row>
    <row r="445" spans="1:15" x14ac:dyDescent="0.4">
      <c r="A445">
        <v>412</v>
      </c>
      <c r="B445" t="s">
        <v>3105</v>
      </c>
      <c r="C445" s="131">
        <v>45317</v>
      </c>
      <c r="D445" t="s">
        <v>3200</v>
      </c>
      <c r="E445" t="s">
        <v>645</v>
      </c>
      <c r="F445">
        <v>7</v>
      </c>
      <c r="G445" s="1">
        <v>27325.200000000001</v>
      </c>
      <c r="H445" s="1">
        <v>27325.200000000001</v>
      </c>
      <c r="I445" s="1">
        <v>0</v>
      </c>
      <c r="J445" s="1">
        <f t="shared" si="24"/>
        <v>3903.6</v>
      </c>
      <c r="K445" s="1">
        <v>1366.26</v>
      </c>
      <c r="N445" s="35">
        <f t="shared" si="25"/>
        <v>25958.940000000002</v>
      </c>
      <c r="O445" s="35">
        <f t="shared" si="26"/>
        <v>22055.340000000004</v>
      </c>
    </row>
    <row r="446" spans="1:15" x14ac:dyDescent="0.4">
      <c r="A446">
        <v>413</v>
      </c>
      <c r="B446" t="s">
        <v>3105</v>
      </c>
      <c r="C446" s="131">
        <v>45322</v>
      </c>
      <c r="D446" t="s">
        <v>3178</v>
      </c>
      <c r="E446" t="s">
        <v>645</v>
      </c>
      <c r="F446">
        <v>7</v>
      </c>
      <c r="G446" s="1">
        <v>1010.18</v>
      </c>
      <c r="H446" s="1">
        <v>1010.18</v>
      </c>
      <c r="I446" s="1">
        <v>0</v>
      </c>
      <c r="J446" s="1">
        <f t="shared" si="24"/>
        <v>144.31142857142856</v>
      </c>
      <c r="K446" s="1">
        <v>12.63</v>
      </c>
      <c r="N446" s="35">
        <f t="shared" si="25"/>
        <v>997.55</v>
      </c>
      <c r="O446" s="35">
        <f t="shared" si="26"/>
        <v>853.23857142857139</v>
      </c>
    </row>
    <row r="447" spans="1:15" x14ac:dyDescent="0.4">
      <c r="A447">
        <v>414</v>
      </c>
      <c r="B447" t="s">
        <v>3105</v>
      </c>
      <c r="C447" s="131">
        <v>45351</v>
      </c>
      <c r="D447" t="s">
        <v>3200</v>
      </c>
      <c r="E447" t="s">
        <v>645</v>
      </c>
      <c r="F447">
        <v>7</v>
      </c>
      <c r="G447" s="1">
        <v>27325.200000000001</v>
      </c>
      <c r="H447" s="1">
        <v>27325.200000000001</v>
      </c>
      <c r="I447" s="1">
        <v>0</v>
      </c>
      <c r="J447" s="1">
        <f t="shared" si="24"/>
        <v>3903.6</v>
      </c>
      <c r="K447" s="1">
        <v>1366.26</v>
      </c>
      <c r="N447" s="35">
        <f t="shared" si="25"/>
        <v>25958.940000000002</v>
      </c>
      <c r="O447" s="35">
        <f t="shared" si="26"/>
        <v>22055.340000000004</v>
      </c>
    </row>
    <row r="448" spans="1:15" x14ac:dyDescent="0.4">
      <c r="A448">
        <v>415</v>
      </c>
      <c r="B448" t="s">
        <v>3105</v>
      </c>
      <c r="C448" s="131">
        <v>45384</v>
      </c>
      <c r="D448" t="s">
        <v>3200</v>
      </c>
      <c r="E448" t="s">
        <v>645</v>
      </c>
      <c r="F448">
        <v>7</v>
      </c>
      <c r="G448" s="1">
        <v>34714.6</v>
      </c>
      <c r="H448" s="1">
        <v>34714.6</v>
      </c>
      <c r="I448" s="1">
        <v>0</v>
      </c>
      <c r="J448" s="1">
        <f t="shared" si="24"/>
        <v>4959.2285714285708</v>
      </c>
      <c r="K448" s="1">
        <v>1735.73</v>
      </c>
      <c r="N448" s="35">
        <f t="shared" si="25"/>
        <v>32978.869999999995</v>
      </c>
      <c r="O448" s="35">
        <f t="shared" si="26"/>
        <v>28019.641428571424</v>
      </c>
    </row>
    <row r="449" spans="1:18" x14ac:dyDescent="0.4">
      <c r="A449">
        <v>416</v>
      </c>
      <c r="B449" t="s">
        <v>3105</v>
      </c>
      <c r="C449" s="131">
        <v>45414</v>
      </c>
      <c r="D449" t="s">
        <v>3200</v>
      </c>
      <c r="E449" t="s">
        <v>645</v>
      </c>
      <c r="F449">
        <v>7</v>
      </c>
      <c r="G449" s="1">
        <v>34714.6</v>
      </c>
      <c r="H449" s="1">
        <v>34714.6</v>
      </c>
      <c r="I449" s="1">
        <v>0</v>
      </c>
      <c r="J449" s="1">
        <f t="shared" si="24"/>
        <v>4959.2285714285708</v>
      </c>
      <c r="K449" s="1">
        <v>1735.73</v>
      </c>
      <c r="N449" s="35">
        <f t="shared" si="25"/>
        <v>32978.869999999995</v>
      </c>
      <c r="O449" s="35">
        <f t="shared" si="26"/>
        <v>28019.641428571424</v>
      </c>
    </row>
    <row r="450" spans="1:18" x14ac:dyDescent="0.4">
      <c r="A450">
        <v>417</v>
      </c>
      <c r="B450" t="s">
        <v>3105</v>
      </c>
      <c r="C450" s="131">
        <v>45443</v>
      </c>
      <c r="D450" t="s">
        <v>3197</v>
      </c>
      <c r="E450" t="s">
        <v>645</v>
      </c>
      <c r="F450">
        <v>7</v>
      </c>
      <c r="G450" s="1">
        <v>2962.03</v>
      </c>
      <c r="H450" s="1">
        <v>2962.03</v>
      </c>
      <c r="I450" s="1">
        <v>0</v>
      </c>
      <c r="J450" s="1">
        <f t="shared" si="24"/>
        <v>423.14714285714291</v>
      </c>
      <c r="K450" s="1">
        <v>37.03</v>
      </c>
      <c r="N450" s="35">
        <f t="shared" si="25"/>
        <v>2925</v>
      </c>
      <c r="O450" s="35">
        <f t="shared" si="26"/>
        <v>2501.8528571428569</v>
      </c>
    </row>
    <row r="451" spans="1:18" x14ac:dyDescent="0.4">
      <c r="A451">
        <v>418</v>
      </c>
      <c r="B451" t="s">
        <v>3105</v>
      </c>
      <c r="C451" s="131">
        <v>45447</v>
      </c>
      <c r="D451" t="s">
        <v>3200</v>
      </c>
      <c r="E451" t="s">
        <v>645</v>
      </c>
      <c r="F451">
        <v>7</v>
      </c>
      <c r="G451" s="1">
        <v>34714.6</v>
      </c>
      <c r="H451" s="1">
        <v>34714.6</v>
      </c>
      <c r="I451" s="1">
        <v>0</v>
      </c>
      <c r="J451" s="1">
        <f t="shared" si="24"/>
        <v>4959.2285714285708</v>
      </c>
      <c r="K451" s="1">
        <v>1735.73</v>
      </c>
      <c r="N451" s="35">
        <f t="shared" si="25"/>
        <v>32978.869999999995</v>
      </c>
      <c r="O451" s="35">
        <f t="shared" si="26"/>
        <v>28019.641428571424</v>
      </c>
    </row>
    <row r="452" spans="1:18" x14ac:dyDescent="0.4">
      <c r="A452">
        <v>419</v>
      </c>
      <c r="B452" t="s">
        <v>3105</v>
      </c>
      <c r="C452" s="131">
        <v>45473</v>
      </c>
      <c r="D452" t="s">
        <v>3201</v>
      </c>
      <c r="E452" t="s">
        <v>645</v>
      </c>
      <c r="F452">
        <v>7</v>
      </c>
      <c r="G452" s="1">
        <v>2459.5500000000002</v>
      </c>
      <c r="H452" s="1">
        <v>2459.5500000000002</v>
      </c>
      <c r="I452" s="1">
        <v>0</v>
      </c>
      <c r="J452" s="1">
        <f t="shared" si="24"/>
        <v>351.36428571428576</v>
      </c>
      <c r="K452" s="1">
        <v>30.74</v>
      </c>
      <c r="N452" s="35">
        <f t="shared" si="25"/>
        <v>2428.8100000000004</v>
      </c>
      <c r="O452" s="35">
        <f t="shared" si="26"/>
        <v>2077.4457142857145</v>
      </c>
    </row>
    <row r="453" spans="1:18" x14ac:dyDescent="0.4">
      <c r="A453">
        <v>420</v>
      </c>
      <c r="B453" t="s">
        <v>3105</v>
      </c>
      <c r="C453" s="131">
        <v>45490</v>
      </c>
      <c r="D453" t="s">
        <v>3200</v>
      </c>
      <c r="E453" t="s">
        <v>645</v>
      </c>
      <c r="F453">
        <v>7</v>
      </c>
      <c r="G453" s="1">
        <v>6942.92</v>
      </c>
      <c r="H453" s="1">
        <v>6942.92</v>
      </c>
      <c r="I453" s="1">
        <v>0</v>
      </c>
      <c r="J453" s="1">
        <f t="shared" si="24"/>
        <v>991.84571428571428</v>
      </c>
      <c r="K453" s="1">
        <v>347.15</v>
      </c>
      <c r="N453" s="35">
        <f t="shared" si="25"/>
        <v>6595.77</v>
      </c>
      <c r="O453" s="35">
        <f t="shared" si="26"/>
        <v>5603.9242857142863</v>
      </c>
    </row>
    <row r="454" spans="1:18" x14ac:dyDescent="0.4">
      <c r="A454">
        <v>421</v>
      </c>
      <c r="B454" t="s">
        <v>3105</v>
      </c>
      <c r="C454" s="131">
        <v>45496</v>
      </c>
      <c r="D454" t="s">
        <v>3200</v>
      </c>
      <c r="E454" t="s">
        <v>645</v>
      </c>
      <c r="F454">
        <v>7</v>
      </c>
      <c r="G454" s="1">
        <v>28143.74</v>
      </c>
      <c r="H454" s="1">
        <v>28143.74</v>
      </c>
      <c r="I454" s="1">
        <v>0</v>
      </c>
      <c r="J454" s="1">
        <f t="shared" si="24"/>
        <v>4020.5342857142859</v>
      </c>
      <c r="K454" s="1">
        <v>1407.19</v>
      </c>
      <c r="N454" s="35">
        <f t="shared" si="25"/>
        <v>26736.550000000003</v>
      </c>
      <c r="O454" s="35">
        <f t="shared" si="26"/>
        <v>22716.015714285717</v>
      </c>
    </row>
    <row r="455" spans="1:18" x14ac:dyDescent="0.4">
      <c r="A455">
        <v>422</v>
      </c>
      <c r="B455" t="s">
        <v>3105</v>
      </c>
      <c r="C455" s="131">
        <v>45504</v>
      </c>
      <c r="D455" t="s">
        <v>3187</v>
      </c>
      <c r="E455" t="s">
        <v>645</v>
      </c>
      <c r="F455">
        <v>7</v>
      </c>
      <c r="G455" s="1">
        <v>708.37</v>
      </c>
      <c r="H455" s="1">
        <v>708.37</v>
      </c>
      <c r="I455" s="1">
        <v>0</v>
      </c>
      <c r="J455" s="1">
        <f t="shared" si="24"/>
        <v>101.19571428571429</v>
      </c>
      <c r="K455" s="1">
        <v>8.85</v>
      </c>
      <c r="N455" s="35">
        <f t="shared" si="25"/>
        <v>699.52</v>
      </c>
      <c r="O455" s="35">
        <f t="shared" si="26"/>
        <v>598.32428571428568</v>
      </c>
    </row>
    <row r="456" spans="1:18" x14ac:dyDescent="0.4">
      <c r="A456">
        <v>423</v>
      </c>
      <c r="B456" t="s">
        <v>3105</v>
      </c>
      <c r="C456" s="131">
        <v>45516</v>
      </c>
      <c r="D456" t="s">
        <v>3200</v>
      </c>
      <c r="E456" t="s">
        <v>645</v>
      </c>
      <c r="F456">
        <v>7</v>
      </c>
      <c r="G456" s="1">
        <v>34714.6</v>
      </c>
      <c r="H456" s="1">
        <v>34714.6</v>
      </c>
      <c r="I456" s="1">
        <v>0</v>
      </c>
      <c r="J456" s="1">
        <f t="shared" si="24"/>
        <v>4959.2285714285708</v>
      </c>
      <c r="K456" s="1">
        <v>1735.73</v>
      </c>
      <c r="N456" s="35">
        <f t="shared" si="25"/>
        <v>32978.869999999995</v>
      </c>
      <c r="O456" s="35">
        <f t="shared" si="26"/>
        <v>28019.641428571424</v>
      </c>
    </row>
    <row r="457" spans="1:18" x14ac:dyDescent="0.4">
      <c r="A457">
        <v>424</v>
      </c>
      <c r="B457" t="s">
        <v>3105</v>
      </c>
      <c r="C457" s="131">
        <v>45554</v>
      </c>
      <c r="D457" t="s">
        <v>3200</v>
      </c>
      <c r="E457" t="s">
        <v>645</v>
      </c>
      <c r="F457">
        <v>7</v>
      </c>
      <c r="G457" s="1">
        <v>34714.6</v>
      </c>
      <c r="H457" s="1">
        <v>34714.6</v>
      </c>
      <c r="I457" s="1">
        <v>0</v>
      </c>
      <c r="J457" s="1">
        <f t="shared" si="24"/>
        <v>4959.2285714285708</v>
      </c>
      <c r="K457" s="1">
        <v>1735.73</v>
      </c>
      <c r="N457" s="35">
        <f t="shared" si="25"/>
        <v>32978.869999999995</v>
      </c>
      <c r="O457" s="35">
        <f t="shared" si="26"/>
        <v>28019.641428571424</v>
      </c>
    </row>
    <row r="458" spans="1:18" x14ac:dyDescent="0.4">
      <c r="A458">
        <v>425</v>
      </c>
      <c r="B458" t="s">
        <v>3105</v>
      </c>
      <c r="C458" s="131">
        <v>45569</v>
      </c>
      <c r="D458" t="s">
        <v>3200</v>
      </c>
      <c r="E458" t="s">
        <v>645</v>
      </c>
      <c r="F458">
        <v>7</v>
      </c>
      <c r="G458" s="1">
        <v>34714.6</v>
      </c>
      <c r="H458" s="1">
        <v>34714.6</v>
      </c>
      <c r="I458" s="1">
        <v>0</v>
      </c>
      <c r="J458" s="1">
        <f t="shared" si="24"/>
        <v>4959.2285714285708</v>
      </c>
      <c r="K458" s="1">
        <v>1735.73</v>
      </c>
      <c r="N458" s="35">
        <f t="shared" si="25"/>
        <v>32978.869999999995</v>
      </c>
      <c r="O458" s="35">
        <f t="shared" si="26"/>
        <v>28019.641428571424</v>
      </c>
    </row>
    <row r="459" spans="1:18" x14ac:dyDescent="0.4">
      <c r="A459">
        <v>426</v>
      </c>
      <c r="B459" t="s">
        <v>3105</v>
      </c>
      <c r="C459" s="131">
        <v>45603</v>
      </c>
      <c r="D459" t="s">
        <v>3200</v>
      </c>
      <c r="E459" t="s">
        <v>645</v>
      </c>
      <c r="F459">
        <v>7</v>
      </c>
      <c r="G459" s="1">
        <v>35196.26</v>
      </c>
      <c r="H459" s="1">
        <v>35196.26</v>
      </c>
      <c r="I459" s="1">
        <v>0</v>
      </c>
      <c r="J459" s="1">
        <f t="shared" si="24"/>
        <v>5028.0371428571434</v>
      </c>
      <c r="K459" s="1">
        <v>1759.81</v>
      </c>
      <c r="N459" s="35">
        <f t="shared" si="25"/>
        <v>33436.450000000004</v>
      </c>
      <c r="O459" s="35">
        <f t="shared" si="26"/>
        <v>28408.412857142859</v>
      </c>
    </row>
    <row r="460" spans="1:18" x14ac:dyDescent="0.4">
      <c r="A460">
        <v>427</v>
      </c>
      <c r="B460" t="s">
        <v>3105</v>
      </c>
      <c r="C460" s="131">
        <v>45643</v>
      </c>
      <c r="D460" t="s">
        <v>3200</v>
      </c>
      <c r="E460" t="s">
        <v>645</v>
      </c>
      <c r="F460">
        <v>7</v>
      </c>
      <c r="G460" s="1">
        <v>34714.6</v>
      </c>
      <c r="H460" s="1">
        <v>34714.6</v>
      </c>
      <c r="I460" s="1">
        <v>0</v>
      </c>
      <c r="J460" s="1">
        <f t="shared" si="24"/>
        <v>4959.2285714285708</v>
      </c>
      <c r="K460" s="1">
        <v>1735.73</v>
      </c>
      <c r="N460" s="35">
        <f t="shared" si="25"/>
        <v>32978.869999999995</v>
      </c>
      <c r="O460" s="35">
        <f t="shared" si="26"/>
        <v>28019.641428571424</v>
      </c>
    </row>
    <row r="461" spans="1:18" x14ac:dyDescent="0.4">
      <c r="A461">
        <v>428</v>
      </c>
      <c r="B461" t="s">
        <v>3105</v>
      </c>
      <c r="C461" s="131">
        <v>45657</v>
      </c>
      <c r="D461" t="s">
        <v>3082</v>
      </c>
      <c r="E461" t="s">
        <v>645</v>
      </c>
      <c r="F461">
        <v>7</v>
      </c>
      <c r="G461" s="1">
        <v>1072.6300000000001</v>
      </c>
      <c r="H461" s="1">
        <v>1072.6300000000001</v>
      </c>
      <c r="I461" s="1">
        <v>0</v>
      </c>
      <c r="J461" s="1">
        <f t="shared" ref="J461:J477" si="27">G461/F461</f>
        <v>153.23285714285717</v>
      </c>
      <c r="K461" s="1">
        <v>13.41</v>
      </c>
      <c r="L461" s="35">
        <f>SUM(J285:J461)</f>
        <v>216019.45571428572</v>
      </c>
      <c r="N461" s="35">
        <f t="shared" si="25"/>
        <v>1059.22</v>
      </c>
      <c r="O461" s="35">
        <f t="shared" si="26"/>
        <v>905.98714285714289</v>
      </c>
      <c r="R461" s="35">
        <f>SUM(J445:J461)</f>
        <v>53735.468571428559</v>
      </c>
    </row>
    <row r="462" spans="1:18" x14ac:dyDescent="0.4">
      <c r="A462">
        <v>24</v>
      </c>
      <c r="B462" t="s">
        <v>2912</v>
      </c>
      <c r="C462" s="131">
        <v>41023</v>
      </c>
      <c r="D462" t="s">
        <v>2929</v>
      </c>
      <c r="E462" t="s">
        <v>645</v>
      </c>
      <c r="F462">
        <v>7</v>
      </c>
      <c r="G462" s="1">
        <v>125200</v>
      </c>
      <c r="H462" s="1">
        <v>125200</v>
      </c>
      <c r="I462" s="1">
        <v>35995</v>
      </c>
      <c r="J462" s="1">
        <f t="shared" si="27"/>
        <v>17885.714285714286</v>
      </c>
      <c r="K462" s="1">
        <v>39125</v>
      </c>
      <c r="N462" s="35">
        <f t="shared" ref="N462:N493" si="28">G462-K462</f>
        <v>86075</v>
      </c>
      <c r="O462" s="35">
        <f t="shared" ref="O462:O493" si="29">N462-J462</f>
        <v>68189.28571428571</v>
      </c>
    </row>
    <row r="463" spans="1:18" x14ac:dyDescent="0.4">
      <c r="A463">
        <v>471</v>
      </c>
      <c r="B463" t="s">
        <v>3237</v>
      </c>
      <c r="C463" s="131">
        <v>37315</v>
      </c>
      <c r="D463" t="s">
        <v>1432</v>
      </c>
      <c r="E463" t="s">
        <v>645</v>
      </c>
      <c r="F463">
        <v>7</v>
      </c>
      <c r="G463" s="1">
        <v>326.73</v>
      </c>
      <c r="H463" s="1">
        <v>326.73</v>
      </c>
      <c r="I463" s="1">
        <v>178.44</v>
      </c>
      <c r="J463" s="1">
        <f t="shared" si="27"/>
        <v>46.675714285714285</v>
      </c>
      <c r="K463" s="1">
        <v>186.60999999999999</v>
      </c>
      <c r="N463" s="35">
        <f t="shared" si="28"/>
        <v>140.12000000000003</v>
      </c>
      <c r="O463" s="35">
        <f t="shared" si="29"/>
        <v>93.444285714285741</v>
      </c>
    </row>
    <row r="464" spans="1:18" x14ac:dyDescent="0.4">
      <c r="A464">
        <v>472</v>
      </c>
      <c r="B464" t="s">
        <v>3237</v>
      </c>
      <c r="C464" s="131">
        <v>37499</v>
      </c>
      <c r="D464" t="s">
        <v>3004</v>
      </c>
      <c r="E464" t="s">
        <v>645</v>
      </c>
      <c r="F464">
        <v>7</v>
      </c>
      <c r="G464" s="1">
        <v>169.4</v>
      </c>
      <c r="H464" s="1">
        <v>169.4</v>
      </c>
      <c r="I464" s="1">
        <v>90.47</v>
      </c>
      <c r="J464" s="1">
        <f t="shared" si="27"/>
        <v>24.2</v>
      </c>
      <c r="K464" s="1">
        <v>94.71</v>
      </c>
      <c r="N464" s="35">
        <f t="shared" si="28"/>
        <v>74.690000000000012</v>
      </c>
      <c r="O464" s="35">
        <f t="shared" si="29"/>
        <v>50.490000000000009</v>
      </c>
    </row>
    <row r="465" spans="1:15" x14ac:dyDescent="0.4">
      <c r="A465">
        <v>473</v>
      </c>
      <c r="B465" t="s">
        <v>3237</v>
      </c>
      <c r="C465" s="131">
        <v>37652</v>
      </c>
      <c r="D465" t="s">
        <v>3238</v>
      </c>
      <c r="E465" t="s">
        <v>645</v>
      </c>
      <c r="F465">
        <v>7</v>
      </c>
      <c r="G465" s="1">
        <v>37.700000000000003</v>
      </c>
      <c r="H465" s="1">
        <v>37.700000000000003</v>
      </c>
      <c r="I465" s="1">
        <v>19.670000000000002</v>
      </c>
      <c r="J465" s="1">
        <f t="shared" si="27"/>
        <v>5.3857142857142861</v>
      </c>
      <c r="K465" s="1">
        <v>20.610000000000003</v>
      </c>
      <c r="N465" s="35">
        <f t="shared" si="28"/>
        <v>17.09</v>
      </c>
      <c r="O465" s="35">
        <f t="shared" si="29"/>
        <v>11.704285714285714</v>
      </c>
    </row>
    <row r="466" spans="1:15" x14ac:dyDescent="0.4">
      <c r="A466">
        <v>474</v>
      </c>
      <c r="B466" t="s">
        <v>3237</v>
      </c>
      <c r="C466" s="131">
        <v>37802</v>
      </c>
      <c r="D466" t="s">
        <v>1432</v>
      </c>
      <c r="E466" t="s">
        <v>645</v>
      </c>
      <c r="F466">
        <v>7</v>
      </c>
      <c r="G466" s="1">
        <v>1077.5</v>
      </c>
      <c r="H466" s="1">
        <v>1077.5</v>
      </c>
      <c r="I466" s="1">
        <v>552.45000000000005</v>
      </c>
      <c r="J466" s="1">
        <f t="shared" si="27"/>
        <v>153.92857142857142</v>
      </c>
      <c r="K466" s="1">
        <v>579.3900000000001</v>
      </c>
      <c r="N466" s="35">
        <f t="shared" si="28"/>
        <v>498.1099999999999</v>
      </c>
      <c r="O466" s="35">
        <f t="shared" si="29"/>
        <v>344.18142857142846</v>
      </c>
    </row>
    <row r="467" spans="1:15" x14ac:dyDescent="0.4">
      <c r="A467">
        <v>475</v>
      </c>
      <c r="B467" t="s">
        <v>3237</v>
      </c>
      <c r="C467" s="131">
        <v>37833</v>
      </c>
      <c r="D467" t="s">
        <v>1432</v>
      </c>
      <c r="E467" t="s">
        <v>645</v>
      </c>
      <c r="F467">
        <v>7</v>
      </c>
      <c r="G467" s="1">
        <v>3850.33</v>
      </c>
      <c r="H467" s="1">
        <v>3850.33</v>
      </c>
      <c r="I467" s="1">
        <v>1965.81</v>
      </c>
      <c r="J467" s="1">
        <f t="shared" si="27"/>
        <v>550.04714285714283</v>
      </c>
      <c r="K467" s="1">
        <v>2062.0700000000002</v>
      </c>
      <c r="N467" s="35">
        <f t="shared" si="28"/>
        <v>1788.2599999999998</v>
      </c>
      <c r="O467" s="35">
        <f t="shared" si="29"/>
        <v>1238.212857142857</v>
      </c>
    </row>
    <row r="468" spans="1:15" x14ac:dyDescent="0.4">
      <c r="A468">
        <v>476</v>
      </c>
      <c r="B468" t="s">
        <v>3237</v>
      </c>
      <c r="C468" s="131">
        <v>37864</v>
      </c>
      <c r="D468" t="s">
        <v>1432</v>
      </c>
      <c r="E468" t="s">
        <v>645</v>
      </c>
      <c r="F468">
        <v>7</v>
      </c>
      <c r="G468" s="1">
        <v>3850.33</v>
      </c>
      <c r="H468" s="1">
        <v>3850.33</v>
      </c>
      <c r="I468" s="1">
        <v>1957.64</v>
      </c>
      <c r="J468" s="1">
        <f t="shared" si="27"/>
        <v>550.04714285714283</v>
      </c>
      <c r="K468" s="1">
        <v>2053.9</v>
      </c>
      <c r="N468" s="35">
        <f t="shared" si="28"/>
        <v>1796.4299999999998</v>
      </c>
      <c r="O468" s="35">
        <f t="shared" si="29"/>
        <v>1246.3828571428571</v>
      </c>
    </row>
    <row r="469" spans="1:15" x14ac:dyDescent="0.4">
      <c r="A469">
        <v>477</v>
      </c>
      <c r="B469" t="s">
        <v>3237</v>
      </c>
      <c r="C469" s="131">
        <v>38046</v>
      </c>
      <c r="D469" t="s">
        <v>1432</v>
      </c>
      <c r="E469" t="s">
        <v>645</v>
      </c>
      <c r="F469">
        <v>7</v>
      </c>
      <c r="G469" s="1">
        <v>287.56</v>
      </c>
      <c r="H469" s="1">
        <v>287.56</v>
      </c>
      <c r="I469" s="1">
        <v>142.63999999999999</v>
      </c>
      <c r="J469" s="1">
        <f t="shared" si="27"/>
        <v>41.08</v>
      </c>
      <c r="K469" s="1">
        <v>149.82999999999998</v>
      </c>
      <c r="N469" s="35">
        <f t="shared" si="28"/>
        <v>137.73000000000002</v>
      </c>
      <c r="O469" s="35">
        <f t="shared" si="29"/>
        <v>96.65000000000002</v>
      </c>
    </row>
    <row r="470" spans="1:15" x14ac:dyDescent="0.4">
      <c r="A470">
        <v>478</v>
      </c>
      <c r="B470" t="s">
        <v>3237</v>
      </c>
      <c r="C470" s="131">
        <v>38077</v>
      </c>
      <c r="D470" t="s">
        <v>1432</v>
      </c>
      <c r="E470" t="s">
        <v>645</v>
      </c>
      <c r="F470">
        <v>7</v>
      </c>
      <c r="G470" s="1">
        <v>1386.34</v>
      </c>
      <c r="H470" s="1">
        <v>1386.34</v>
      </c>
      <c r="I470" s="1">
        <v>684.68</v>
      </c>
      <c r="J470" s="1">
        <f t="shared" si="27"/>
        <v>198.04857142857142</v>
      </c>
      <c r="K470" s="1">
        <v>719.33999999999992</v>
      </c>
      <c r="N470" s="35">
        <f t="shared" si="28"/>
        <v>667</v>
      </c>
      <c r="O470" s="35">
        <f t="shared" si="29"/>
        <v>468.95142857142855</v>
      </c>
    </row>
    <row r="471" spans="1:15" x14ac:dyDescent="0.4">
      <c r="A471">
        <v>479</v>
      </c>
      <c r="B471" t="s">
        <v>3237</v>
      </c>
      <c r="C471" s="131">
        <v>38107</v>
      </c>
      <c r="D471" t="s">
        <v>1432</v>
      </c>
      <c r="E471" t="s">
        <v>645</v>
      </c>
      <c r="F471">
        <v>7</v>
      </c>
      <c r="G471" s="1">
        <v>258.2</v>
      </c>
      <c r="H471" s="1">
        <v>258.2</v>
      </c>
      <c r="I471" s="1">
        <v>127.08</v>
      </c>
      <c r="J471" s="1">
        <f t="shared" si="27"/>
        <v>36.885714285714286</v>
      </c>
      <c r="K471" s="1">
        <v>133.54</v>
      </c>
      <c r="N471" s="35">
        <f t="shared" si="28"/>
        <v>124.66</v>
      </c>
      <c r="O471" s="35">
        <f t="shared" si="29"/>
        <v>87.77428571428571</v>
      </c>
    </row>
    <row r="472" spans="1:15" x14ac:dyDescent="0.4">
      <c r="A472">
        <v>480</v>
      </c>
      <c r="B472" t="s">
        <v>3237</v>
      </c>
      <c r="C472" s="131">
        <v>38138</v>
      </c>
      <c r="D472" t="s">
        <v>1432</v>
      </c>
      <c r="E472" t="s">
        <v>645</v>
      </c>
      <c r="F472">
        <v>7</v>
      </c>
      <c r="G472" s="1">
        <v>342.9</v>
      </c>
      <c r="H472" s="1">
        <v>342.9</v>
      </c>
      <c r="I472" s="1">
        <v>167.87</v>
      </c>
      <c r="J472" s="1">
        <f t="shared" si="27"/>
        <v>48.98571428571428</v>
      </c>
      <c r="K472" s="1">
        <v>176.44</v>
      </c>
      <c r="N472" s="35">
        <f t="shared" si="28"/>
        <v>166.45999999999998</v>
      </c>
      <c r="O472" s="35">
        <f t="shared" si="29"/>
        <v>117.4742857142857</v>
      </c>
    </row>
    <row r="473" spans="1:15" x14ac:dyDescent="0.4">
      <c r="A473">
        <v>482</v>
      </c>
      <c r="B473" t="s">
        <v>3237</v>
      </c>
      <c r="C473" s="131">
        <v>38383</v>
      </c>
      <c r="D473" t="s">
        <v>1432</v>
      </c>
      <c r="E473" t="s">
        <v>645</v>
      </c>
      <c r="F473">
        <v>7</v>
      </c>
      <c r="G473" s="1">
        <v>2790.3</v>
      </c>
      <c r="H473" s="1">
        <v>2790.3</v>
      </c>
      <c r="I473" s="1">
        <v>1319.7</v>
      </c>
      <c r="J473" s="1">
        <f t="shared" si="27"/>
        <v>398.61428571428576</v>
      </c>
      <c r="K473" s="1">
        <v>1389.46</v>
      </c>
      <c r="N473" s="35">
        <f t="shared" si="28"/>
        <v>1400.8400000000001</v>
      </c>
      <c r="O473" s="35">
        <f t="shared" si="29"/>
        <v>1002.2257142857144</v>
      </c>
    </row>
    <row r="474" spans="1:15" x14ac:dyDescent="0.4">
      <c r="A474">
        <v>483</v>
      </c>
      <c r="B474" t="s">
        <v>3237</v>
      </c>
      <c r="C474" s="131">
        <v>38472</v>
      </c>
      <c r="D474" t="s">
        <v>1432</v>
      </c>
      <c r="E474" t="s">
        <v>645</v>
      </c>
      <c r="F474">
        <v>7</v>
      </c>
      <c r="G474" s="1">
        <v>8841.32</v>
      </c>
      <c r="H474" s="1">
        <v>8841.32</v>
      </c>
      <c r="I474" s="1">
        <v>4127.51</v>
      </c>
      <c r="J474" s="1">
        <f t="shared" si="27"/>
        <v>1263.0457142857142</v>
      </c>
      <c r="K474" s="1">
        <v>4348.54</v>
      </c>
      <c r="N474" s="35">
        <f t="shared" si="28"/>
        <v>4492.78</v>
      </c>
      <c r="O474" s="35">
        <f t="shared" si="29"/>
        <v>3229.7342857142858</v>
      </c>
    </row>
    <row r="475" spans="1:15" x14ac:dyDescent="0.4">
      <c r="A475">
        <v>484</v>
      </c>
      <c r="B475" t="s">
        <v>3237</v>
      </c>
      <c r="C475" s="131">
        <v>38533</v>
      </c>
      <c r="D475" t="s">
        <v>1432</v>
      </c>
      <c r="E475" t="s">
        <v>645</v>
      </c>
      <c r="F475">
        <v>7</v>
      </c>
      <c r="G475" s="1">
        <v>449.68</v>
      </c>
      <c r="H475" s="1">
        <v>449.68</v>
      </c>
      <c r="I475" s="1">
        <v>208.02</v>
      </c>
      <c r="J475" s="1">
        <f t="shared" si="27"/>
        <v>64.239999999999995</v>
      </c>
      <c r="K475" s="1">
        <v>219.26000000000002</v>
      </c>
      <c r="N475" s="35">
        <f t="shared" si="28"/>
        <v>230.42</v>
      </c>
      <c r="O475" s="35">
        <f t="shared" si="29"/>
        <v>166.18</v>
      </c>
    </row>
    <row r="476" spans="1:15" x14ac:dyDescent="0.4">
      <c r="A476">
        <v>485</v>
      </c>
      <c r="B476" t="s">
        <v>3237</v>
      </c>
      <c r="C476" s="131">
        <v>38655</v>
      </c>
      <c r="D476" t="s">
        <v>1432</v>
      </c>
      <c r="E476" t="s">
        <v>645</v>
      </c>
      <c r="F476">
        <v>7</v>
      </c>
      <c r="G476" s="1">
        <v>1559.06</v>
      </c>
      <c r="H476" s="1">
        <v>1559.06</v>
      </c>
      <c r="I476" s="1">
        <v>708.37</v>
      </c>
      <c r="J476" s="1">
        <f t="shared" si="27"/>
        <v>222.72285714285712</v>
      </c>
      <c r="K476" s="1">
        <v>747.35</v>
      </c>
      <c r="N476" s="35">
        <f t="shared" si="28"/>
        <v>811.70999999999992</v>
      </c>
      <c r="O476" s="35">
        <f t="shared" si="29"/>
        <v>588.98714285714277</v>
      </c>
    </row>
    <row r="477" spans="1:15" x14ac:dyDescent="0.4">
      <c r="A477">
        <v>486</v>
      </c>
      <c r="B477" t="s">
        <v>3237</v>
      </c>
      <c r="C477" s="131">
        <v>38686</v>
      </c>
      <c r="D477" t="s">
        <v>1432</v>
      </c>
      <c r="E477" t="s">
        <v>645</v>
      </c>
      <c r="F477">
        <v>7</v>
      </c>
      <c r="G477" s="1">
        <v>261.35000000000002</v>
      </c>
      <c r="H477" s="1">
        <v>261.35000000000002</v>
      </c>
      <c r="I477" s="1">
        <v>118.11</v>
      </c>
      <c r="J477" s="1">
        <f t="shared" si="27"/>
        <v>37.335714285714289</v>
      </c>
      <c r="K477" s="1">
        <v>124.64</v>
      </c>
      <c r="L477" s="35">
        <f>SUM(J463:J477)</f>
        <v>3641.2428571428572</v>
      </c>
      <c r="N477" s="35">
        <f t="shared" si="28"/>
        <v>136.71000000000004</v>
      </c>
      <c r="O477" s="35">
        <f t="shared" si="29"/>
        <v>99.374285714285747</v>
      </c>
    </row>
    <row r="478" spans="1:15" x14ac:dyDescent="0.4">
      <c r="C478" s="131"/>
      <c r="G478" s="1"/>
      <c r="H478" s="1"/>
      <c r="I478" s="1"/>
      <c r="J478" s="1"/>
      <c r="K478" s="1"/>
      <c r="N478" s="35">
        <f t="shared" si="28"/>
        <v>0</v>
      </c>
      <c r="O478" s="35">
        <f t="shared" si="29"/>
        <v>0</v>
      </c>
    </row>
    <row r="479" spans="1:15" x14ac:dyDescent="0.4">
      <c r="A479">
        <v>487</v>
      </c>
      <c r="B479" t="s">
        <v>3240</v>
      </c>
      <c r="C479" s="131">
        <v>37315</v>
      </c>
      <c r="D479" t="s">
        <v>3241</v>
      </c>
      <c r="E479" t="s">
        <v>645</v>
      </c>
      <c r="F479">
        <v>7</v>
      </c>
      <c r="G479" s="1">
        <v>163.37</v>
      </c>
      <c r="H479" s="1">
        <v>163.37</v>
      </c>
      <c r="I479" s="1">
        <v>89.12</v>
      </c>
      <c r="J479" s="1">
        <f t="shared" ref="J479:J493" si="30">G479/F479</f>
        <v>23.338571428571431</v>
      </c>
      <c r="K479" s="1">
        <v>93.2</v>
      </c>
      <c r="N479" s="35">
        <f t="shared" si="28"/>
        <v>70.17</v>
      </c>
      <c r="O479" s="35">
        <f t="shared" si="29"/>
        <v>46.831428571428575</v>
      </c>
    </row>
    <row r="480" spans="1:15" x14ac:dyDescent="0.4">
      <c r="A480">
        <v>488</v>
      </c>
      <c r="B480" t="s">
        <v>3240</v>
      </c>
      <c r="C480" s="131">
        <v>37499</v>
      </c>
      <c r="D480" t="s">
        <v>1905</v>
      </c>
      <c r="E480" t="s">
        <v>645</v>
      </c>
      <c r="F480">
        <v>7</v>
      </c>
      <c r="G480" s="1">
        <v>84.7</v>
      </c>
      <c r="H480" s="1">
        <v>84.7</v>
      </c>
      <c r="I480" s="1">
        <v>45.23</v>
      </c>
      <c r="J480" s="1">
        <f t="shared" si="30"/>
        <v>12.1</v>
      </c>
      <c r="K480" s="1">
        <v>47.349999999999994</v>
      </c>
      <c r="N480" s="35">
        <f t="shared" si="28"/>
        <v>37.350000000000009</v>
      </c>
      <c r="O480" s="35">
        <f t="shared" si="29"/>
        <v>25.250000000000007</v>
      </c>
    </row>
    <row r="481" spans="1:15" x14ac:dyDescent="0.4">
      <c r="A481">
        <v>489</v>
      </c>
      <c r="B481" t="s">
        <v>3240</v>
      </c>
      <c r="C481" s="131">
        <v>37652</v>
      </c>
      <c r="D481" t="s">
        <v>1905</v>
      </c>
      <c r="E481" t="s">
        <v>645</v>
      </c>
      <c r="F481">
        <v>7</v>
      </c>
      <c r="G481" s="1">
        <v>18.850000000000001</v>
      </c>
      <c r="H481" s="1">
        <v>18.850000000000001</v>
      </c>
      <c r="I481" s="1">
        <v>9.83</v>
      </c>
      <c r="J481" s="1">
        <f t="shared" si="30"/>
        <v>2.6928571428571431</v>
      </c>
      <c r="K481" s="1">
        <v>10.3</v>
      </c>
      <c r="N481" s="35">
        <f t="shared" si="28"/>
        <v>8.5500000000000007</v>
      </c>
      <c r="O481" s="35">
        <f t="shared" si="29"/>
        <v>5.8571428571428577</v>
      </c>
    </row>
    <row r="482" spans="1:15" x14ac:dyDescent="0.4">
      <c r="A482">
        <v>490</v>
      </c>
      <c r="B482" t="s">
        <v>3240</v>
      </c>
      <c r="C482" s="131">
        <v>37802</v>
      </c>
      <c r="D482" t="s">
        <v>1905</v>
      </c>
      <c r="E482" t="s">
        <v>645</v>
      </c>
      <c r="F482">
        <v>7</v>
      </c>
      <c r="G482" s="1">
        <v>538.75</v>
      </c>
      <c r="H482" s="1">
        <v>538.75</v>
      </c>
      <c r="I482" s="1">
        <v>276.23</v>
      </c>
      <c r="J482" s="1">
        <f t="shared" si="30"/>
        <v>76.964285714285708</v>
      </c>
      <c r="K482" s="1">
        <v>289.70000000000005</v>
      </c>
      <c r="N482" s="35">
        <f t="shared" si="28"/>
        <v>249.04999999999995</v>
      </c>
      <c r="O482" s="35">
        <f t="shared" si="29"/>
        <v>172.08571428571423</v>
      </c>
    </row>
    <row r="483" spans="1:15" x14ac:dyDescent="0.4">
      <c r="A483">
        <v>491</v>
      </c>
      <c r="B483" t="s">
        <v>3240</v>
      </c>
      <c r="C483" s="131">
        <v>37833</v>
      </c>
      <c r="D483" t="s">
        <v>1905</v>
      </c>
      <c r="E483" t="s">
        <v>645</v>
      </c>
      <c r="F483">
        <v>7</v>
      </c>
      <c r="G483" s="1">
        <v>1925.16</v>
      </c>
      <c r="H483" s="1">
        <v>1925.16</v>
      </c>
      <c r="I483" s="1">
        <v>982.91</v>
      </c>
      <c r="J483" s="1">
        <f t="shared" si="30"/>
        <v>275.02285714285716</v>
      </c>
      <c r="K483" s="1">
        <v>1031.04</v>
      </c>
      <c r="N483" s="35">
        <f t="shared" si="28"/>
        <v>894.12000000000012</v>
      </c>
      <c r="O483" s="35">
        <f t="shared" si="29"/>
        <v>619.0971428571429</v>
      </c>
    </row>
    <row r="484" spans="1:15" x14ac:dyDescent="0.4">
      <c r="A484">
        <v>492</v>
      </c>
      <c r="B484" t="s">
        <v>3240</v>
      </c>
      <c r="C484" s="131">
        <v>37864</v>
      </c>
      <c r="D484" t="s">
        <v>1905</v>
      </c>
      <c r="E484" t="s">
        <v>645</v>
      </c>
      <c r="F484">
        <v>7</v>
      </c>
      <c r="G484" s="1">
        <v>1925.16</v>
      </c>
      <c r="H484" s="1">
        <v>1925.16</v>
      </c>
      <c r="I484" s="1">
        <v>978.82</v>
      </c>
      <c r="J484" s="1">
        <f t="shared" si="30"/>
        <v>275.02285714285716</v>
      </c>
      <c r="K484" s="1">
        <v>1026.95</v>
      </c>
      <c r="N484" s="35">
        <f t="shared" si="28"/>
        <v>898.21</v>
      </c>
      <c r="O484" s="35">
        <f t="shared" si="29"/>
        <v>623.18714285714282</v>
      </c>
    </row>
    <row r="485" spans="1:15" x14ac:dyDescent="0.4">
      <c r="A485">
        <v>493</v>
      </c>
      <c r="B485" t="s">
        <v>3240</v>
      </c>
      <c r="C485" s="131">
        <v>38046</v>
      </c>
      <c r="D485" t="s">
        <v>2149</v>
      </c>
      <c r="E485" t="s">
        <v>645</v>
      </c>
      <c r="F485">
        <v>7</v>
      </c>
      <c r="G485" s="1">
        <v>143.78</v>
      </c>
      <c r="H485" s="1">
        <v>143.78</v>
      </c>
      <c r="I485" s="1">
        <v>71.23</v>
      </c>
      <c r="J485" s="1">
        <f t="shared" si="30"/>
        <v>20.54</v>
      </c>
      <c r="K485" s="1">
        <v>74.820000000000007</v>
      </c>
      <c r="N485" s="35">
        <f t="shared" si="28"/>
        <v>68.959999999999994</v>
      </c>
      <c r="O485" s="35">
        <f t="shared" si="29"/>
        <v>48.419999999999995</v>
      </c>
    </row>
    <row r="486" spans="1:15" x14ac:dyDescent="0.4">
      <c r="A486">
        <v>494</v>
      </c>
      <c r="B486" t="s">
        <v>3240</v>
      </c>
      <c r="C486" s="131">
        <v>38077</v>
      </c>
      <c r="D486" t="s">
        <v>2149</v>
      </c>
      <c r="E486" t="s">
        <v>645</v>
      </c>
      <c r="F486">
        <v>7</v>
      </c>
      <c r="G486" s="1">
        <v>693.17</v>
      </c>
      <c r="H486" s="1">
        <v>693.17</v>
      </c>
      <c r="I486" s="1">
        <v>342.34</v>
      </c>
      <c r="J486" s="1">
        <f t="shared" si="30"/>
        <v>99.02428571428571</v>
      </c>
      <c r="K486" s="1">
        <v>359.66999999999996</v>
      </c>
      <c r="N486" s="35">
        <f t="shared" si="28"/>
        <v>333.5</v>
      </c>
      <c r="O486" s="35">
        <f t="shared" si="29"/>
        <v>234.47571428571428</v>
      </c>
    </row>
    <row r="487" spans="1:15" x14ac:dyDescent="0.4">
      <c r="A487">
        <v>495</v>
      </c>
      <c r="B487" t="s">
        <v>3240</v>
      </c>
      <c r="C487" s="131">
        <v>38107</v>
      </c>
      <c r="D487" t="s">
        <v>2149</v>
      </c>
      <c r="E487" t="s">
        <v>645</v>
      </c>
      <c r="F487">
        <v>7</v>
      </c>
      <c r="G487" s="1">
        <v>129.1</v>
      </c>
      <c r="H487" s="1">
        <v>129.1</v>
      </c>
      <c r="I487" s="1">
        <v>63.54</v>
      </c>
      <c r="J487" s="1">
        <f t="shared" si="30"/>
        <v>18.442857142857143</v>
      </c>
      <c r="K487" s="1">
        <v>66.77</v>
      </c>
      <c r="N487" s="35">
        <f t="shared" si="28"/>
        <v>62.33</v>
      </c>
      <c r="O487" s="35">
        <f t="shared" si="29"/>
        <v>43.887142857142855</v>
      </c>
    </row>
    <row r="488" spans="1:15" x14ac:dyDescent="0.4">
      <c r="A488">
        <v>496</v>
      </c>
      <c r="B488" t="s">
        <v>3240</v>
      </c>
      <c r="C488" s="131">
        <v>38138</v>
      </c>
      <c r="D488" t="s">
        <v>2149</v>
      </c>
      <c r="E488" t="s">
        <v>645</v>
      </c>
      <c r="F488">
        <v>7</v>
      </c>
      <c r="G488" s="1">
        <v>171.45</v>
      </c>
      <c r="H488" s="1">
        <v>171.45</v>
      </c>
      <c r="I488" s="1">
        <v>84.03</v>
      </c>
      <c r="J488" s="1">
        <f t="shared" si="30"/>
        <v>24.49285714285714</v>
      </c>
      <c r="K488" s="1">
        <v>88.320000000000007</v>
      </c>
      <c r="N488" s="35">
        <f t="shared" si="28"/>
        <v>83.129999999999981</v>
      </c>
      <c r="O488" s="35">
        <f t="shared" si="29"/>
        <v>58.637142857142841</v>
      </c>
    </row>
    <row r="489" spans="1:15" x14ac:dyDescent="0.4">
      <c r="A489">
        <v>497</v>
      </c>
      <c r="B489" t="s">
        <v>3240</v>
      </c>
      <c r="C489" s="131">
        <v>38383</v>
      </c>
      <c r="D489" t="s">
        <v>3242</v>
      </c>
      <c r="E489" t="s">
        <v>645</v>
      </c>
      <c r="F489">
        <v>7</v>
      </c>
      <c r="G489" s="1">
        <v>1395.15</v>
      </c>
      <c r="H489" s="1">
        <v>1395.15</v>
      </c>
      <c r="I489" s="1">
        <v>659.85</v>
      </c>
      <c r="J489" s="1">
        <f t="shared" si="30"/>
        <v>199.30714285714288</v>
      </c>
      <c r="K489" s="1">
        <v>694.73</v>
      </c>
      <c r="N489" s="35">
        <f t="shared" si="28"/>
        <v>700.42000000000007</v>
      </c>
      <c r="O489" s="35">
        <f t="shared" si="29"/>
        <v>501.11285714285719</v>
      </c>
    </row>
    <row r="490" spans="1:15" x14ac:dyDescent="0.4">
      <c r="A490">
        <v>498</v>
      </c>
      <c r="B490" t="s">
        <v>3240</v>
      </c>
      <c r="C490" s="131">
        <v>38472</v>
      </c>
      <c r="D490" t="s">
        <v>2149</v>
      </c>
      <c r="E490" t="s">
        <v>645</v>
      </c>
      <c r="F490">
        <v>7</v>
      </c>
      <c r="G490" s="1">
        <v>4420.66</v>
      </c>
      <c r="H490" s="1">
        <v>4420.66</v>
      </c>
      <c r="I490" s="1">
        <v>2063.85</v>
      </c>
      <c r="J490" s="1">
        <f t="shared" si="30"/>
        <v>631.52285714285711</v>
      </c>
      <c r="K490" s="1">
        <v>2174.37</v>
      </c>
      <c r="N490" s="35">
        <f t="shared" si="28"/>
        <v>2246.29</v>
      </c>
      <c r="O490" s="35">
        <f t="shared" si="29"/>
        <v>1614.767142857143</v>
      </c>
    </row>
    <row r="491" spans="1:15" x14ac:dyDescent="0.4">
      <c r="A491">
        <v>499</v>
      </c>
      <c r="B491" t="s">
        <v>3240</v>
      </c>
      <c r="C491" s="131">
        <v>38533</v>
      </c>
      <c r="D491" t="s">
        <v>2149</v>
      </c>
      <c r="E491" t="s">
        <v>645</v>
      </c>
      <c r="F491">
        <v>7</v>
      </c>
      <c r="G491" s="1">
        <v>224.84</v>
      </c>
      <c r="H491" s="1">
        <v>224.84</v>
      </c>
      <c r="I491" s="1">
        <v>104.01</v>
      </c>
      <c r="J491" s="1">
        <f t="shared" si="30"/>
        <v>32.119999999999997</v>
      </c>
      <c r="K491" s="1">
        <v>109.63000000000001</v>
      </c>
      <c r="N491" s="35">
        <f t="shared" si="28"/>
        <v>115.21</v>
      </c>
      <c r="O491" s="35">
        <f t="shared" si="29"/>
        <v>83.09</v>
      </c>
    </row>
    <row r="492" spans="1:15" x14ac:dyDescent="0.4">
      <c r="A492">
        <v>500</v>
      </c>
      <c r="B492" t="s">
        <v>3240</v>
      </c>
      <c r="C492" s="131">
        <v>38656</v>
      </c>
      <c r="D492" t="s">
        <v>2149</v>
      </c>
      <c r="E492" t="s">
        <v>645</v>
      </c>
      <c r="F492">
        <v>7</v>
      </c>
      <c r="G492" s="1">
        <v>779.53</v>
      </c>
      <c r="H492" s="1">
        <v>779.53</v>
      </c>
      <c r="I492" s="1">
        <v>354.13</v>
      </c>
      <c r="J492" s="1">
        <f t="shared" si="30"/>
        <v>111.36142857142856</v>
      </c>
      <c r="K492" s="1">
        <v>373.62</v>
      </c>
      <c r="N492" s="35">
        <f t="shared" si="28"/>
        <v>405.90999999999997</v>
      </c>
      <c r="O492" s="35">
        <f t="shared" si="29"/>
        <v>294.54857142857139</v>
      </c>
    </row>
    <row r="493" spans="1:15" x14ac:dyDescent="0.4">
      <c r="A493">
        <v>501</v>
      </c>
      <c r="B493" t="s">
        <v>3240</v>
      </c>
      <c r="C493" s="131">
        <v>38686</v>
      </c>
      <c r="D493" t="s">
        <v>2149</v>
      </c>
      <c r="E493" t="s">
        <v>645</v>
      </c>
      <c r="F493">
        <v>7</v>
      </c>
      <c r="G493" s="1">
        <v>130.66999999999999</v>
      </c>
      <c r="H493" s="1">
        <v>130.66999999999999</v>
      </c>
      <c r="I493" s="1">
        <v>59.15</v>
      </c>
      <c r="J493" s="1">
        <f t="shared" si="30"/>
        <v>18.667142857142856</v>
      </c>
      <c r="K493" s="1">
        <v>62.42</v>
      </c>
      <c r="L493" s="35">
        <f>SUM(J479:J493)</f>
        <v>1820.62</v>
      </c>
      <c r="N493" s="35">
        <f t="shared" si="28"/>
        <v>68.249999999999986</v>
      </c>
      <c r="O493" s="35">
        <f t="shared" si="29"/>
        <v>49.582857142857129</v>
      </c>
    </row>
    <row r="494" spans="1:15" x14ac:dyDescent="0.4">
      <c r="C494" s="131"/>
      <c r="G494" s="1"/>
      <c r="H494" s="1"/>
      <c r="I494" s="1"/>
      <c r="J494" s="1"/>
      <c r="K494" s="1"/>
      <c r="N494" s="35"/>
      <c r="O494" s="35"/>
    </row>
    <row r="495" spans="1:15" x14ac:dyDescent="0.4">
      <c r="C495" s="131"/>
      <c r="D495" t="s">
        <v>3250</v>
      </c>
      <c r="G495" s="1">
        <f>SUM(G128:G494)</f>
        <v>6360523.1200000048</v>
      </c>
      <c r="H495" s="1"/>
      <c r="I495" s="1"/>
      <c r="J495" s="1">
        <f>SUM(J128:J494)</f>
        <v>500346.85571428586</v>
      </c>
      <c r="K495" s="1"/>
      <c r="N495" s="35"/>
      <c r="O495" s="35"/>
    </row>
    <row r="496" spans="1:15" x14ac:dyDescent="0.4">
      <c r="C496" s="131"/>
      <c r="G496" s="1"/>
      <c r="H496" s="1"/>
      <c r="I496" s="1"/>
      <c r="J496" s="1"/>
      <c r="K496" s="1"/>
      <c r="N496" s="35"/>
      <c r="O496" s="35"/>
    </row>
    <row r="497" spans="1:15" x14ac:dyDescent="0.4">
      <c r="C497" s="131"/>
      <c r="G497" s="1"/>
      <c r="H497" s="1"/>
      <c r="I497" s="1"/>
      <c r="J497" s="1"/>
      <c r="K497" s="1"/>
      <c r="N497" s="35"/>
      <c r="O497" s="35"/>
    </row>
    <row r="498" spans="1:15" x14ac:dyDescent="0.4">
      <c r="C498" s="131"/>
      <c r="G498" s="1"/>
      <c r="H498" s="1"/>
      <c r="I498" s="1"/>
      <c r="J498" s="1"/>
      <c r="K498" s="1"/>
      <c r="N498" s="35"/>
      <c r="O498" s="35"/>
    </row>
    <row r="499" spans="1:15" x14ac:dyDescent="0.4">
      <c r="C499" s="131"/>
      <c r="G499" s="1"/>
      <c r="H499" s="1"/>
      <c r="I499" s="1"/>
      <c r="J499" s="1"/>
      <c r="K499" s="1"/>
      <c r="N499" s="35">
        <f t="shared" si="25"/>
        <v>0</v>
      </c>
      <c r="O499" s="35">
        <f t="shared" si="26"/>
        <v>0</v>
      </c>
    </row>
    <row r="500" spans="1:15" x14ac:dyDescent="0.4">
      <c r="A500">
        <v>429</v>
      </c>
      <c r="B500" t="s">
        <v>3202</v>
      </c>
      <c r="C500" s="131">
        <v>34507</v>
      </c>
      <c r="D500" t="s">
        <v>3203</v>
      </c>
      <c r="E500" t="s">
        <v>645</v>
      </c>
      <c r="F500">
        <v>5</v>
      </c>
      <c r="G500" s="1">
        <v>1320</v>
      </c>
      <c r="H500" s="1">
        <v>1320</v>
      </c>
      <c r="I500" s="1">
        <v>1320</v>
      </c>
      <c r="J500" s="1"/>
      <c r="K500" s="1">
        <v>1320</v>
      </c>
      <c r="N500" s="35">
        <f t="shared" si="25"/>
        <v>0</v>
      </c>
      <c r="O500" s="35">
        <f t="shared" si="26"/>
        <v>0</v>
      </c>
    </row>
    <row r="501" spans="1:15" hidden="1" x14ac:dyDescent="0.4">
      <c r="A501">
        <v>430</v>
      </c>
      <c r="B501" t="s">
        <v>3202</v>
      </c>
      <c r="C501" s="131">
        <v>36099</v>
      </c>
      <c r="D501" t="s">
        <v>3204</v>
      </c>
      <c r="E501" t="s">
        <v>645</v>
      </c>
      <c r="F501">
        <v>10</v>
      </c>
      <c r="G501" s="1">
        <v>12140</v>
      </c>
      <c r="H501" s="1">
        <v>12140</v>
      </c>
      <c r="I501" s="1">
        <v>12140</v>
      </c>
      <c r="J501" s="1"/>
      <c r="K501" s="1">
        <v>12140</v>
      </c>
      <c r="N501" s="35">
        <f t="shared" si="25"/>
        <v>0</v>
      </c>
      <c r="O501" s="35">
        <f t="shared" si="26"/>
        <v>0</v>
      </c>
    </row>
    <row r="502" spans="1:15" hidden="1" x14ac:dyDescent="0.4">
      <c r="A502">
        <v>431</v>
      </c>
      <c r="B502" t="s">
        <v>3202</v>
      </c>
      <c r="C502" s="131">
        <v>36129</v>
      </c>
      <c r="D502" t="s">
        <v>3205</v>
      </c>
      <c r="E502" t="s">
        <v>645</v>
      </c>
      <c r="F502">
        <v>10</v>
      </c>
      <c r="G502" s="1">
        <v>274.49</v>
      </c>
      <c r="H502" s="1">
        <v>274.49</v>
      </c>
      <c r="I502" s="1">
        <v>274.49</v>
      </c>
      <c r="J502" s="1"/>
      <c r="K502" s="1">
        <v>274.49</v>
      </c>
      <c r="N502" s="35">
        <f t="shared" si="25"/>
        <v>0</v>
      </c>
      <c r="O502" s="35">
        <f t="shared" si="26"/>
        <v>0</v>
      </c>
    </row>
    <row r="503" spans="1:15" hidden="1" x14ac:dyDescent="0.4">
      <c r="A503">
        <v>432</v>
      </c>
      <c r="B503" t="s">
        <v>3202</v>
      </c>
      <c r="C503" s="131">
        <v>36129</v>
      </c>
      <c r="D503" t="s">
        <v>3206</v>
      </c>
      <c r="E503" t="s">
        <v>645</v>
      </c>
      <c r="F503">
        <v>10</v>
      </c>
      <c r="G503" s="1">
        <v>2800</v>
      </c>
      <c r="H503" s="1">
        <v>2800</v>
      </c>
      <c r="I503" s="1">
        <v>2800</v>
      </c>
      <c r="J503" s="1"/>
      <c r="K503" s="1">
        <v>2800</v>
      </c>
      <c r="N503" s="35">
        <f t="shared" si="25"/>
        <v>0</v>
      </c>
      <c r="O503" s="35">
        <f t="shared" si="26"/>
        <v>0</v>
      </c>
    </row>
    <row r="504" spans="1:15" hidden="1" x14ac:dyDescent="0.4">
      <c r="A504">
        <v>433</v>
      </c>
      <c r="B504" t="s">
        <v>3202</v>
      </c>
      <c r="C504" s="131">
        <v>35916</v>
      </c>
      <c r="D504" t="s">
        <v>3207</v>
      </c>
      <c r="E504" t="s">
        <v>645</v>
      </c>
      <c r="F504">
        <v>10</v>
      </c>
      <c r="G504" s="1">
        <v>5000</v>
      </c>
      <c r="H504" s="1">
        <v>5000</v>
      </c>
      <c r="I504" s="1">
        <v>5000</v>
      </c>
      <c r="J504" s="1"/>
      <c r="K504" s="1">
        <v>5000</v>
      </c>
      <c r="N504" s="35">
        <f t="shared" si="25"/>
        <v>0</v>
      </c>
      <c r="O504" s="35">
        <f t="shared" si="26"/>
        <v>0</v>
      </c>
    </row>
    <row r="505" spans="1:15" hidden="1" x14ac:dyDescent="0.4">
      <c r="A505">
        <v>434</v>
      </c>
      <c r="B505" t="s">
        <v>3202</v>
      </c>
      <c r="C505" s="131">
        <v>36404</v>
      </c>
      <c r="D505" t="s">
        <v>3208</v>
      </c>
      <c r="E505" t="s">
        <v>645</v>
      </c>
      <c r="F505">
        <v>20</v>
      </c>
      <c r="G505" s="1">
        <v>1498</v>
      </c>
      <c r="H505" s="1">
        <v>1498</v>
      </c>
      <c r="I505" s="1">
        <v>1498</v>
      </c>
      <c r="J505" s="1"/>
      <c r="K505" s="1">
        <v>1498</v>
      </c>
      <c r="N505" s="35">
        <f t="shared" si="25"/>
        <v>0</v>
      </c>
      <c r="O505" s="35">
        <f t="shared" si="26"/>
        <v>0</v>
      </c>
    </row>
    <row r="506" spans="1:15" hidden="1" x14ac:dyDescent="0.4">
      <c r="A506">
        <v>435</v>
      </c>
      <c r="B506" t="s">
        <v>3202</v>
      </c>
      <c r="C506" s="131">
        <v>36312</v>
      </c>
      <c r="D506" t="s">
        <v>3209</v>
      </c>
      <c r="E506" t="s">
        <v>645</v>
      </c>
      <c r="F506">
        <v>7</v>
      </c>
      <c r="G506" s="1">
        <v>2800</v>
      </c>
      <c r="H506" s="1">
        <v>2800</v>
      </c>
      <c r="I506" s="1">
        <v>2800</v>
      </c>
      <c r="J506" s="1"/>
      <c r="K506" s="1">
        <v>2800</v>
      </c>
      <c r="N506" s="35">
        <f t="shared" si="25"/>
        <v>0</v>
      </c>
      <c r="O506" s="35">
        <f t="shared" si="26"/>
        <v>0</v>
      </c>
    </row>
    <row r="507" spans="1:15" hidden="1" x14ac:dyDescent="0.4">
      <c r="A507">
        <v>439</v>
      </c>
      <c r="B507" t="s">
        <v>3202</v>
      </c>
      <c r="C507" s="131">
        <v>36616</v>
      </c>
      <c r="D507" t="s">
        <v>3210</v>
      </c>
      <c r="E507" t="s">
        <v>645</v>
      </c>
      <c r="F507">
        <v>20</v>
      </c>
      <c r="G507" s="1">
        <v>1150</v>
      </c>
      <c r="H507" s="1">
        <v>1150</v>
      </c>
      <c r="I507" s="1">
        <v>1150</v>
      </c>
      <c r="J507" s="1"/>
      <c r="K507" s="1">
        <v>1150</v>
      </c>
      <c r="N507" s="35">
        <f t="shared" si="25"/>
        <v>0</v>
      </c>
      <c r="O507" s="35">
        <f t="shared" si="26"/>
        <v>0</v>
      </c>
    </row>
    <row r="508" spans="1:15" hidden="1" x14ac:dyDescent="0.4">
      <c r="A508">
        <v>440</v>
      </c>
      <c r="B508" t="s">
        <v>3202</v>
      </c>
      <c r="C508" s="131">
        <v>36646</v>
      </c>
      <c r="D508" t="s">
        <v>3211</v>
      </c>
      <c r="E508" t="s">
        <v>645</v>
      </c>
      <c r="F508">
        <v>5</v>
      </c>
      <c r="G508" s="1">
        <v>2036.57</v>
      </c>
      <c r="H508" s="1">
        <v>2036.57</v>
      </c>
      <c r="I508" s="1">
        <v>2036.57</v>
      </c>
      <c r="J508" s="1"/>
      <c r="K508" s="1">
        <v>2036.57</v>
      </c>
      <c r="N508" s="35">
        <f t="shared" si="25"/>
        <v>0</v>
      </c>
      <c r="O508" s="35">
        <f t="shared" si="26"/>
        <v>0</v>
      </c>
    </row>
    <row r="509" spans="1:15" hidden="1" x14ac:dyDescent="0.4">
      <c r="A509">
        <v>443</v>
      </c>
      <c r="B509" t="s">
        <v>3202</v>
      </c>
      <c r="C509" s="131">
        <v>36677</v>
      </c>
      <c r="D509" t="s">
        <v>3208</v>
      </c>
      <c r="E509" t="s">
        <v>645</v>
      </c>
      <c r="F509">
        <v>20</v>
      </c>
      <c r="G509" s="1">
        <v>1038.6400000000001</v>
      </c>
      <c r="H509" s="1">
        <v>1038.6400000000001</v>
      </c>
      <c r="I509" s="1">
        <v>1038.6400000000001</v>
      </c>
      <c r="J509" s="1"/>
      <c r="K509" s="1">
        <v>1038.6400000000001</v>
      </c>
      <c r="N509" s="35">
        <f t="shared" si="25"/>
        <v>0</v>
      </c>
      <c r="O509" s="35">
        <f t="shared" si="26"/>
        <v>0</v>
      </c>
    </row>
    <row r="510" spans="1:15" hidden="1" x14ac:dyDescent="0.4">
      <c r="A510">
        <v>444</v>
      </c>
      <c r="B510" t="s">
        <v>3202</v>
      </c>
      <c r="C510" s="131">
        <v>36707</v>
      </c>
      <c r="D510" t="s">
        <v>3212</v>
      </c>
      <c r="E510" t="s">
        <v>645</v>
      </c>
      <c r="F510">
        <v>5</v>
      </c>
      <c r="G510" s="1">
        <v>949</v>
      </c>
      <c r="H510" s="1">
        <v>949</v>
      </c>
      <c r="I510" s="1">
        <v>949</v>
      </c>
      <c r="J510" s="1"/>
      <c r="K510" s="1">
        <v>949</v>
      </c>
      <c r="N510" s="35">
        <f t="shared" si="25"/>
        <v>0</v>
      </c>
      <c r="O510" s="35">
        <f t="shared" si="26"/>
        <v>0</v>
      </c>
    </row>
    <row r="511" spans="1:15" hidden="1" x14ac:dyDescent="0.4">
      <c r="A511">
        <v>445</v>
      </c>
      <c r="B511" t="s">
        <v>3202</v>
      </c>
      <c r="C511" s="131">
        <v>41334</v>
      </c>
      <c r="D511" t="s">
        <v>3208</v>
      </c>
      <c r="E511" t="s">
        <v>645</v>
      </c>
      <c r="F511">
        <v>37.5</v>
      </c>
      <c r="G511" s="1">
        <v>15500</v>
      </c>
      <c r="H511" s="1">
        <v>15500</v>
      </c>
      <c r="I511" s="1">
        <v>8137.5</v>
      </c>
      <c r="J511" s="1">
        <f t="shared" si="24"/>
        <v>413.33333333333331</v>
      </c>
      <c r="K511" s="1">
        <v>8912.5</v>
      </c>
      <c r="N511" s="35">
        <f t="shared" si="25"/>
        <v>6587.5</v>
      </c>
      <c r="O511" s="35">
        <f t="shared" si="26"/>
        <v>6174.166666666667</v>
      </c>
    </row>
    <row r="512" spans="1:15" hidden="1" x14ac:dyDescent="0.4">
      <c r="A512">
        <v>446</v>
      </c>
      <c r="B512" t="s">
        <v>3202</v>
      </c>
      <c r="C512" s="131">
        <v>41334</v>
      </c>
      <c r="D512" t="s">
        <v>3208</v>
      </c>
      <c r="E512" t="s">
        <v>645</v>
      </c>
      <c r="F512">
        <v>37.5</v>
      </c>
      <c r="G512" s="1">
        <v>8000</v>
      </c>
      <c r="H512" s="1">
        <v>8000</v>
      </c>
      <c r="I512" s="1">
        <v>4200</v>
      </c>
      <c r="J512" s="1">
        <f t="shared" si="24"/>
        <v>213.33333333333334</v>
      </c>
      <c r="K512" s="1">
        <v>4600</v>
      </c>
      <c r="N512" s="35">
        <f t="shared" si="25"/>
        <v>3400</v>
      </c>
      <c r="O512" s="35">
        <f t="shared" si="26"/>
        <v>3186.6666666666665</v>
      </c>
    </row>
    <row r="513" spans="1:15" hidden="1" x14ac:dyDescent="0.4">
      <c r="A513">
        <v>447</v>
      </c>
      <c r="B513" t="s">
        <v>3202</v>
      </c>
      <c r="C513" s="131">
        <v>43707</v>
      </c>
      <c r="D513" t="s">
        <v>3213</v>
      </c>
      <c r="E513" t="s">
        <v>645</v>
      </c>
      <c r="F513">
        <v>5</v>
      </c>
      <c r="G513" s="1">
        <v>3339.52</v>
      </c>
      <c r="H513" s="1">
        <v>3339.52</v>
      </c>
      <c r="I513" s="1">
        <v>3005.57</v>
      </c>
      <c r="J513" s="1"/>
      <c r="K513" s="1">
        <v>3339.52</v>
      </c>
      <c r="N513" s="35">
        <f t="shared" si="25"/>
        <v>0</v>
      </c>
      <c r="O513" s="35">
        <f t="shared" si="26"/>
        <v>0</v>
      </c>
    </row>
    <row r="514" spans="1:15" hidden="1" x14ac:dyDescent="0.4">
      <c r="A514">
        <v>448</v>
      </c>
      <c r="B514" t="s">
        <v>3202</v>
      </c>
      <c r="C514" s="131">
        <v>44986</v>
      </c>
      <c r="D514" t="s">
        <v>3214</v>
      </c>
      <c r="E514" t="s">
        <v>645</v>
      </c>
      <c r="F514">
        <v>10</v>
      </c>
      <c r="G514" s="1">
        <v>7300</v>
      </c>
      <c r="H514" s="1">
        <v>7300</v>
      </c>
      <c r="I514" s="1">
        <v>521.42999999999995</v>
      </c>
      <c r="J514" s="1">
        <f t="shared" si="24"/>
        <v>730</v>
      </c>
      <c r="K514" s="1">
        <v>1564.29</v>
      </c>
      <c r="L514" s="35">
        <f>SUM(J500:J514)</f>
        <v>1356.6666666666665</v>
      </c>
      <c r="N514" s="35">
        <f t="shared" si="25"/>
        <v>5735.71</v>
      </c>
      <c r="O514" s="35">
        <f t="shared" si="26"/>
        <v>5005.71</v>
      </c>
    </row>
    <row r="515" spans="1:15" hidden="1" x14ac:dyDescent="0.4">
      <c r="A515">
        <v>3</v>
      </c>
      <c r="B515" t="s">
        <v>2907</v>
      </c>
      <c r="C515" s="131">
        <v>42333</v>
      </c>
      <c r="D515" t="s">
        <v>2908</v>
      </c>
      <c r="E515" t="s">
        <v>645</v>
      </c>
      <c r="G515" s="1">
        <v>1495</v>
      </c>
      <c r="H515" s="1">
        <v>1495</v>
      </c>
      <c r="I515" s="1">
        <v>1270.75</v>
      </c>
      <c r="J515" s="1"/>
      <c r="K515" s="1">
        <v>1420.25</v>
      </c>
      <c r="N515" s="35">
        <f>G515-K515</f>
        <v>74.75</v>
      </c>
      <c r="O515" s="35">
        <f>N515-J515</f>
        <v>74.75</v>
      </c>
    </row>
    <row r="516" spans="1:15" hidden="1" x14ac:dyDescent="0.4">
      <c r="A516">
        <v>4</v>
      </c>
      <c r="B516" t="s">
        <v>2907</v>
      </c>
      <c r="C516" s="131">
        <v>43504</v>
      </c>
      <c r="D516" t="s">
        <v>2909</v>
      </c>
      <c r="E516" t="s">
        <v>645</v>
      </c>
      <c r="F516">
        <v>10</v>
      </c>
      <c r="G516" s="1">
        <v>2800</v>
      </c>
      <c r="H516" s="1">
        <v>2800</v>
      </c>
      <c r="I516" s="1">
        <v>1260</v>
      </c>
      <c r="J516" s="1">
        <f>G516/F516</f>
        <v>280</v>
      </c>
      <c r="K516" s="1">
        <v>1540</v>
      </c>
      <c r="N516" s="35">
        <f>G516-K516</f>
        <v>1260</v>
      </c>
      <c r="O516" s="35">
        <f>N516-J516</f>
        <v>980</v>
      </c>
    </row>
    <row r="517" spans="1:15" hidden="1" x14ac:dyDescent="0.4">
      <c r="A517">
        <v>5</v>
      </c>
      <c r="B517" t="s">
        <v>2907</v>
      </c>
      <c r="C517" s="131">
        <v>43516</v>
      </c>
      <c r="D517" t="s">
        <v>2910</v>
      </c>
      <c r="E517" t="s">
        <v>645</v>
      </c>
      <c r="F517">
        <v>37.5</v>
      </c>
      <c r="G517" s="1">
        <v>3600</v>
      </c>
      <c r="H517" s="1">
        <v>3600</v>
      </c>
      <c r="I517" s="1">
        <v>1080</v>
      </c>
      <c r="J517" s="1">
        <f>G517/F517</f>
        <v>96</v>
      </c>
      <c r="K517" s="1">
        <v>1320</v>
      </c>
      <c r="N517" s="35">
        <f>G517-K517</f>
        <v>2280</v>
      </c>
      <c r="O517" s="35">
        <f>N517-J517</f>
        <v>2184</v>
      </c>
    </row>
    <row r="518" spans="1:15" x14ac:dyDescent="0.4">
      <c r="A518">
        <v>6</v>
      </c>
      <c r="B518" t="s">
        <v>2907</v>
      </c>
      <c r="C518" s="131">
        <v>44377</v>
      </c>
      <c r="D518" t="s">
        <v>2911</v>
      </c>
      <c r="E518" t="s">
        <v>645</v>
      </c>
      <c r="F518">
        <v>37.5</v>
      </c>
      <c r="G518" s="1">
        <v>7135.46</v>
      </c>
      <c r="H518" s="1">
        <v>7135.46</v>
      </c>
      <c r="I518" s="1">
        <v>1783.87</v>
      </c>
      <c r="J518" s="1">
        <f>G518/F518</f>
        <v>190.27893333333333</v>
      </c>
      <c r="K518" s="1">
        <v>2497.42</v>
      </c>
      <c r="L518" s="35">
        <f>SUM(J515:J518)</f>
        <v>566.27893333333327</v>
      </c>
      <c r="N518" s="35">
        <f>G518-K518</f>
        <v>4638.04</v>
      </c>
      <c r="O518" s="35">
        <f>N518-J518</f>
        <v>4447.7610666666669</v>
      </c>
    </row>
    <row r="519" spans="1:15" x14ac:dyDescent="0.4">
      <c r="C519" s="131"/>
      <c r="G519" s="1"/>
      <c r="H519" s="1"/>
      <c r="I519" s="1"/>
      <c r="J519" s="1"/>
      <c r="K519" s="1"/>
      <c r="N519" s="35">
        <f>G519-K519</f>
        <v>0</v>
      </c>
      <c r="O519" s="35">
        <f>N519-J519</f>
        <v>0</v>
      </c>
    </row>
    <row r="520" spans="1:15" x14ac:dyDescent="0.4">
      <c r="C520" s="131"/>
      <c r="G520" s="1"/>
      <c r="H520" s="1"/>
      <c r="I520" s="1"/>
      <c r="J520" s="1"/>
      <c r="K520" s="1"/>
      <c r="N520" s="35"/>
      <c r="O520" s="35"/>
    </row>
    <row r="521" spans="1:15" x14ac:dyDescent="0.4">
      <c r="C521" s="131"/>
      <c r="D521" t="s">
        <v>2587</v>
      </c>
      <c r="G521" s="1">
        <f>SUM(G500:G520)</f>
        <v>80176.680000000008</v>
      </c>
      <c r="H521" s="1"/>
      <c r="I521" s="1"/>
      <c r="J521" s="1">
        <f>SUM(J500:J520)</f>
        <v>1922.9455999999998</v>
      </c>
      <c r="K521" s="1"/>
      <c r="N521" s="35"/>
      <c r="O521" s="35"/>
    </row>
    <row r="522" spans="1:15" x14ac:dyDescent="0.4">
      <c r="C522" s="131"/>
      <c r="G522" s="1"/>
      <c r="H522" s="1"/>
      <c r="I522" s="1"/>
      <c r="J522" s="1"/>
      <c r="K522" s="1"/>
      <c r="N522" s="35"/>
      <c r="O522" s="35"/>
    </row>
    <row r="523" spans="1:15" x14ac:dyDescent="0.4">
      <c r="C523" s="131"/>
      <c r="G523" s="1"/>
      <c r="H523" s="1"/>
      <c r="I523" s="1"/>
      <c r="J523" s="1"/>
      <c r="K523" s="1"/>
      <c r="N523" s="35"/>
      <c r="O523" s="35"/>
    </row>
    <row r="524" spans="1:15" x14ac:dyDescent="0.4">
      <c r="C524" s="131"/>
      <c r="G524" s="1"/>
      <c r="H524" s="1"/>
      <c r="I524" s="1"/>
      <c r="J524" s="1"/>
      <c r="K524" s="1"/>
      <c r="N524" s="35">
        <f t="shared" si="25"/>
        <v>0</v>
      </c>
      <c r="O524" s="35">
        <f t="shared" si="26"/>
        <v>0</v>
      </c>
    </row>
    <row r="525" spans="1:15" x14ac:dyDescent="0.4">
      <c r="A525">
        <v>451</v>
      </c>
      <c r="B525" t="s">
        <v>3215</v>
      </c>
      <c r="C525" s="131">
        <v>34416</v>
      </c>
      <c r="D525" t="s">
        <v>3216</v>
      </c>
      <c r="E525" t="s">
        <v>645</v>
      </c>
      <c r="F525">
        <v>5</v>
      </c>
      <c r="G525" s="1">
        <v>3560.79</v>
      </c>
      <c r="H525" s="1">
        <v>3560.79</v>
      </c>
      <c r="I525" s="1">
        <v>3560.63</v>
      </c>
      <c r="J525" s="1"/>
      <c r="K525" s="1">
        <v>3560.63</v>
      </c>
      <c r="N525" s="35">
        <f t="shared" si="25"/>
        <v>0.15999999999985448</v>
      </c>
      <c r="O525" s="35">
        <f t="shared" si="26"/>
        <v>0.15999999999985448</v>
      </c>
    </row>
    <row r="526" spans="1:15" hidden="1" x14ac:dyDescent="0.4">
      <c r="A526">
        <v>452</v>
      </c>
      <c r="B526" t="s">
        <v>3215</v>
      </c>
      <c r="C526" s="131">
        <v>34416</v>
      </c>
      <c r="D526" t="s">
        <v>3217</v>
      </c>
      <c r="E526" t="s">
        <v>645</v>
      </c>
      <c r="F526">
        <v>5</v>
      </c>
      <c r="G526" s="1">
        <v>2842.95</v>
      </c>
      <c r="H526" s="1">
        <v>2842.95</v>
      </c>
      <c r="I526" s="1">
        <v>2842.95</v>
      </c>
      <c r="J526" s="1"/>
      <c r="K526" s="1">
        <v>2842.95</v>
      </c>
      <c r="N526" s="35">
        <f t="shared" si="25"/>
        <v>0</v>
      </c>
      <c r="O526" s="35">
        <f t="shared" si="26"/>
        <v>0</v>
      </c>
    </row>
    <row r="527" spans="1:15" hidden="1" x14ac:dyDescent="0.4">
      <c r="A527">
        <v>453</v>
      </c>
      <c r="B527" t="s">
        <v>3215</v>
      </c>
      <c r="C527" s="131">
        <v>34786</v>
      </c>
      <c r="D527" t="s">
        <v>3218</v>
      </c>
      <c r="E527" t="s">
        <v>645</v>
      </c>
      <c r="F527">
        <v>5</v>
      </c>
      <c r="G527" s="1">
        <v>3845.8</v>
      </c>
      <c r="H527" s="1">
        <v>3845.8</v>
      </c>
      <c r="I527" s="1">
        <v>3845.8</v>
      </c>
      <c r="J527" s="1"/>
      <c r="K527" s="1">
        <v>3845.8</v>
      </c>
      <c r="N527" s="35">
        <f t="shared" si="25"/>
        <v>0</v>
      </c>
      <c r="O527" s="35">
        <f t="shared" si="26"/>
        <v>0</v>
      </c>
    </row>
    <row r="528" spans="1:15" hidden="1" x14ac:dyDescent="0.4">
      <c r="A528">
        <v>454</v>
      </c>
      <c r="B528" t="s">
        <v>3215</v>
      </c>
      <c r="C528" s="131">
        <v>36312</v>
      </c>
      <c r="D528" t="s">
        <v>3219</v>
      </c>
      <c r="E528" t="s">
        <v>645</v>
      </c>
      <c r="F528">
        <v>7</v>
      </c>
      <c r="G528" s="1">
        <v>2330</v>
      </c>
      <c r="H528" s="1">
        <v>2330</v>
      </c>
      <c r="I528" s="1">
        <v>2330</v>
      </c>
      <c r="J528" s="1"/>
      <c r="K528" s="1">
        <v>2330</v>
      </c>
      <c r="N528" s="35">
        <f t="shared" si="25"/>
        <v>0</v>
      </c>
      <c r="O528" s="35">
        <f t="shared" si="26"/>
        <v>0</v>
      </c>
    </row>
    <row r="529" spans="1:15" hidden="1" x14ac:dyDescent="0.4">
      <c r="A529">
        <v>455</v>
      </c>
      <c r="B529" t="s">
        <v>3215</v>
      </c>
      <c r="C529" s="131">
        <v>43689</v>
      </c>
      <c r="D529" t="s">
        <v>3220</v>
      </c>
      <c r="E529" t="s">
        <v>645</v>
      </c>
      <c r="F529">
        <v>5</v>
      </c>
      <c r="G529" s="1">
        <v>870</v>
      </c>
      <c r="H529" s="1">
        <v>870</v>
      </c>
      <c r="I529" s="1">
        <v>783</v>
      </c>
      <c r="J529" s="1"/>
      <c r="K529" s="1">
        <v>870</v>
      </c>
      <c r="N529" s="35">
        <f t="shared" si="25"/>
        <v>0</v>
      </c>
      <c r="O529" s="35">
        <f t="shared" si="26"/>
        <v>0</v>
      </c>
    </row>
    <row r="530" spans="1:15" hidden="1" x14ac:dyDescent="0.4">
      <c r="A530">
        <v>456</v>
      </c>
      <c r="B530" t="s">
        <v>3215</v>
      </c>
      <c r="C530" s="131">
        <v>44448</v>
      </c>
      <c r="D530" t="s">
        <v>3221</v>
      </c>
      <c r="E530" t="s">
        <v>645</v>
      </c>
      <c r="F530">
        <v>17.5</v>
      </c>
      <c r="G530" s="1">
        <v>11700</v>
      </c>
      <c r="H530" s="1">
        <v>11700</v>
      </c>
      <c r="I530" s="1">
        <v>5850</v>
      </c>
      <c r="J530" s="1">
        <f t="shared" si="24"/>
        <v>668.57142857142856</v>
      </c>
      <c r="K530" s="1">
        <v>8190</v>
      </c>
      <c r="L530" s="35">
        <f>SUM(J525:J530)</f>
        <v>668.57142857142856</v>
      </c>
      <c r="N530" s="35">
        <f t="shared" si="25"/>
        <v>3510</v>
      </c>
      <c r="O530" s="35">
        <f t="shared" si="26"/>
        <v>2841.4285714285716</v>
      </c>
    </row>
    <row r="531" spans="1:15" hidden="1" x14ac:dyDescent="0.4">
      <c r="C531" s="131"/>
      <c r="G531" s="1"/>
      <c r="H531" s="1"/>
      <c r="I531" s="1"/>
      <c r="J531" s="1"/>
      <c r="K531" s="1"/>
      <c r="N531" s="35">
        <f t="shared" si="25"/>
        <v>0</v>
      </c>
      <c r="O531" s="35">
        <f t="shared" si="26"/>
        <v>0</v>
      </c>
    </row>
    <row r="532" spans="1:15" hidden="1" x14ac:dyDescent="0.4">
      <c r="A532">
        <v>457</v>
      </c>
      <c r="B532" t="s">
        <v>3222</v>
      </c>
      <c r="C532" s="131">
        <v>35765</v>
      </c>
      <c r="D532" t="s">
        <v>3223</v>
      </c>
      <c r="E532" t="s">
        <v>645</v>
      </c>
      <c r="F532">
        <v>7</v>
      </c>
      <c r="G532" s="1">
        <v>7581.33</v>
      </c>
      <c r="H532" s="1">
        <v>7581.33</v>
      </c>
      <c r="I532" s="1">
        <v>7581.33</v>
      </c>
      <c r="J532" s="1"/>
      <c r="K532" s="1">
        <v>7581.33</v>
      </c>
      <c r="N532" s="35">
        <f t="shared" si="25"/>
        <v>0</v>
      </c>
      <c r="O532" s="35">
        <f t="shared" si="26"/>
        <v>0</v>
      </c>
    </row>
    <row r="533" spans="1:15" hidden="1" x14ac:dyDescent="0.4">
      <c r="A533">
        <v>458</v>
      </c>
      <c r="B533" t="s">
        <v>3222</v>
      </c>
      <c r="C533" s="131">
        <v>36068</v>
      </c>
      <c r="D533" t="s">
        <v>3224</v>
      </c>
      <c r="E533" t="s">
        <v>645</v>
      </c>
      <c r="F533">
        <v>5</v>
      </c>
      <c r="G533" s="1">
        <v>899.95</v>
      </c>
      <c r="H533" s="1">
        <v>899.95</v>
      </c>
      <c r="I533" s="1">
        <v>899.95</v>
      </c>
      <c r="J533" s="1"/>
      <c r="K533" s="1">
        <v>899.95</v>
      </c>
      <c r="N533" s="35">
        <f t="shared" si="25"/>
        <v>0</v>
      </c>
      <c r="O533" s="35">
        <f t="shared" si="26"/>
        <v>0</v>
      </c>
    </row>
    <row r="534" spans="1:15" hidden="1" x14ac:dyDescent="0.4">
      <c r="A534">
        <v>459</v>
      </c>
      <c r="B534" t="s">
        <v>3222</v>
      </c>
      <c r="C534" s="131">
        <v>40602</v>
      </c>
      <c r="D534" t="s">
        <v>3225</v>
      </c>
      <c r="E534" t="s">
        <v>645</v>
      </c>
      <c r="F534">
        <v>7</v>
      </c>
      <c r="G534" s="1">
        <v>852.17</v>
      </c>
      <c r="H534" s="1">
        <v>852.17</v>
      </c>
      <c r="I534" s="1">
        <v>852.17</v>
      </c>
      <c r="J534" s="1"/>
      <c r="K534" s="1">
        <v>852.17</v>
      </c>
      <c r="N534" s="35">
        <f t="shared" si="25"/>
        <v>0</v>
      </c>
      <c r="O534" s="35">
        <f t="shared" si="26"/>
        <v>0</v>
      </c>
    </row>
    <row r="535" spans="1:15" hidden="1" x14ac:dyDescent="0.4">
      <c r="A535">
        <v>460</v>
      </c>
      <c r="B535" t="s">
        <v>3222</v>
      </c>
      <c r="C535" s="131">
        <v>41262</v>
      </c>
      <c r="D535" t="s">
        <v>3226</v>
      </c>
      <c r="E535" t="s">
        <v>645</v>
      </c>
      <c r="F535">
        <v>5</v>
      </c>
      <c r="G535" s="1">
        <v>654.99</v>
      </c>
      <c r="H535" s="1">
        <v>654.99</v>
      </c>
      <c r="I535" s="1">
        <v>654.99</v>
      </c>
      <c r="J535" s="1"/>
      <c r="K535" s="1">
        <v>654.99</v>
      </c>
      <c r="N535" s="35">
        <f t="shared" si="25"/>
        <v>0</v>
      </c>
      <c r="O535" s="35">
        <f t="shared" si="26"/>
        <v>0</v>
      </c>
    </row>
    <row r="536" spans="1:15" hidden="1" x14ac:dyDescent="0.4">
      <c r="A536">
        <v>461</v>
      </c>
      <c r="B536" t="s">
        <v>3222</v>
      </c>
      <c r="C536" s="131">
        <v>41334</v>
      </c>
      <c r="D536" t="s">
        <v>2963</v>
      </c>
      <c r="E536" t="s">
        <v>645</v>
      </c>
      <c r="F536">
        <v>7</v>
      </c>
      <c r="G536" s="1">
        <v>25000</v>
      </c>
      <c r="H536" s="1">
        <v>25000</v>
      </c>
      <c r="I536" s="1">
        <v>25000</v>
      </c>
      <c r="J536" s="1"/>
      <c r="K536" s="1">
        <v>25000</v>
      </c>
      <c r="N536" s="35">
        <f t="shared" si="25"/>
        <v>0</v>
      </c>
      <c r="O536" s="35">
        <f t="shared" si="26"/>
        <v>0</v>
      </c>
    </row>
    <row r="537" spans="1:15" hidden="1" x14ac:dyDescent="0.4">
      <c r="A537">
        <v>462</v>
      </c>
      <c r="B537" t="s">
        <v>3222</v>
      </c>
      <c r="C537" s="131">
        <v>41799</v>
      </c>
      <c r="D537" t="s">
        <v>3227</v>
      </c>
      <c r="E537" t="s">
        <v>645</v>
      </c>
      <c r="F537">
        <v>7</v>
      </c>
      <c r="G537" s="1">
        <v>45750</v>
      </c>
      <c r="H537" s="1">
        <v>45750</v>
      </c>
      <c r="I537" s="1">
        <v>45750</v>
      </c>
      <c r="J537" s="1"/>
      <c r="K537" s="1">
        <v>45750</v>
      </c>
      <c r="N537" s="35">
        <f t="shared" ref="N537:N551" si="31">G537-K537</f>
        <v>0</v>
      </c>
      <c r="O537" s="35">
        <f t="shared" ref="O537:O556" si="32">N537-J537</f>
        <v>0</v>
      </c>
    </row>
    <row r="538" spans="1:15" hidden="1" x14ac:dyDescent="0.4">
      <c r="A538">
        <v>463</v>
      </c>
      <c r="B538" t="s">
        <v>3222</v>
      </c>
      <c r="C538" s="131">
        <v>42200</v>
      </c>
      <c r="D538" t="s">
        <v>3228</v>
      </c>
      <c r="E538" t="s">
        <v>645</v>
      </c>
      <c r="F538">
        <v>5</v>
      </c>
      <c r="G538" s="1">
        <v>19800</v>
      </c>
      <c r="H538" s="1">
        <v>19800</v>
      </c>
      <c r="I538" s="1">
        <v>19800</v>
      </c>
      <c r="J538" s="1"/>
      <c r="K538" s="1">
        <v>19800</v>
      </c>
      <c r="N538" s="35">
        <f t="shared" si="31"/>
        <v>0</v>
      </c>
      <c r="O538" s="35">
        <f t="shared" si="32"/>
        <v>0</v>
      </c>
    </row>
    <row r="539" spans="1:15" hidden="1" x14ac:dyDescent="0.4">
      <c r="A539">
        <v>464</v>
      </c>
      <c r="B539" t="s">
        <v>3222</v>
      </c>
      <c r="C539" s="131">
        <v>42274</v>
      </c>
      <c r="D539" t="s">
        <v>3229</v>
      </c>
      <c r="E539" t="s">
        <v>645</v>
      </c>
      <c r="F539">
        <v>10</v>
      </c>
      <c r="G539" s="1">
        <v>5011.2</v>
      </c>
      <c r="H539" s="1">
        <v>5011.2</v>
      </c>
      <c r="I539" s="1">
        <v>4259.5200000000004</v>
      </c>
      <c r="J539" s="1"/>
      <c r="K539" s="1">
        <v>4760.6400000000003</v>
      </c>
      <c r="N539" s="35">
        <f t="shared" si="31"/>
        <v>250.55999999999949</v>
      </c>
      <c r="O539" s="35">
        <f t="shared" si="32"/>
        <v>250.55999999999949</v>
      </c>
    </row>
    <row r="540" spans="1:15" hidden="1" x14ac:dyDescent="0.4">
      <c r="A540">
        <v>465</v>
      </c>
      <c r="B540" t="s">
        <v>3222</v>
      </c>
      <c r="C540" s="131">
        <v>44347</v>
      </c>
      <c r="D540" t="s">
        <v>3230</v>
      </c>
      <c r="E540" t="s">
        <v>645</v>
      </c>
      <c r="F540">
        <v>17.5</v>
      </c>
      <c r="G540" s="1">
        <v>30000.080000000002</v>
      </c>
      <c r="H540" s="1">
        <v>30000.080000000002</v>
      </c>
      <c r="I540" s="1">
        <v>15000.04</v>
      </c>
      <c r="J540" s="1">
        <f t="shared" ref="J540:J544" si="33">G540/F540</f>
        <v>1714.2902857142858</v>
      </c>
      <c r="K540" s="1">
        <v>21000.06</v>
      </c>
      <c r="N540" s="35">
        <f t="shared" si="31"/>
        <v>9000.02</v>
      </c>
      <c r="O540" s="35">
        <f t="shared" si="32"/>
        <v>7285.7297142857151</v>
      </c>
    </row>
    <row r="541" spans="1:15" hidden="1" x14ac:dyDescent="0.4">
      <c r="A541">
        <v>466</v>
      </c>
      <c r="B541" t="s">
        <v>3222</v>
      </c>
      <c r="C541" s="131">
        <v>44256</v>
      </c>
      <c r="D541" t="s">
        <v>3231</v>
      </c>
      <c r="E541" t="s">
        <v>645</v>
      </c>
      <c r="F541">
        <v>5</v>
      </c>
      <c r="G541" s="1">
        <v>1405.39</v>
      </c>
      <c r="H541" s="1">
        <v>1405.39</v>
      </c>
      <c r="I541" s="1">
        <v>702.7</v>
      </c>
      <c r="J541" s="1">
        <f t="shared" si="33"/>
        <v>281.07800000000003</v>
      </c>
      <c r="K541" s="1">
        <v>983.78</v>
      </c>
      <c r="N541" s="35">
        <f t="shared" si="31"/>
        <v>421.61000000000013</v>
      </c>
      <c r="O541" s="35">
        <f t="shared" si="32"/>
        <v>140.5320000000001</v>
      </c>
    </row>
    <row r="542" spans="1:15" hidden="1" x14ac:dyDescent="0.4">
      <c r="A542">
        <v>467</v>
      </c>
      <c r="B542" t="s">
        <v>3222</v>
      </c>
      <c r="C542" s="131">
        <v>44459</v>
      </c>
      <c r="D542" t="s">
        <v>3232</v>
      </c>
      <c r="E542" t="s">
        <v>645</v>
      </c>
      <c r="F542">
        <v>17.5</v>
      </c>
      <c r="G542" s="1">
        <v>7970</v>
      </c>
      <c r="H542" s="1">
        <v>7970</v>
      </c>
      <c r="I542" s="1">
        <v>2846.43</v>
      </c>
      <c r="J542" s="1">
        <f t="shared" si="33"/>
        <v>455.42857142857144</v>
      </c>
      <c r="K542" s="1">
        <v>3985</v>
      </c>
      <c r="N542" s="35">
        <f t="shared" si="31"/>
        <v>3985</v>
      </c>
      <c r="O542" s="35">
        <f t="shared" si="32"/>
        <v>3529.5714285714284</v>
      </c>
    </row>
    <row r="543" spans="1:15" hidden="1" x14ac:dyDescent="0.4">
      <c r="A543">
        <v>468</v>
      </c>
      <c r="B543" t="s">
        <v>3222</v>
      </c>
      <c r="C543" s="131">
        <v>44482</v>
      </c>
      <c r="D543" t="s">
        <v>3233</v>
      </c>
      <c r="E543" t="s">
        <v>645</v>
      </c>
      <c r="F543">
        <v>17.5</v>
      </c>
      <c r="G543" s="1">
        <v>7970</v>
      </c>
      <c r="H543" s="1">
        <v>7970</v>
      </c>
      <c r="I543" s="1">
        <v>2846.43</v>
      </c>
      <c r="J543" s="1">
        <f t="shared" si="33"/>
        <v>455.42857142857144</v>
      </c>
      <c r="K543" s="1">
        <v>3985</v>
      </c>
      <c r="N543" s="35">
        <f t="shared" si="31"/>
        <v>3985</v>
      </c>
      <c r="O543" s="35">
        <f t="shared" si="32"/>
        <v>3529.5714285714284</v>
      </c>
    </row>
    <row r="544" spans="1:15" hidden="1" x14ac:dyDescent="0.4">
      <c r="A544">
        <v>469</v>
      </c>
      <c r="B544" t="s">
        <v>3222</v>
      </c>
      <c r="C544" s="131">
        <v>45078</v>
      </c>
      <c r="D544" t="s">
        <v>3234</v>
      </c>
      <c r="E544" t="s">
        <v>645</v>
      </c>
      <c r="F544">
        <v>20</v>
      </c>
      <c r="G544" s="1">
        <v>9033.48</v>
      </c>
      <c r="H544" s="1">
        <v>9033.48</v>
      </c>
      <c r="I544" s="1">
        <v>903.35</v>
      </c>
      <c r="J544" s="1">
        <f t="shared" si="33"/>
        <v>451.67399999999998</v>
      </c>
      <c r="K544" s="1">
        <v>2710.05</v>
      </c>
      <c r="L544" s="35">
        <f>SUM(J532:J544)</f>
        <v>3357.8994285714289</v>
      </c>
      <c r="N544" s="35">
        <f t="shared" si="31"/>
        <v>6323.4299999999994</v>
      </c>
      <c r="O544" s="35">
        <f t="shared" si="32"/>
        <v>5871.7559999999994</v>
      </c>
    </row>
    <row r="545" spans="1:15" hidden="1" x14ac:dyDescent="0.4">
      <c r="C545" s="131"/>
      <c r="G545" s="1"/>
      <c r="H545" s="1"/>
      <c r="I545" s="1"/>
      <c r="J545" s="1"/>
      <c r="K545" s="1"/>
      <c r="N545" s="35">
        <f t="shared" si="31"/>
        <v>0</v>
      </c>
      <c r="O545" s="35">
        <f t="shared" si="32"/>
        <v>0</v>
      </c>
    </row>
    <row r="546" spans="1:15" hidden="1" x14ac:dyDescent="0.4">
      <c r="C546" s="131"/>
      <c r="G546" s="1"/>
      <c r="H546" s="1"/>
      <c r="I546" s="1"/>
      <c r="J546" s="1"/>
      <c r="K546" s="1"/>
      <c r="N546" s="35">
        <f t="shared" si="31"/>
        <v>0</v>
      </c>
      <c r="O546" s="35">
        <f t="shared" si="32"/>
        <v>0</v>
      </c>
    </row>
    <row r="547" spans="1:15" hidden="1" x14ac:dyDescent="0.4">
      <c r="C547" s="131"/>
      <c r="G547" s="1"/>
      <c r="H547" s="1"/>
      <c r="I547" s="1"/>
      <c r="J547" s="1"/>
      <c r="K547" s="1"/>
      <c r="N547" s="35">
        <f t="shared" si="31"/>
        <v>0</v>
      </c>
      <c r="O547" s="35">
        <f t="shared" si="32"/>
        <v>0</v>
      </c>
    </row>
    <row r="548" spans="1:15" hidden="1" x14ac:dyDescent="0.4">
      <c r="A548">
        <v>502</v>
      </c>
      <c r="B548" t="s">
        <v>3243</v>
      </c>
      <c r="C548" s="131">
        <v>36161</v>
      </c>
      <c r="D548" t="s">
        <v>2963</v>
      </c>
      <c r="E548" t="s">
        <v>645</v>
      </c>
      <c r="F548">
        <v>7</v>
      </c>
      <c r="G548" s="1">
        <v>12700</v>
      </c>
      <c r="H548" s="1">
        <v>12700</v>
      </c>
      <c r="I548" s="1">
        <v>12700</v>
      </c>
      <c r="J548" s="1"/>
      <c r="K548" s="1">
        <v>12700</v>
      </c>
      <c r="N548" s="35">
        <f t="shared" si="31"/>
        <v>0</v>
      </c>
      <c r="O548" s="35">
        <f t="shared" si="32"/>
        <v>0</v>
      </c>
    </row>
    <row r="549" spans="1:15" hidden="1" x14ac:dyDescent="0.4">
      <c r="A549">
        <v>503</v>
      </c>
      <c r="B549" t="s">
        <v>3243</v>
      </c>
      <c r="C549" s="131">
        <v>37408</v>
      </c>
      <c r="D549" t="s">
        <v>3244</v>
      </c>
      <c r="E549" t="s">
        <v>645</v>
      </c>
      <c r="F549">
        <v>3</v>
      </c>
      <c r="G549" s="1">
        <v>899</v>
      </c>
      <c r="H549" s="1">
        <v>899</v>
      </c>
      <c r="I549" s="1">
        <v>899</v>
      </c>
      <c r="J549" s="1"/>
      <c r="K549" s="1">
        <v>899</v>
      </c>
      <c r="N549" s="35">
        <f t="shared" si="31"/>
        <v>0</v>
      </c>
      <c r="O549" s="35">
        <f t="shared" si="32"/>
        <v>0</v>
      </c>
    </row>
    <row r="550" spans="1:15" x14ac:dyDescent="0.4">
      <c r="A550">
        <v>504</v>
      </c>
      <c r="B550" t="s">
        <v>3243</v>
      </c>
      <c r="C550" s="131">
        <v>37743</v>
      </c>
      <c r="D550" t="s">
        <v>3245</v>
      </c>
      <c r="E550" t="s">
        <v>645</v>
      </c>
      <c r="F550">
        <v>5</v>
      </c>
      <c r="G550" s="1">
        <v>469</v>
      </c>
      <c r="H550" s="1">
        <v>469</v>
      </c>
      <c r="I550" s="1">
        <v>469</v>
      </c>
      <c r="J550" s="1"/>
      <c r="K550" s="1">
        <v>469</v>
      </c>
      <c r="N550" s="35">
        <f t="shared" si="31"/>
        <v>0</v>
      </c>
      <c r="O550" s="35">
        <f t="shared" si="32"/>
        <v>0</v>
      </c>
    </row>
    <row r="551" spans="1:15" x14ac:dyDescent="0.4">
      <c r="A551">
        <v>505</v>
      </c>
      <c r="B551" t="s">
        <v>3243</v>
      </c>
      <c r="C551" s="131">
        <v>38472</v>
      </c>
      <c r="D551" t="s">
        <v>3246</v>
      </c>
      <c r="E551" t="s">
        <v>645</v>
      </c>
      <c r="F551">
        <v>5</v>
      </c>
      <c r="G551" s="1">
        <v>2524.6799999999998</v>
      </c>
      <c r="H551" s="1">
        <v>2524.6799999999998</v>
      </c>
      <c r="I551" s="1">
        <v>2524.6799999999998</v>
      </c>
      <c r="J551" s="1">
        <v>0</v>
      </c>
      <c r="K551" s="1">
        <v>2524.6799999999998</v>
      </c>
      <c r="L551" s="35">
        <f>SUM(J548:J551)</f>
        <v>0</v>
      </c>
      <c r="N551" s="35">
        <f t="shared" si="31"/>
        <v>0</v>
      </c>
      <c r="O551" s="35">
        <f t="shared" si="32"/>
        <v>0</v>
      </c>
    </row>
    <row r="552" spans="1:15" x14ac:dyDescent="0.4">
      <c r="C552" s="131"/>
      <c r="G552" s="1"/>
      <c r="H552" s="1"/>
      <c r="I552" s="1"/>
      <c r="J552" s="1"/>
      <c r="K552" s="1"/>
      <c r="L552" s="35"/>
      <c r="N552" s="35"/>
      <c r="O552" s="35"/>
    </row>
    <row r="553" spans="1:15" x14ac:dyDescent="0.4">
      <c r="C553" s="131"/>
      <c r="D553" t="s">
        <v>3251</v>
      </c>
      <c r="G553" s="1">
        <f>SUM(G525:G552)</f>
        <v>203670.81000000003</v>
      </c>
      <c r="H553" s="1"/>
      <c r="I553" s="1"/>
      <c r="J553" s="1">
        <f>SUM(J525:J552)</f>
        <v>4026.4708571428573</v>
      </c>
      <c r="K553" s="1"/>
      <c r="L553" s="35"/>
      <c r="N553" s="35"/>
      <c r="O553" s="35"/>
    </row>
    <row r="554" spans="1:15" x14ac:dyDescent="0.4">
      <c r="C554" s="131"/>
      <c r="G554" s="1"/>
      <c r="H554" s="1"/>
      <c r="I554" s="1"/>
      <c r="J554" s="1"/>
      <c r="K554" s="1"/>
      <c r="L554" s="35"/>
      <c r="N554" s="35"/>
      <c r="O554" s="35"/>
    </row>
    <row r="555" spans="1:15" x14ac:dyDescent="0.4">
      <c r="C555" s="131"/>
      <c r="G555" s="1"/>
      <c r="H555" s="1"/>
      <c r="I555" s="1"/>
      <c r="J555" s="1"/>
      <c r="K555" s="1"/>
      <c r="L555" s="35"/>
      <c r="N555" s="35"/>
      <c r="O555" s="35"/>
    </row>
    <row r="556" spans="1:15" x14ac:dyDescent="0.4">
      <c r="G556" s="1"/>
      <c r="H556" s="1"/>
      <c r="I556" s="1"/>
      <c r="J556" s="1"/>
      <c r="K556" s="1"/>
      <c r="O556" s="35">
        <f t="shared" si="32"/>
        <v>0</v>
      </c>
    </row>
    <row r="557" spans="1:15" x14ac:dyDescent="0.4">
      <c r="G557" s="1"/>
      <c r="H557" s="1"/>
      <c r="I557" s="1"/>
      <c r="J557" s="1"/>
      <c r="K557" s="1"/>
    </row>
    <row r="558" spans="1:15" x14ac:dyDescent="0.4">
      <c r="G558" s="1">
        <f>G24+G56+G98+G122+G495+G521+G553</f>
        <v>48859636.280000009</v>
      </c>
      <c r="H558" s="1"/>
      <c r="I558" s="1"/>
      <c r="J558" s="1">
        <f>J24+J56+J98+J122+J495+J521+J553</f>
        <v>1365493.2001380953</v>
      </c>
      <c r="K558" s="1"/>
      <c r="L558" s="1"/>
    </row>
    <row r="559" spans="1:15" x14ac:dyDescent="0.4">
      <c r="G559" s="1"/>
      <c r="H559" s="1"/>
      <c r="I559" s="1"/>
      <c r="J559" s="1"/>
      <c r="K559" s="1"/>
    </row>
    <row r="560" spans="1:15" x14ac:dyDescent="0.4">
      <c r="G560" s="1"/>
      <c r="H560" s="1"/>
      <c r="I560" s="1"/>
      <c r="J560" s="1"/>
      <c r="K560" s="1"/>
    </row>
    <row r="561" spans="7:11" x14ac:dyDescent="0.4">
      <c r="G561" s="1"/>
      <c r="H561" s="1"/>
      <c r="I561" s="1"/>
      <c r="J561" s="1"/>
      <c r="K561" s="1"/>
    </row>
  </sheetData>
  <mergeCells count="1">
    <mergeCell ref="V1:X1"/>
  </mergeCells>
  <pageMargins left="0.7" right="0.7" top="0.75" bottom="0.75" header="0.3" footer="0.3"/>
  <pageSetup orientation="portrait" r:id="rId1"/>
  <ignoredErrors>
    <ignoredError sqref="V4 V8:V9"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5B9C-AAE4-4EB4-AF54-2C730B1676BF}">
  <dimension ref="A3:BG70"/>
  <sheetViews>
    <sheetView showGridLines="0" workbookViewId="0">
      <selection activeCell="A3" sqref="A3:M22"/>
    </sheetView>
  </sheetViews>
  <sheetFormatPr defaultRowHeight="16" x14ac:dyDescent="0.4"/>
  <cols>
    <col min="1" max="1" width="22" bestFit="1" customWidth="1"/>
    <col min="2" max="2" width="0.9140625" customWidth="1"/>
    <col min="3" max="3" width="13.1640625" bestFit="1" customWidth="1"/>
    <col min="4" max="4" width="0.9140625" customWidth="1"/>
    <col min="5" max="5" width="12.08203125" bestFit="1" customWidth="1"/>
    <col min="6" max="6" width="0.9140625" customWidth="1"/>
    <col min="7" max="7" width="13.1640625" bestFit="1" customWidth="1"/>
    <col min="8" max="8" width="0.9140625" customWidth="1"/>
    <col min="9" max="9" width="12.08203125" bestFit="1" customWidth="1"/>
    <col min="10" max="10" width="0.9140625" customWidth="1"/>
    <col min="11" max="11" width="11.08203125" bestFit="1" customWidth="1"/>
    <col min="12" max="12" width="0.9140625" customWidth="1"/>
    <col min="13" max="13" width="12.08203125" bestFit="1" customWidth="1"/>
    <col min="21" max="21" width="14.6640625" bestFit="1" customWidth="1"/>
    <col min="22" max="22" width="21.83203125" customWidth="1"/>
    <col min="23" max="23" width="14.6640625" bestFit="1" customWidth="1"/>
    <col min="24" max="24" width="0.9140625" customWidth="1"/>
    <col min="25" max="25" width="12.58203125" bestFit="1" customWidth="1"/>
    <col min="26" max="26" width="0.9140625" customWidth="1"/>
    <col min="27" max="27" width="10.1640625" bestFit="1" customWidth="1"/>
    <col min="28" max="28" width="0.9140625" customWidth="1"/>
    <col min="29" max="29" width="13.83203125" bestFit="1" customWidth="1"/>
    <col min="30" max="30" width="0.9140625" customWidth="1"/>
    <col min="31" max="31" width="17.08203125" bestFit="1" customWidth="1"/>
    <col min="32" max="32" width="0.9140625" customWidth="1"/>
    <col min="33" max="33" width="13.83203125" bestFit="1" customWidth="1"/>
    <col min="34" max="34" width="0.9140625" customWidth="1"/>
    <col min="35" max="35" width="12.6640625" bestFit="1" customWidth="1"/>
    <col min="36" max="36" width="0.9140625" customWidth="1"/>
    <col min="37" max="37" width="12.58203125" bestFit="1" customWidth="1"/>
    <col min="38" max="38" width="0.9140625" customWidth="1"/>
    <col min="39" max="39" width="12.6640625" bestFit="1" customWidth="1"/>
    <col min="40" max="40" width="0.9140625" customWidth="1"/>
    <col min="41" max="41" width="12.6640625" bestFit="1" customWidth="1"/>
    <col min="42" max="42" width="0.9140625" customWidth="1"/>
    <col min="43" max="43" width="12.6640625" bestFit="1" customWidth="1"/>
    <col min="44" max="44" width="0.9140625" customWidth="1"/>
    <col min="45" max="45" width="11.1640625" bestFit="1" customWidth="1"/>
    <col min="46" max="46" width="0.9140625" customWidth="1"/>
    <col min="47" max="47" width="11.1640625" bestFit="1" customWidth="1"/>
    <col min="48" max="48" width="0.9140625" customWidth="1"/>
    <col min="49" max="49" width="13.9140625" customWidth="1"/>
    <col min="50" max="50" width="0.9140625" customWidth="1"/>
    <col min="51" max="51" width="12.6640625" bestFit="1" customWidth="1"/>
    <col min="52" max="52" width="0.9140625" customWidth="1"/>
    <col min="53" max="53" width="10.1640625" bestFit="1" customWidth="1"/>
    <col min="54" max="54" width="0.9140625" customWidth="1"/>
    <col min="55" max="55" width="11.1640625" bestFit="1" customWidth="1"/>
    <col min="56" max="56" width="0.9140625" customWidth="1"/>
    <col min="58" max="58" width="10.6640625" bestFit="1" customWidth="1"/>
    <col min="59" max="59" width="11.08203125" bestFit="1" customWidth="1"/>
  </cols>
  <sheetData>
    <row r="3" spans="1:56" x14ac:dyDescent="0.4">
      <c r="A3" s="407" t="s">
        <v>3481</v>
      </c>
      <c r="B3" s="407"/>
      <c r="C3" s="407"/>
      <c r="D3" s="407"/>
      <c r="E3" s="407"/>
      <c r="F3" s="407"/>
      <c r="G3" s="407"/>
      <c r="H3" s="407"/>
      <c r="I3" s="407"/>
      <c r="J3" s="407"/>
      <c r="K3" s="407"/>
      <c r="L3" s="407"/>
      <c r="M3" s="407"/>
    </row>
    <row r="4" spans="1:56" x14ac:dyDescent="0.4">
      <c r="A4" s="407" t="s">
        <v>576</v>
      </c>
      <c r="B4" s="407"/>
      <c r="C4" s="407"/>
      <c r="D4" s="407"/>
      <c r="E4" s="407"/>
      <c r="F4" s="407"/>
      <c r="G4" s="407"/>
      <c r="H4" s="407"/>
      <c r="I4" s="407"/>
      <c r="J4" s="407"/>
      <c r="K4" s="407"/>
      <c r="L4" s="407"/>
      <c r="M4" s="407"/>
    </row>
    <row r="5" spans="1:56" x14ac:dyDescent="0.4">
      <c r="A5" s="407" t="s">
        <v>3482</v>
      </c>
      <c r="B5" s="407"/>
      <c r="C5" s="407"/>
      <c r="D5" s="407"/>
      <c r="E5" s="407"/>
      <c r="F5" s="407"/>
      <c r="G5" s="407"/>
      <c r="H5" s="407"/>
      <c r="I5" s="407"/>
      <c r="J5" s="407"/>
      <c r="K5" s="407"/>
      <c r="L5" s="407"/>
      <c r="M5" s="407"/>
    </row>
    <row r="6" spans="1:56" x14ac:dyDescent="0.4">
      <c r="A6" s="328"/>
      <c r="B6" s="328"/>
      <c r="C6" s="328"/>
      <c r="D6" s="328"/>
      <c r="E6" s="328"/>
      <c r="F6" s="328"/>
      <c r="G6" s="328"/>
      <c r="H6" s="328"/>
      <c r="I6" s="328"/>
      <c r="J6" s="328"/>
      <c r="K6" s="328"/>
    </row>
    <row r="7" spans="1:56" x14ac:dyDescent="0.4">
      <c r="E7" s="2" t="s">
        <v>2855</v>
      </c>
    </row>
    <row r="8" spans="1:56" x14ac:dyDescent="0.4">
      <c r="C8" s="2"/>
      <c r="D8" s="2"/>
      <c r="E8" s="2" t="s">
        <v>3263</v>
      </c>
      <c r="F8" s="2"/>
      <c r="G8" s="2" t="s">
        <v>464</v>
      </c>
      <c r="H8" s="2"/>
      <c r="I8" s="2" t="s">
        <v>3385</v>
      </c>
      <c r="K8" s="2" t="s">
        <v>461</v>
      </c>
      <c r="M8" s="2" t="s">
        <v>578</v>
      </c>
    </row>
    <row r="9" spans="1:56" x14ac:dyDescent="0.4">
      <c r="C9" s="327" t="s">
        <v>25</v>
      </c>
      <c r="D9" s="230"/>
      <c r="E9" s="327" t="s">
        <v>459</v>
      </c>
      <c r="F9" s="230"/>
      <c r="G9" s="327" t="s">
        <v>2899</v>
      </c>
      <c r="H9" s="230"/>
      <c r="I9" s="327" t="s">
        <v>109</v>
      </c>
      <c r="J9" s="230"/>
      <c r="K9" s="327" t="s">
        <v>109</v>
      </c>
      <c r="M9" s="327" t="s">
        <v>579</v>
      </c>
    </row>
    <row r="10" spans="1:56" x14ac:dyDescent="0.4">
      <c r="R10" t="s">
        <v>2854</v>
      </c>
    </row>
    <row r="11" spans="1:56" x14ac:dyDescent="0.4">
      <c r="A11" t="s">
        <v>580</v>
      </c>
      <c r="C11" s="9">
        <f>SUM(E11:M11)</f>
        <v>121623048.69</v>
      </c>
      <c r="D11" s="9"/>
      <c r="E11" s="9">
        <f>AA55+AC55</f>
        <v>10867799.972137094</v>
      </c>
      <c r="F11" s="9"/>
      <c r="G11" s="9">
        <f>AE55+AI55+AK55++AG55</f>
        <v>93793259.342375904</v>
      </c>
      <c r="H11" s="9"/>
      <c r="I11" s="9">
        <f>+AO55+AM55</f>
        <v>16095243.65066608</v>
      </c>
      <c r="J11" s="9"/>
      <c r="K11" s="9">
        <f>+BA55</f>
        <v>51429.99719652356</v>
      </c>
      <c r="M11" s="9">
        <f>BC55</f>
        <v>815315.72762439144</v>
      </c>
      <c r="AE11" t="s">
        <v>464</v>
      </c>
      <c r="AO11" t="s">
        <v>460</v>
      </c>
      <c r="AS11" t="s">
        <v>2866</v>
      </c>
      <c r="AU11" t="s">
        <v>561</v>
      </c>
    </row>
    <row r="12" spans="1:56" x14ac:dyDescent="0.4">
      <c r="A12" t="s">
        <v>581</v>
      </c>
      <c r="C12" s="319">
        <f>SUM(E12:M12)</f>
        <v>0.99999999999999989</v>
      </c>
      <c r="E12" s="112">
        <f>E11/$C$11</f>
        <v>8.9356417958553092E-2</v>
      </c>
      <c r="F12" s="5"/>
      <c r="G12" s="112">
        <f>G11/$C$11</f>
        <v>0.77117997248565684</v>
      </c>
      <c r="H12" s="5"/>
      <c r="I12" s="112">
        <f>I11/$C$11</f>
        <v>0.13233711721608449</v>
      </c>
      <c r="J12" s="5"/>
      <c r="K12" s="112">
        <f>K11/$C$11</f>
        <v>4.2286390409116754E-4</v>
      </c>
      <c r="M12" s="112">
        <f>M11/$C$11</f>
        <v>6.7036284356143403E-3</v>
      </c>
      <c r="W12" t="s">
        <v>2862</v>
      </c>
      <c r="Y12" t="s">
        <v>2873</v>
      </c>
      <c r="AA12" t="s">
        <v>2855</v>
      </c>
      <c r="AC12" t="s">
        <v>17</v>
      </c>
      <c r="AE12" t="s">
        <v>465</v>
      </c>
      <c r="AG12" t="s">
        <v>577</v>
      </c>
      <c r="AO12" t="s">
        <v>2859</v>
      </c>
      <c r="AQ12" t="s">
        <v>2865</v>
      </c>
      <c r="AS12" t="s">
        <v>2867</v>
      </c>
      <c r="AU12" t="s">
        <v>2869</v>
      </c>
      <c r="AY12" t="s">
        <v>2870</v>
      </c>
      <c r="BA12" t="s">
        <v>2858</v>
      </c>
    </row>
    <row r="13" spans="1:56" x14ac:dyDescent="0.4">
      <c r="Y13" t="s">
        <v>2874</v>
      </c>
      <c r="AA13" t="s">
        <v>2856</v>
      </c>
      <c r="AC13" t="s">
        <v>459</v>
      </c>
      <c r="AE13" t="s">
        <v>2863</v>
      </c>
      <c r="AG13" t="s">
        <v>2857</v>
      </c>
      <c r="AI13" t="s">
        <v>2864</v>
      </c>
      <c r="AK13" t="s">
        <v>2183</v>
      </c>
      <c r="AM13" t="s">
        <v>2590</v>
      </c>
      <c r="AO13" t="s">
        <v>2860</v>
      </c>
      <c r="AQ13" t="s">
        <v>446</v>
      </c>
      <c r="AS13" t="s">
        <v>446</v>
      </c>
      <c r="AU13" t="s">
        <v>446</v>
      </c>
      <c r="AW13" t="s">
        <v>2875</v>
      </c>
      <c r="AY13" t="s">
        <v>446</v>
      </c>
      <c r="BA13" t="s">
        <v>109</v>
      </c>
      <c r="BC13" t="s">
        <v>2861</v>
      </c>
    </row>
    <row r="14" spans="1:56" ht="16.5" thickBot="1" x14ac:dyDescent="0.45">
      <c r="A14" t="s">
        <v>582</v>
      </c>
      <c r="C14" s="31">
        <f>SUM(C17:C20)</f>
        <v>742079.73763512028</v>
      </c>
      <c r="E14" s="31">
        <f>E12*$C$14</f>
        <v>66309.587194697233</v>
      </c>
      <c r="G14" s="31">
        <f>G12*$C$14</f>
        <v>572277.03165161551</v>
      </c>
      <c r="I14" s="31">
        <f>I12*$C$14</f>
        <v>98204.693223100141</v>
      </c>
      <c r="K14" s="31">
        <f>K12*$C$14</f>
        <v>313.79873500333628</v>
      </c>
      <c r="M14" s="31">
        <f>M12*$C$14</f>
        <v>4974.6268307040218</v>
      </c>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ht="16.5" thickTop="1" x14ac:dyDescent="0.4">
      <c r="R15" s="245" t="s">
        <v>2871</v>
      </c>
      <c r="S15" s="222"/>
      <c r="T15" s="222"/>
      <c r="U15" s="54">
        <f>49122.24+2400+383428.07+162947.39</f>
        <v>597897.69999999995</v>
      </c>
      <c r="V15" s="54"/>
      <c r="W15" s="54"/>
      <c r="X15" s="54"/>
      <c r="Y15" s="54"/>
      <c r="Z15" s="54"/>
      <c r="AA15" s="54"/>
      <c r="AB15" s="54"/>
      <c r="AC15" s="54"/>
      <c r="AD15" s="54"/>
      <c r="AE15" s="54"/>
      <c r="AF15" s="54"/>
      <c r="AG15" s="54">
        <v>10000</v>
      </c>
      <c r="AH15" s="54"/>
      <c r="AI15" s="54"/>
      <c r="AJ15" s="54"/>
      <c r="AK15" s="54"/>
      <c r="AL15" s="54"/>
      <c r="AM15" s="54"/>
      <c r="AN15" s="54"/>
      <c r="AO15" s="54"/>
      <c r="AP15" s="54"/>
      <c r="AQ15" s="54"/>
      <c r="AR15" s="54"/>
      <c r="AS15" s="54"/>
      <c r="AT15" s="54"/>
      <c r="AU15" s="54"/>
      <c r="AV15" s="54"/>
      <c r="AW15" s="54"/>
      <c r="AX15" s="54"/>
      <c r="AY15" s="54"/>
      <c r="AZ15" s="54"/>
      <c r="BA15" s="54"/>
      <c r="BB15" s="54"/>
      <c r="BC15" s="322">
        <v>30000</v>
      </c>
      <c r="BD15" s="1"/>
    </row>
    <row r="16" spans="1:56" x14ac:dyDescent="0.4">
      <c r="A16" t="s">
        <v>2898</v>
      </c>
      <c r="C16" s="9"/>
      <c r="R16" s="36" t="s">
        <v>2879</v>
      </c>
      <c r="V16" s="38"/>
      <c r="W16" s="38"/>
      <c r="X16" s="38"/>
      <c r="Y16" s="38"/>
      <c r="Z16" s="38"/>
      <c r="AA16" s="38"/>
      <c r="AB16" s="38"/>
      <c r="AC16" s="38"/>
      <c r="AD16" s="38"/>
      <c r="AE16" s="38"/>
      <c r="AF16" s="38"/>
      <c r="AG16" s="38">
        <v>5575</v>
      </c>
      <c r="AH16" s="38"/>
      <c r="AI16" s="38"/>
      <c r="AJ16" s="38"/>
      <c r="AK16" s="38"/>
      <c r="AL16" s="38"/>
      <c r="AM16" s="38"/>
      <c r="AN16" s="38"/>
      <c r="AO16" s="38"/>
      <c r="AP16" s="38"/>
      <c r="AQ16" s="38"/>
      <c r="AR16" s="38"/>
      <c r="AS16" s="38"/>
      <c r="AT16" s="38"/>
      <c r="AU16" s="38"/>
      <c r="AV16" s="38"/>
      <c r="AW16" s="38"/>
      <c r="AX16" s="38"/>
      <c r="AY16" s="38"/>
      <c r="AZ16" s="38"/>
      <c r="BA16" s="38"/>
      <c r="BB16" s="38"/>
      <c r="BC16" s="90">
        <v>20000</v>
      </c>
      <c r="BD16" s="1"/>
    </row>
    <row r="17" spans="1:59" x14ac:dyDescent="0.4">
      <c r="A17" t="s">
        <v>2895</v>
      </c>
      <c r="C17" s="9">
        <f>'Water Pro forma Rev Req'!L89</f>
        <v>513568.74802926695</v>
      </c>
      <c r="D17" s="9"/>
      <c r="E17" s="50"/>
      <c r="F17" s="50"/>
      <c r="G17" s="50"/>
      <c r="H17" s="50"/>
      <c r="I17" s="50"/>
      <c r="J17" s="50"/>
      <c r="K17" s="50"/>
      <c r="M17" s="50"/>
      <c r="R17" s="36" t="s">
        <v>2881</v>
      </c>
      <c r="U17" s="60">
        <f>SUM(AA15:BC18)*-1</f>
        <v>-165715.68</v>
      </c>
      <c r="V17" s="38"/>
      <c r="W17" s="38"/>
      <c r="X17" s="38"/>
      <c r="Y17" s="38"/>
      <c r="Z17" s="38"/>
      <c r="AA17" s="38"/>
      <c r="AB17" s="38"/>
      <c r="AC17" s="38"/>
      <c r="AD17" s="38"/>
      <c r="AE17" s="38"/>
      <c r="AF17" s="38"/>
      <c r="AG17" s="38">
        <v>46374.43</v>
      </c>
      <c r="AH17" s="38"/>
      <c r="AI17" s="38"/>
      <c r="AJ17" s="38"/>
      <c r="AK17" s="38"/>
      <c r="AL17" s="38"/>
      <c r="AM17" s="38"/>
      <c r="AN17" s="38"/>
      <c r="AO17" s="38"/>
      <c r="AP17" s="38"/>
      <c r="AQ17" s="38"/>
      <c r="AR17" s="38"/>
      <c r="AS17" s="38"/>
      <c r="AT17" s="38"/>
      <c r="AU17" s="38"/>
      <c r="AV17" s="38"/>
      <c r="AW17" s="38"/>
      <c r="AX17" s="38"/>
      <c r="AY17" s="38"/>
      <c r="AZ17" s="38"/>
      <c r="BA17" s="38"/>
      <c r="BB17" s="38"/>
      <c r="BC17" s="90">
        <v>53766.25</v>
      </c>
      <c r="BD17" s="1"/>
    </row>
    <row r="18" spans="1:59" x14ac:dyDescent="0.4">
      <c r="A18" t="s">
        <v>2896</v>
      </c>
      <c r="C18" s="8">
        <f>'Water Pro forma Rev Req'!L90</f>
        <v>102713.7496058534</v>
      </c>
      <c r="R18" s="40" t="s">
        <v>2872</v>
      </c>
      <c r="S18" s="41"/>
      <c r="T18" s="41"/>
      <c r="U18" s="60">
        <f>U15+U17</f>
        <v>432182.01999999996</v>
      </c>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323"/>
      <c r="BD18" s="1"/>
    </row>
    <row r="19" spans="1:59" x14ac:dyDescent="0.4">
      <c r="A19" t="s">
        <v>2897</v>
      </c>
      <c r="C19" s="10">
        <f>'Water Pro forma Rev Req'!L91</f>
        <v>125797.23999999999</v>
      </c>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9" x14ac:dyDescent="0.4">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9" ht="16.5" thickBot="1" x14ac:dyDescent="0.45">
      <c r="A21" t="s">
        <v>3264</v>
      </c>
      <c r="C21" s="52">
        <f>SUM(C17:C20)</f>
        <v>742079.73763512028</v>
      </c>
      <c r="R21" s="245" t="s">
        <v>2587</v>
      </c>
      <c r="S21" s="222"/>
      <c r="T21" s="222"/>
      <c r="U21" s="54">
        <f>235689.25+134386.68+367725.36</f>
        <v>737801.29</v>
      </c>
      <c r="V21" s="54"/>
      <c r="W21" s="54"/>
      <c r="X21" s="54"/>
      <c r="Y21" s="54"/>
      <c r="Z21" s="54"/>
      <c r="AA21" s="54"/>
      <c r="AB21" s="54"/>
      <c r="AC21" s="54">
        <v>3825</v>
      </c>
      <c r="AD21" s="54"/>
      <c r="AE21" s="54"/>
      <c r="AF21" s="54"/>
      <c r="AG21" s="54"/>
      <c r="AH21" s="54"/>
      <c r="AI21" s="54">
        <v>40000</v>
      </c>
      <c r="AJ21" s="54"/>
      <c r="AK21" s="54"/>
      <c r="AL21" s="54"/>
      <c r="AM21" s="54"/>
      <c r="AN21" s="54"/>
      <c r="AO21" s="54">
        <v>5450</v>
      </c>
      <c r="AP21" s="54"/>
      <c r="AQ21" s="54"/>
      <c r="AR21" s="54"/>
      <c r="AS21" s="54"/>
      <c r="AT21" s="54"/>
      <c r="AU21" s="54"/>
      <c r="AV21" s="54"/>
      <c r="AW21" s="54"/>
      <c r="AX21" s="54"/>
      <c r="AY21" s="54"/>
      <c r="AZ21" s="54"/>
      <c r="BA21" s="54"/>
      <c r="BB21" s="54"/>
      <c r="BC21" s="322">
        <v>140000</v>
      </c>
      <c r="BD21" s="1"/>
    </row>
    <row r="22" spans="1:59" ht="16.5" thickTop="1" x14ac:dyDescent="0.4">
      <c r="R22" s="36" t="s">
        <v>2879</v>
      </c>
      <c r="U22" s="38"/>
      <c r="V22" s="38"/>
      <c r="W22" s="38"/>
      <c r="X22" s="38"/>
      <c r="Y22" s="38"/>
      <c r="Z22" s="38"/>
      <c r="AA22" s="38"/>
      <c r="AB22" s="38"/>
      <c r="AC22" s="38">
        <v>61847.95</v>
      </c>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90">
        <v>4073.74</v>
      </c>
      <c r="BD22" s="1"/>
    </row>
    <row r="23" spans="1:59" x14ac:dyDescent="0.4">
      <c r="R23" s="36" t="s">
        <v>2880</v>
      </c>
      <c r="U23" s="38" cm="1">
        <f t="array" ref="U23">SUM(W21:BC29*-1)</f>
        <v>-418556.55</v>
      </c>
      <c r="V23" s="38"/>
      <c r="W23" s="38"/>
      <c r="X23" s="38"/>
      <c r="Y23" s="38"/>
      <c r="Z23" s="38"/>
      <c r="AA23" s="38"/>
      <c r="AB23" s="38"/>
      <c r="AC23" s="38">
        <v>17390</v>
      </c>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90">
        <v>60672.9</v>
      </c>
      <c r="BD23" s="1"/>
    </row>
    <row r="24" spans="1:59" x14ac:dyDescent="0.4">
      <c r="M24" s="35">
        <f>SUM(E14:M14)</f>
        <v>742079.73763512028</v>
      </c>
      <c r="R24" s="36"/>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90">
        <v>2879.99</v>
      </c>
      <c r="BD24" s="1"/>
    </row>
    <row r="25" spans="1:59" x14ac:dyDescent="0.4">
      <c r="R25" s="36" t="s">
        <v>2872</v>
      </c>
      <c r="U25" s="38">
        <f>SUM(U21:U23)</f>
        <v>319244.74000000005</v>
      </c>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90">
        <v>30977.43</v>
      </c>
      <c r="BD25" s="1"/>
    </row>
    <row r="26" spans="1:59" x14ac:dyDescent="0.4">
      <c r="R26" s="36"/>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90">
        <v>19764.37</v>
      </c>
      <c r="BD26" s="1"/>
    </row>
    <row r="27" spans="1:59" x14ac:dyDescent="0.4">
      <c r="R27" s="36"/>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90">
        <v>15000</v>
      </c>
      <c r="BD27" s="1"/>
    </row>
    <row r="28" spans="1:59" x14ac:dyDescent="0.4">
      <c r="R28" s="36"/>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90">
        <v>8375.17</v>
      </c>
      <c r="BD28" s="1"/>
    </row>
    <row r="29" spans="1:59" x14ac:dyDescent="0.4">
      <c r="R29" s="40"/>
      <c r="S29" s="41"/>
      <c r="T29" s="41"/>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323">
        <v>8300</v>
      </c>
      <c r="BD29" s="1"/>
    </row>
    <row r="30" spans="1:59" x14ac:dyDescent="0.4">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t="s">
        <v>2892</v>
      </c>
      <c r="BG30">
        <v>281661.46999999997</v>
      </c>
    </row>
    <row r="31" spans="1:59" x14ac:dyDescent="0.4">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t="s">
        <v>2893</v>
      </c>
      <c r="BG31" s="1">
        <v>-50287.56</v>
      </c>
    </row>
    <row r="32" spans="1:59" x14ac:dyDescent="0.4">
      <c r="R32" t="s">
        <v>2889</v>
      </c>
      <c r="U32" s="1"/>
      <c r="V32" s="1"/>
      <c r="W32" s="1"/>
      <c r="X32" s="1"/>
      <c r="Y32" s="1"/>
      <c r="Z32" s="1"/>
      <c r="AA32" s="1">
        <v>59135.56</v>
      </c>
      <c r="AB32" s="1"/>
      <c r="AC32" s="1">
        <v>10216355.23</v>
      </c>
      <c r="AD32" s="1"/>
      <c r="AE32" s="1">
        <v>72189883.359999999</v>
      </c>
      <c r="AF32" s="1"/>
      <c r="AG32" s="1">
        <v>10147938</v>
      </c>
      <c r="AH32" s="1"/>
      <c r="AI32" s="1">
        <v>5713543.6399999997</v>
      </c>
      <c r="AJ32" s="1"/>
      <c r="AK32" s="1">
        <v>1257776.71</v>
      </c>
      <c r="AL32" s="1"/>
      <c r="AM32" s="1">
        <v>7329658</v>
      </c>
      <c r="AN32" s="1"/>
      <c r="AO32" s="1">
        <v>8008140.6200000001</v>
      </c>
      <c r="AP32" s="1"/>
      <c r="AQ32" s="1">
        <v>2211056.0699999998</v>
      </c>
      <c r="AR32" s="1"/>
      <c r="AS32" s="1">
        <v>363340.9</v>
      </c>
      <c r="AT32" s="1"/>
      <c r="AU32" s="1">
        <v>452348.37</v>
      </c>
      <c r="AV32" s="1"/>
      <c r="AW32" s="1"/>
      <c r="AX32" s="1"/>
      <c r="AY32" s="1">
        <v>1883005.2</v>
      </c>
      <c r="AZ32" s="1"/>
      <c r="BA32" s="1">
        <v>50287.56</v>
      </c>
      <c r="BB32" s="1"/>
      <c r="BC32" s="1">
        <v>231373.91</v>
      </c>
      <c r="BD32" s="1"/>
      <c r="BG32" s="35">
        <f>BG30+BG31</f>
        <v>231373.90999999997</v>
      </c>
    </row>
    <row r="33" spans="18:57" x14ac:dyDescent="0.4">
      <c r="R33" t="s">
        <v>2868</v>
      </c>
      <c r="U33" s="1"/>
      <c r="V33" s="1"/>
      <c r="W33" s="1"/>
      <c r="X33" s="1"/>
      <c r="Y33" s="1"/>
      <c r="Z33" s="1"/>
      <c r="AA33" s="60"/>
      <c r="AB33" s="60"/>
      <c r="AC33" s="60">
        <v>1485.57</v>
      </c>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f>172021</f>
        <v>172021</v>
      </c>
      <c r="BD33" s="1"/>
      <c r="BE33" t="s">
        <v>2894</v>
      </c>
    </row>
    <row r="34" spans="18:57" x14ac:dyDescent="0.4">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8:57" x14ac:dyDescent="0.4">
      <c r="U35" s="1"/>
      <c r="V35" s="1"/>
      <c r="W35" s="1"/>
      <c r="X35" s="1"/>
      <c r="Y35" s="1"/>
      <c r="Z35" s="1"/>
      <c r="AA35" s="1">
        <f>SUM(AA15:AA34)</f>
        <v>59135.56</v>
      </c>
      <c r="AB35" s="1"/>
      <c r="AC35" s="1">
        <f>SUM(AC15:AC34)</f>
        <v>10300903.75</v>
      </c>
      <c r="AD35" s="1"/>
      <c r="AE35" s="1">
        <f>SUM(AE15:AE34)</f>
        <v>72189883.359999999</v>
      </c>
      <c r="AF35" s="1"/>
      <c r="AG35" s="1">
        <f>SUM(AG15:AG34)</f>
        <v>10209887.43</v>
      </c>
      <c r="AH35" s="1"/>
      <c r="AI35" s="1">
        <f>SUM(AI15:AI34)</f>
        <v>5753543.6399999997</v>
      </c>
      <c r="AJ35" s="1"/>
      <c r="AK35" s="1">
        <f>SUM(AK15:AK34)</f>
        <v>1257776.71</v>
      </c>
      <c r="AL35" s="1"/>
      <c r="AM35" s="1">
        <f>SUM(AM15:AM34)</f>
        <v>7329658</v>
      </c>
      <c r="AN35" s="1"/>
      <c r="AO35" s="1">
        <f>SUM(AO15:AO34)</f>
        <v>8013590.6200000001</v>
      </c>
      <c r="AP35" s="1"/>
      <c r="AQ35" s="1">
        <f>SUM(AQ15:AQ34)</f>
        <v>2211056.0699999998</v>
      </c>
      <c r="AR35" s="1"/>
      <c r="AS35" s="1">
        <f>SUM(AS15:AS34)</f>
        <v>363340.9</v>
      </c>
      <c r="AT35" s="1"/>
      <c r="AU35" s="1">
        <f>SUM(AU15:AU34)</f>
        <v>452348.37</v>
      </c>
      <c r="AV35" s="1"/>
      <c r="AW35" s="1">
        <f>SUM(AW15:AW34)</f>
        <v>0</v>
      </c>
      <c r="AX35" s="1"/>
      <c r="AY35" s="1">
        <f>SUM(AY15:AY34)</f>
        <v>1883005.2</v>
      </c>
      <c r="AZ35" s="1"/>
      <c r="BA35" s="1">
        <f>SUM(BA15:BA34)</f>
        <v>50287.56</v>
      </c>
      <c r="BB35" s="1"/>
      <c r="BC35" s="1">
        <f>SUM(BC15:BC34)</f>
        <v>797204.76</v>
      </c>
      <c r="BD35" s="1"/>
    </row>
    <row r="36" spans="18:57" x14ac:dyDescent="0.4">
      <c r="U36" s="1"/>
      <c r="V36" s="1"/>
      <c r="W36" s="1" t="s">
        <v>2815</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8:57" x14ac:dyDescent="0.4">
      <c r="U37" s="1"/>
      <c r="V37" s="1" t="s">
        <v>2887</v>
      </c>
      <c r="W37" s="35">
        <f>SUM(AA35:AO35)</f>
        <v>115114379.06999999</v>
      </c>
      <c r="X37" s="1"/>
      <c r="Y37" s="325">
        <f>SUM(AA37:AO37)</f>
        <v>1</v>
      </c>
      <c r="Z37" s="1"/>
      <c r="AA37" s="232">
        <f>AA35/$W$37</f>
        <v>5.1371132327474229E-4</v>
      </c>
      <c r="AB37" s="1"/>
      <c r="AC37" s="232">
        <f>AC35/$W$37</f>
        <v>8.9484075171322564E-2</v>
      </c>
      <c r="AD37" s="1"/>
      <c r="AE37" s="232">
        <f>AE35/$W$37</f>
        <v>0.62711438782206341</v>
      </c>
      <c r="AF37" s="1"/>
      <c r="AG37" s="232">
        <f>AG35/$W$37</f>
        <v>8.8693415301241044E-2</v>
      </c>
      <c r="AH37" s="1"/>
      <c r="AI37" s="232">
        <f>AI35/$W$37</f>
        <v>4.9981103025377248E-2</v>
      </c>
      <c r="AJ37" s="1"/>
      <c r="AK37" s="232">
        <f>AK35/$W$37</f>
        <v>1.092632145663712E-2</v>
      </c>
      <c r="AL37" s="1"/>
      <c r="AM37" s="232">
        <f>AM35/$W$37</f>
        <v>6.3672827488761435E-2</v>
      </c>
      <c r="AN37" s="1"/>
      <c r="AO37" s="232">
        <f>AO35/$W$37</f>
        <v>6.9614158411322444E-2</v>
      </c>
      <c r="AP37" s="1"/>
      <c r="AQ37" s="1"/>
      <c r="AR37" s="1"/>
      <c r="AS37" s="1"/>
      <c r="AT37" s="1"/>
      <c r="AU37" s="1"/>
      <c r="AV37" s="1"/>
      <c r="AW37" s="1"/>
      <c r="AX37" s="1"/>
      <c r="AY37" s="1"/>
      <c r="AZ37" s="1"/>
      <c r="BA37" s="1"/>
      <c r="BB37" s="1"/>
      <c r="BC37" s="1"/>
      <c r="BD37" s="1"/>
    </row>
    <row r="38" spans="18:57" x14ac:dyDescent="0.4">
      <c r="R38" t="s">
        <v>2886</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8:57" x14ac:dyDescent="0.4">
      <c r="R39" t="s">
        <v>2865</v>
      </c>
      <c r="U39" s="35">
        <f>AQ32</f>
        <v>2211056.0699999998</v>
      </c>
      <c r="V39" s="1"/>
      <c r="W39" s="1" t="s">
        <v>2887</v>
      </c>
      <c r="X39" s="1"/>
      <c r="Y39" s="1">
        <f>SUM(AA39:AO39)</f>
        <v>3026745.3399999994</v>
      </c>
      <c r="Z39" s="1"/>
      <c r="AA39" s="1">
        <f>AA37*$U$43</f>
        <v>1554.8733538270596</v>
      </c>
      <c r="AB39" s="1"/>
      <c r="AC39" s="1">
        <f>AC37*$U$43</f>
        <v>270845.50752901024</v>
      </c>
      <c r="AD39" s="1"/>
      <c r="AE39" s="1">
        <f>AE37*$U$43</f>
        <v>1898115.5509873831</v>
      </c>
      <c r="AF39" s="1"/>
      <c r="AG39" s="1">
        <f>AG37*$U$43</f>
        <v>268452.38145171601</v>
      </c>
      <c r="AH39" s="1"/>
      <c r="AI39" s="1">
        <f>AI37*$U$43</f>
        <v>151280.07067012048</v>
      </c>
      <c r="AJ39" s="1"/>
      <c r="AK39" s="1">
        <f>AK37*$U$43</f>
        <v>33071.19255221841</v>
      </c>
      <c r="AL39" s="1"/>
      <c r="AM39" s="1">
        <f>AM37*$U$43</f>
        <v>192721.43388623255</v>
      </c>
      <c r="AN39" s="1"/>
      <c r="AO39" s="1">
        <f>AO37*$U$43</f>
        <v>210704.32956949199</v>
      </c>
      <c r="AP39" s="1"/>
      <c r="AQ39" s="1"/>
      <c r="AR39" s="1"/>
      <c r="AS39" s="1"/>
      <c r="AT39" s="1"/>
      <c r="AU39" s="1"/>
      <c r="AV39" s="1"/>
      <c r="AW39" s="1"/>
      <c r="AX39" s="1"/>
      <c r="AY39" s="1"/>
      <c r="AZ39" s="1"/>
      <c r="BA39" s="1"/>
      <c r="BB39" s="1"/>
      <c r="BC39" s="1"/>
      <c r="BD39" s="1"/>
    </row>
    <row r="40" spans="18:57" x14ac:dyDescent="0.4">
      <c r="R40" t="s">
        <v>2883</v>
      </c>
      <c r="U40" s="35">
        <f>AS32</f>
        <v>363340.9</v>
      </c>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8:57" x14ac:dyDescent="0.4">
      <c r="R41" t="s">
        <v>2884</v>
      </c>
      <c r="U41" s="233">
        <f>AU32</f>
        <v>452348.37</v>
      </c>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8:57" x14ac:dyDescent="0.4">
      <c r="V42" s="1"/>
      <c r="W42" s="1"/>
      <c r="X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8:57" ht="16.5" thickBot="1" x14ac:dyDescent="0.45">
      <c r="R43" t="s">
        <v>2886</v>
      </c>
      <c r="U43" s="231">
        <f>SUM(U39:U42)</f>
        <v>3026745.34</v>
      </c>
      <c r="V43" s="1"/>
      <c r="W43" s="1"/>
      <c r="X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8:57" ht="16.5" thickTop="1" x14ac:dyDescent="0.4">
      <c r="V44" s="1"/>
      <c r="W44" s="1" t="s">
        <v>2815</v>
      </c>
      <c r="X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8:57" x14ac:dyDescent="0.4">
      <c r="U45" s="1"/>
      <c r="V45" s="1" t="s">
        <v>2888</v>
      </c>
      <c r="W45" s="1">
        <f>SUM(AA35:AO35)+SUM(BA35:BC35)</f>
        <v>115961871.38999999</v>
      </c>
      <c r="X45" s="1"/>
      <c r="Y45" s="326">
        <f>SUM(AA45:BC45)</f>
        <v>1.0000000000000002</v>
      </c>
      <c r="AA45" s="232">
        <f>AA35/$W$45</f>
        <v>5.0995693059416747E-4</v>
      </c>
      <c r="AB45" s="1"/>
      <c r="AC45" s="232">
        <f>AC35/$W$45</f>
        <v>8.8830092396114113E-2</v>
      </c>
      <c r="AD45" s="1"/>
      <c r="AE45" s="232">
        <f>AE35/$W$45</f>
        <v>0.62253120352993307</v>
      </c>
      <c r="AF45" s="1"/>
      <c r="AG45" s="232">
        <f>AG35/$W$45</f>
        <v>8.8045210961302689E-2</v>
      </c>
      <c r="AH45" s="1"/>
      <c r="AI45" s="232">
        <f>AI35/$W$45</f>
        <v>4.9615822606465444E-2</v>
      </c>
      <c r="AJ45" s="1"/>
      <c r="AK45" s="232">
        <f>AK35/$W$45</f>
        <v>1.0846467851229113E-2</v>
      </c>
      <c r="AL45" s="1"/>
      <c r="AM45" s="232">
        <f>AM35/$W$45</f>
        <v>6.3207482874686305E-2</v>
      </c>
      <c r="AN45" s="1"/>
      <c r="AO45" s="232">
        <f>AO35/$W$45</f>
        <v>6.9105392349601696E-2</v>
      </c>
      <c r="AP45" s="1"/>
      <c r="AQ45" s="1"/>
      <c r="AR45" s="1"/>
      <c r="AS45" s="1"/>
      <c r="AT45" s="1"/>
      <c r="AU45" s="1"/>
      <c r="AV45" s="1"/>
      <c r="AW45" s="1"/>
      <c r="AX45" s="1"/>
      <c r="AY45" s="1"/>
      <c r="AZ45" s="1"/>
      <c r="BA45" s="232">
        <f>BA35/$W$45</f>
        <v>4.3365598879371452E-4</v>
      </c>
      <c r="BB45" s="1"/>
      <c r="BC45" s="232">
        <f>BC35/$W$45</f>
        <v>6.8747145112798454E-3</v>
      </c>
      <c r="BD45" s="1"/>
    </row>
    <row r="46" spans="18:57" x14ac:dyDescent="0.4">
      <c r="R46" t="s">
        <v>2882</v>
      </c>
      <c r="U46" s="1"/>
      <c r="V46" s="1"/>
      <c r="W46" s="1"/>
      <c r="X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8:57" x14ac:dyDescent="0.4">
      <c r="R47" t="s">
        <v>2862</v>
      </c>
      <c r="U47" s="1">
        <f>U18</f>
        <v>432182.01999999996</v>
      </c>
      <c r="V47" s="1"/>
      <c r="W47" s="1" t="s">
        <v>2888</v>
      </c>
      <c r="X47" s="1"/>
      <c r="Y47" s="1">
        <f>SUM(AA47:BC47)</f>
        <v>2634431.9600000004</v>
      </c>
      <c r="Z47" s="1"/>
      <c r="AA47" s="1">
        <f>AA45*$U$51</f>
        <v>1343.4468361807765</v>
      </c>
      <c r="AB47" s="1"/>
      <c r="AC47" s="1">
        <f>AC45*$U$51</f>
        <v>234016.834418076</v>
      </c>
      <c r="AD47" s="1"/>
      <c r="AE47" s="1">
        <f>AE45*$U$51</f>
        <v>1640016.0986765204</v>
      </c>
      <c r="AF47" s="1"/>
      <c r="AG47" s="1">
        <f>AG45*$U$51</f>
        <v>231949.11768139811</v>
      </c>
      <c r="AH47" s="1"/>
      <c r="AI47" s="1">
        <f>AI45*$U$51</f>
        <v>130709.50879616306</v>
      </c>
      <c r="AJ47" s="1"/>
      <c r="AK47" s="1">
        <f>AK45*$U$51</f>
        <v>28574.2815603905</v>
      </c>
      <c r="AL47" s="1"/>
      <c r="AM47" s="1">
        <f>AM45*$U$51</f>
        <v>166515.81299622628</v>
      </c>
      <c r="AN47" s="1"/>
      <c r="AO47" s="1">
        <f>AO45*$U$51</f>
        <v>182053.45421413021</v>
      </c>
      <c r="AP47" s="1"/>
      <c r="AQ47" s="1"/>
      <c r="AR47" s="1"/>
      <c r="AS47" s="1"/>
      <c r="AT47" s="1"/>
      <c r="AU47" s="1"/>
      <c r="AV47" s="1"/>
      <c r="AW47" s="1"/>
      <c r="AX47" s="1"/>
      <c r="AY47" s="1"/>
      <c r="AZ47" s="1"/>
      <c r="BA47" s="1">
        <f>BA45*$U$51</f>
        <v>1142.4371965235634</v>
      </c>
      <c r="BB47" s="1"/>
      <c r="BC47" s="1">
        <f>BC45*$U$51</f>
        <v>18110.967624391404</v>
      </c>
      <c r="BD47" s="1"/>
    </row>
    <row r="48" spans="18:57" x14ac:dyDescent="0.4">
      <c r="R48" t="s">
        <v>2587</v>
      </c>
      <c r="U48" s="1">
        <f>U25</f>
        <v>319244.74000000005</v>
      </c>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8:57" x14ac:dyDescent="0.4">
      <c r="R49" t="s">
        <v>2870</v>
      </c>
      <c r="U49" s="60">
        <f>AY32</f>
        <v>1883005.2</v>
      </c>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row>
    <row r="50" spans="18:57" x14ac:dyDescent="0.4">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row>
    <row r="51" spans="18:57" ht="16.5" thickBot="1" x14ac:dyDescent="0.45">
      <c r="R51" t="s">
        <v>2885</v>
      </c>
      <c r="U51" s="324">
        <f>SUM(U47:U50)</f>
        <v>2634431.96</v>
      </c>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row>
    <row r="52" spans="18:57" ht="16.5" thickTop="1" x14ac:dyDescent="0.4">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row>
    <row r="53" spans="18:57" x14ac:dyDescent="0.4">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row>
    <row r="54" spans="18:57" x14ac:dyDescent="0.4">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row>
    <row r="55" spans="18:57" x14ac:dyDescent="0.4">
      <c r="U55" s="1"/>
      <c r="V55" s="20" t="s">
        <v>2890</v>
      </c>
      <c r="W55" s="20">
        <f>SUM(Y55:BC55)</f>
        <v>121623048.68999998</v>
      </c>
      <c r="X55" s="20"/>
      <c r="Y55" s="20"/>
      <c r="Z55" s="20"/>
      <c r="AA55" s="20">
        <f>AA35+AA39+AA47</f>
        <v>62033.880190007832</v>
      </c>
      <c r="AB55" s="20"/>
      <c r="AC55" s="20">
        <f>AC35+AC39+AC47</f>
        <v>10805766.091947086</v>
      </c>
      <c r="AD55" s="20"/>
      <c r="AE55" s="20">
        <f>AE35+AE39+AE47</f>
        <v>75728015.009663895</v>
      </c>
      <c r="AF55" s="20"/>
      <c r="AG55" s="20">
        <f>AG35+AG39+AG47</f>
        <v>10710288.929133115</v>
      </c>
      <c r="AH55" s="20"/>
      <c r="AI55" s="20">
        <f>AI35+AI39+AI47</f>
        <v>6035533.219466283</v>
      </c>
      <c r="AJ55" s="20"/>
      <c r="AK55" s="20">
        <f>AK35+AK39+AK47</f>
        <v>1319422.1841126089</v>
      </c>
      <c r="AL55" s="20"/>
      <c r="AM55" s="20">
        <f>AM35+AM39+AM47</f>
        <v>7688895.2468824591</v>
      </c>
      <c r="AN55" s="20"/>
      <c r="AO55" s="20">
        <f>AO35+AO39+AO47</f>
        <v>8406348.4037836213</v>
      </c>
      <c r="AP55" s="20"/>
      <c r="AQ55" s="20"/>
      <c r="AR55" s="20"/>
      <c r="AS55" s="20"/>
      <c r="AT55" s="20"/>
      <c r="AU55" s="20"/>
      <c r="AV55" s="20"/>
      <c r="AW55" s="20"/>
      <c r="AX55" s="20"/>
      <c r="AY55" s="20"/>
      <c r="AZ55" s="20"/>
      <c r="BA55" s="20">
        <f>BA35+BA39+BA47</f>
        <v>51429.99719652356</v>
      </c>
      <c r="BB55" s="20"/>
      <c r="BC55" s="20">
        <f>BC35+BC39+BC47</f>
        <v>815315.72762439144</v>
      </c>
    </row>
    <row r="56" spans="18:57" x14ac:dyDescent="0.4">
      <c r="U56" s="1"/>
      <c r="V56" s="1" t="s">
        <v>2891</v>
      </c>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row>
    <row r="57" spans="18:57" x14ac:dyDescent="0.4">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row>
    <row r="58" spans="18:57" x14ac:dyDescent="0.4">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row>
    <row r="59" spans="18:57" x14ac:dyDescent="0.4">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row>
    <row r="60" spans="18:57" x14ac:dyDescent="0.4">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row>
    <row r="61" spans="18:57" x14ac:dyDescent="0.4">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row>
    <row r="62" spans="18:57" x14ac:dyDescent="0.4">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row>
    <row r="63" spans="18:57" x14ac:dyDescent="0.4">
      <c r="R63" t="s">
        <v>43</v>
      </c>
      <c r="U63" s="1">
        <f>SUM(W63:BC64)</f>
        <v>121623049</v>
      </c>
      <c r="V63" s="1"/>
      <c r="W63" s="1">
        <v>597897</v>
      </c>
      <c r="X63" s="1"/>
      <c r="Y63" s="1">
        <v>737801</v>
      </c>
      <c r="Z63" s="1"/>
      <c r="AA63" s="1">
        <v>59137</v>
      </c>
      <c r="AB63" s="1"/>
      <c r="AC63" s="1">
        <v>10216355</v>
      </c>
      <c r="AD63" s="1"/>
      <c r="AE63" s="1">
        <v>72189883</v>
      </c>
      <c r="AF63" s="1"/>
      <c r="AG63" s="1">
        <v>10147939</v>
      </c>
      <c r="AH63" s="1"/>
      <c r="AI63" s="1">
        <v>5713544</v>
      </c>
      <c r="AJ63" s="1"/>
      <c r="AK63" s="1">
        <v>1257776</v>
      </c>
      <c r="AL63" s="1"/>
      <c r="AM63" s="1">
        <v>7329658</v>
      </c>
      <c r="AN63" s="1"/>
      <c r="AO63" s="1">
        <v>8008141</v>
      </c>
      <c r="AP63" s="1"/>
      <c r="AQ63" s="1">
        <v>2211055</v>
      </c>
      <c r="AR63" s="1"/>
      <c r="AS63" s="1">
        <v>363341</v>
      </c>
      <c r="AT63" s="1"/>
      <c r="AU63" s="1">
        <v>452348</v>
      </c>
      <c r="AV63" s="1"/>
      <c r="AW63" s="1">
        <v>1485</v>
      </c>
      <c r="AX63" s="1"/>
      <c r="AY63" s="1">
        <v>1883007</v>
      </c>
      <c r="AZ63" s="1"/>
      <c r="BA63" s="1"/>
      <c r="BB63" s="1"/>
      <c r="BC63" s="1">
        <v>281661</v>
      </c>
    </row>
    <row r="64" spans="18:57" x14ac:dyDescent="0.4">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v>172021</v>
      </c>
      <c r="BE64" t="s">
        <v>2878</v>
      </c>
    </row>
    <row r="65" spans="18:55" x14ac:dyDescent="0.4">
      <c r="R65" t="s">
        <v>2876</v>
      </c>
      <c r="U65" s="1">
        <v>121451030.34</v>
      </c>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row>
    <row r="66" spans="18:55" x14ac:dyDescent="0.4">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row>
    <row r="67" spans="18:55" x14ac:dyDescent="0.4">
      <c r="R67" t="s">
        <v>2877</v>
      </c>
      <c r="U67" s="1">
        <f>U63-U65</f>
        <v>172018.65999999642</v>
      </c>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row>
    <row r="68" spans="18:55" x14ac:dyDescent="0.4">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row>
    <row r="69" spans="18:55" x14ac:dyDescent="0.4">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row>
    <row r="70" spans="18:55" x14ac:dyDescent="0.4">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row>
  </sheetData>
  <mergeCells count="3">
    <mergeCell ref="A3:M3"/>
    <mergeCell ref="A4:M4"/>
    <mergeCell ref="A5:M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26125-05BA-4ED6-B706-A3783DCDE359}">
  <dimension ref="L6:AH44"/>
  <sheetViews>
    <sheetView workbookViewId="0"/>
  </sheetViews>
  <sheetFormatPr defaultRowHeight="16" x14ac:dyDescent="0.4"/>
  <cols>
    <col min="12" max="12" width="16.4140625" bestFit="1" customWidth="1"/>
    <col min="13" max="13" width="9.58203125" bestFit="1" customWidth="1"/>
    <col min="14" max="14" width="0.9140625" customWidth="1"/>
    <col min="15" max="15" width="9.1640625" bestFit="1" customWidth="1"/>
    <col min="16" max="16" width="0.9140625" customWidth="1"/>
    <col min="17" max="17" width="12.08203125" bestFit="1" customWidth="1"/>
    <col min="18" max="18" width="0.9140625" customWidth="1"/>
    <col min="19" max="19" width="8.58203125" bestFit="1" customWidth="1"/>
    <col min="20" max="20" width="0.9140625" customWidth="1"/>
    <col min="21" max="21" width="7.58203125" bestFit="1" customWidth="1"/>
    <col min="22" max="22" width="0.9140625" customWidth="1"/>
    <col min="23" max="23" width="8.58203125" bestFit="1" customWidth="1"/>
    <col min="24" max="24" width="0.9140625" customWidth="1"/>
    <col min="25" max="25" width="9.58203125" bestFit="1" customWidth="1"/>
    <col min="31" max="31" width="11.08203125" bestFit="1" customWidth="1"/>
    <col min="32" max="32" width="15.1640625" customWidth="1"/>
    <col min="33" max="33" width="11.08203125" bestFit="1" customWidth="1"/>
    <col min="34" max="34" width="10.08203125" bestFit="1" customWidth="1"/>
  </cols>
  <sheetData>
    <row r="6" spans="12:33" x14ac:dyDescent="0.4">
      <c r="M6" s="400" t="s">
        <v>571</v>
      </c>
      <c r="N6" s="400"/>
      <c r="O6" s="400"/>
      <c r="P6" s="400"/>
      <c r="Q6" s="400"/>
      <c r="R6" s="400"/>
      <c r="S6" s="400"/>
      <c r="T6" s="400"/>
      <c r="U6" s="400"/>
      <c r="V6" s="400"/>
      <c r="W6" s="400"/>
      <c r="X6" s="41"/>
    </row>
    <row r="7" spans="12:33" x14ac:dyDescent="0.4">
      <c r="O7" s="400" t="s">
        <v>17</v>
      </c>
      <c r="P7" s="400"/>
      <c r="Q7" s="400"/>
      <c r="R7" s="400"/>
      <c r="S7" s="400"/>
      <c r="T7" s="400"/>
      <c r="U7" s="400"/>
      <c r="V7" s="2"/>
    </row>
    <row r="8" spans="12:33" x14ac:dyDescent="0.4">
      <c r="Q8" s="2" t="s">
        <v>464</v>
      </c>
      <c r="R8" s="2"/>
      <c r="S8" s="2"/>
      <c r="T8" s="2"/>
      <c r="U8" s="2"/>
      <c r="V8" s="2"/>
      <c r="W8" s="2"/>
      <c r="X8" s="2"/>
    </row>
    <row r="9" spans="12:33" x14ac:dyDescent="0.4">
      <c r="M9" s="21" t="s">
        <v>25</v>
      </c>
      <c r="O9" s="21" t="s">
        <v>459</v>
      </c>
      <c r="P9" s="2"/>
      <c r="Q9" s="21" t="s">
        <v>2825</v>
      </c>
      <c r="R9" s="2"/>
      <c r="S9" s="21" t="s">
        <v>460</v>
      </c>
      <c r="T9" s="2"/>
      <c r="U9" s="21" t="s">
        <v>2826</v>
      </c>
      <c r="V9" s="2"/>
      <c r="W9" s="21" t="s">
        <v>49</v>
      </c>
      <c r="X9" s="2"/>
      <c r="Y9" s="21" t="s">
        <v>25</v>
      </c>
    </row>
    <row r="10" spans="12:33" x14ac:dyDescent="0.4">
      <c r="L10" s="270" t="s">
        <v>2820</v>
      </c>
    </row>
    <row r="11" spans="12:33" x14ac:dyDescent="0.4">
      <c r="L11" t="s">
        <v>459</v>
      </c>
      <c r="M11" s="8">
        <v>11813</v>
      </c>
      <c r="N11" s="8"/>
      <c r="O11" s="8">
        <f>M11</f>
        <v>11813</v>
      </c>
      <c r="P11" s="8"/>
      <c r="Q11" s="8"/>
      <c r="R11" s="8"/>
      <c r="S11" s="8"/>
      <c r="T11" s="8"/>
      <c r="U11" s="8"/>
      <c r="V11" s="8"/>
      <c r="W11" s="8"/>
      <c r="X11" s="8"/>
      <c r="Y11" s="24">
        <f t="shared" ref="Y11:Y16" si="0">SUM(O11:W11)</f>
        <v>11813</v>
      </c>
    </row>
    <row r="12" spans="12:33" x14ac:dyDescent="0.4">
      <c r="L12" t="s">
        <v>574</v>
      </c>
      <c r="M12" s="8">
        <v>304387</v>
      </c>
      <c r="N12" s="8"/>
      <c r="O12" s="8"/>
      <c r="P12" s="8"/>
      <c r="Q12" s="8">
        <f>M12</f>
        <v>304387</v>
      </c>
      <c r="R12" s="8"/>
      <c r="S12" s="8"/>
      <c r="T12" s="8"/>
      <c r="U12" s="8"/>
      <c r="V12" s="8"/>
      <c r="W12" s="8"/>
      <c r="X12" s="8"/>
      <c r="Y12" s="24">
        <f t="shared" si="0"/>
        <v>304387</v>
      </c>
      <c r="AC12" t="s">
        <v>2827</v>
      </c>
      <c r="AG12" t="s">
        <v>25</v>
      </c>
    </row>
    <row r="13" spans="12:33" x14ac:dyDescent="0.4">
      <c r="L13" t="s">
        <v>565</v>
      </c>
      <c r="M13" s="8">
        <v>69199</v>
      </c>
      <c r="N13" s="8"/>
      <c r="O13" s="8"/>
      <c r="P13" s="8"/>
      <c r="Q13" s="8">
        <f>M13</f>
        <v>69199</v>
      </c>
      <c r="R13" s="8"/>
      <c r="S13" s="8"/>
      <c r="T13" s="8"/>
      <c r="U13" s="8"/>
      <c r="V13" s="8"/>
      <c r="W13" s="8"/>
      <c r="X13" s="8"/>
      <c r="Y13" s="24">
        <f t="shared" si="0"/>
        <v>69199</v>
      </c>
    </row>
    <row r="14" spans="12:33" x14ac:dyDescent="0.4">
      <c r="L14" t="s">
        <v>278</v>
      </c>
      <c r="M14" s="8">
        <v>160331</v>
      </c>
      <c r="N14" s="8"/>
      <c r="O14" s="8"/>
      <c r="P14" s="8"/>
      <c r="Q14" s="8"/>
      <c r="R14" s="8"/>
      <c r="S14" s="8">
        <f>M14</f>
        <v>160331</v>
      </c>
      <c r="T14" s="8"/>
      <c r="U14" s="8"/>
      <c r="V14" s="8"/>
      <c r="W14" s="8"/>
      <c r="X14" s="8"/>
      <c r="Y14" s="24">
        <f t="shared" si="0"/>
        <v>160331</v>
      </c>
      <c r="AC14" t="s">
        <v>2828</v>
      </c>
    </row>
    <row r="15" spans="12:33" x14ac:dyDescent="0.4">
      <c r="L15" t="s">
        <v>2821</v>
      </c>
      <c r="M15" s="8">
        <v>52928</v>
      </c>
      <c r="N15" s="8"/>
      <c r="O15" s="8">
        <f>AH41</f>
        <v>14492.933564573939</v>
      </c>
      <c r="P15" s="8"/>
      <c r="Q15" s="8">
        <f>AH42</f>
        <v>38435.066435426059</v>
      </c>
      <c r="R15" s="8"/>
      <c r="S15" s="8"/>
      <c r="T15" s="8"/>
      <c r="U15" s="8"/>
      <c r="V15" s="8"/>
      <c r="W15" s="8"/>
      <c r="X15" s="8"/>
      <c r="Y15" s="24">
        <f t="shared" si="0"/>
        <v>52928</v>
      </c>
      <c r="AC15" t="s">
        <v>467</v>
      </c>
      <c r="AE15" t="s">
        <v>17</v>
      </c>
      <c r="AF15" t="s">
        <v>49</v>
      </c>
    </row>
    <row r="16" spans="12:33" x14ac:dyDescent="0.4">
      <c r="L16" t="s">
        <v>2822</v>
      </c>
      <c r="M16" s="8">
        <v>29209</v>
      </c>
      <c r="N16" s="8"/>
      <c r="O16" s="8"/>
      <c r="P16" s="8"/>
      <c r="Q16" s="8">
        <f>M16</f>
        <v>29209</v>
      </c>
      <c r="R16" s="8"/>
      <c r="S16" s="8"/>
      <c r="T16" s="8"/>
      <c r="U16" s="8"/>
      <c r="V16" s="8"/>
      <c r="W16" s="8"/>
      <c r="X16" s="8"/>
      <c r="Y16" s="24">
        <f t="shared" si="0"/>
        <v>29209</v>
      </c>
      <c r="AE16" s="1">
        <v>143874</v>
      </c>
      <c r="AF16" s="1">
        <v>19494</v>
      </c>
      <c r="AG16" s="1">
        <f>AE16+AF16</f>
        <v>163368</v>
      </c>
    </row>
    <row r="17" spans="12:34" x14ac:dyDescent="0.4">
      <c r="M17" s="8"/>
      <c r="N17" s="8"/>
      <c r="O17" s="8"/>
      <c r="P17" s="8"/>
      <c r="Q17" s="8"/>
      <c r="R17" s="8"/>
      <c r="S17" s="8"/>
      <c r="T17" s="8"/>
      <c r="U17" s="8"/>
      <c r="V17" s="8"/>
      <c r="W17" s="8"/>
      <c r="X17" s="8"/>
      <c r="Y17" s="24"/>
      <c r="AE17">
        <f>AE16/AG16</f>
        <v>0.88067430586161299</v>
      </c>
      <c r="AF17">
        <f>AF16/AG16</f>
        <v>0.11932569413838695</v>
      </c>
    </row>
    <row r="18" spans="12:34" x14ac:dyDescent="0.4">
      <c r="L18" s="270" t="s">
        <v>49</v>
      </c>
      <c r="M18" s="8">
        <v>125458</v>
      </c>
      <c r="N18" s="8"/>
      <c r="O18" s="8"/>
      <c r="P18" s="8"/>
      <c r="Q18" s="8"/>
      <c r="R18" s="8"/>
      <c r="S18" s="8"/>
      <c r="T18" s="8"/>
      <c r="U18" s="8"/>
      <c r="V18" s="8"/>
      <c r="W18" s="8">
        <f>M18</f>
        <v>125458</v>
      </c>
      <c r="X18" s="8"/>
      <c r="Y18" s="24">
        <f>SUM(O18:W18)</f>
        <v>125458</v>
      </c>
      <c r="AC18" t="s">
        <v>2829</v>
      </c>
    </row>
    <row r="19" spans="12:34" x14ac:dyDescent="0.4">
      <c r="M19" s="8"/>
      <c r="N19" s="8"/>
      <c r="O19" s="8"/>
      <c r="P19" s="8"/>
      <c r="Q19" s="8"/>
      <c r="R19" s="8"/>
      <c r="S19" s="8"/>
      <c r="T19" s="8"/>
      <c r="U19" s="8"/>
      <c r="V19" s="8"/>
      <c r="W19" s="8"/>
      <c r="X19" s="8"/>
      <c r="Y19" s="24"/>
    </row>
    <row r="20" spans="12:34" x14ac:dyDescent="0.4">
      <c r="L20" s="270" t="s">
        <v>2823</v>
      </c>
      <c r="M20" s="8"/>
      <c r="N20" s="8"/>
      <c r="O20" s="8"/>
      <c r="P20" s="8"/>
      <c r="Q20" s="8"/>
      <c r="R20" s="8"/>
      <c r="S20" s="8"/>
      <c r="T20" s="8"/>
      <c r="U20" s="8"/>
      <c r="V20" s="8"/>
      <c r="W20" s="8"/>
      <c r="X20" s="8"/>
      <c r="Y20" s="24"/>
    </row>
    <row r="21" spans="12:34" x14ac:dyDescent="0.4">
      <c r="L21" t="s">
        <v>2824</v>
      </c>
      <c r="M21" s="8">
        <v>81823</v>
      </c>
      <c r="N21" s="8"/>
      <c r="O21" s="8">
        <f>AH32</f>
        <v>19731.223160901125</v>
      </c>
      <c r="P21" s="8"/>
      <c r="Q21" s="8">
        <f>AH33</f>
        <v>52328.190567613638</v>
      </c>
      <c r="R21" s="8"/>
      <c r="S21" s="8"/>
      <c r="T21" s="8"/>
      <c r="U21" s="8"/>
      <c r="V21" s="8"/>
      <c r="W21" s="8">
        <f>M21*AF17</f>
        <v>9763.5862714852356</v>
      </c>
      <c r="X21" s="8"/>
      <c r="Y21" s="24">
        <f>SUM(O21:W21)</f>
        <v>81823</v>
      </c>
    </row>
    <row r="22" spans="12:34" x14ac:dyDescent="0.4">
      <c r="L22" t="s">
        <v>526</v>
      </c>
      <c r="M22" s="22">
        <v>37943</v>
      </c>
      <c r="N22" s="8"/>
      <c r="O22" s="22"/>
      <c r="P22" s="8"/>
      <c r="Q22" s="22"/>
      <c r="R22" s="8"/>
      <c r="S22" s="22"/>
      <c r="T22" s="8"/>
      <c r="U22" s="22">
        <f>M22*AE17</f>
        <v>33415.425187307184</v>
      </c>
      <c r="V22" s="8"/>
      <c r="W22" s="22">
        <f>M22*AF17</f>
        <v>4527.5748126928165</v>
      </c>
      <c r="X22" s="8"/>
      <c r="Y22" s="217">
        <f>SUM(O22:W22)</f>
        <v>37943</v>
      </c>
    </row>
    <row r="23" spans="12:34" x14ac:dyDescent="0.4">
      <c r="M23" s="8"/>
      <c r="N23" s="8"/>
      <c r="AC23" t="s">
        <v>2830</v>
      </c>
      <c r="AF23" t="s">
        <v>436</v>
      </c>
      <c r="AG23" t="s">
        <v>2831</v>
      </c>
    </row>
    <row r="24" spans="12:34" x14ac:dyDescent="0.4">
      <c r="L24" t="s">
        <v>25</v>
      </c>
      <c r="M24" s="8">
        <v>873091</v>
      </c>
      <c r="N24" s="8"/>
      <c r="O24" s="24">
        <f>SUM(O11:P23)</f>
        <v>46037.15672547507</v>
      </c>
      <c r="Q24" s="24">
        <f>SUM(Q11:R23)</f>
        <v>493558.2570030397</v>
      </c>
      <c r="S24" s="24">
        <f>SUM(S11:T23)</f>
        <v>160331</v>
      </c>
      <c r="T24" s="24"/>
      <c r="U24" s="24">
        <f>SUM(U11:V23)</f>
        <v>33415.425187307184</v>
      </c>
      <c r="W24" s="24">
        <f>SUM(W11:X23)</f>
        <v>139749.16108417805</v>
      </c>
      <c r="Y24" s="24">
        <f>SUM(Y11:Y23)</f>
        <v>873091</v>
      </c>
      <c r="AC24" t="s">
        <v>2832</v>
      </c>
      <c r="AG24">
        <f>M21</f>
        <v>81823</v>
      </c>
    </row>
    <row r="25" spans="12:34" x14ac:dyDescent="0.4">
      <c r="L25" t="s">
        <v>56</v>
      </c>
      <c r="M25" s="319">
        <f>SUM(O25:W25)</f>
        <v>1</v>
      </c>
      <c r="O25" s="112">
        <f>O24/$M$24</f>
        <v>5.2728932866648572E-2</v>
      </c>
      <c r="P25" s="5"/>
      <c r="Q25" s="112">
        <f>Q24/$M$24</f>
        <v>0.56529990230461624</v>
      </c>
      <c r="R25" s="5"/>
      <c r="S25" s="112">
        <f>S24/$M$24</f>
        <v>0.18363607000873908</v>
      </c>
      <c r="T25" s="5"/>
      <c r="U25" s="112">
        <f>U24/$M$24</f>
        <v>3.8272557141589121E-2</v>
      </c>
      <c r="V25" s="5"/>
      <c r="W25" s="112">
        <f>W24/$M$24</f>
        <v>0.160062537678407</v>
      </c>
      <c r="Y25" s="217">
        <f>SUM(O24:W24)</f>
        <v>873091</v>
      </c>
      <c r="AC25" t="s">
        <v>2833</v>
      </c>
      <c r="AG25" s="24">
        <f>-W21</f>
        <v>-9763.5862714852356</v>
      </c>
    </row>
    <row r="26" spans="12:34" x14ac:dyDescent="0.4">
      <c r="AC26" t="s">
        <v>2831</v>
      </c>
      <c r="AG26" s="24">
        <f>AG24+AG25</f>
        <v>72059.413728514759</v>
      </c>
    </row>
    <row r="27" spans="12:34" ht="16.5" thickBot="1" x14ac:dyDescent="0.45">
      <c r="L27" t="s">
        <v>2836</v>
      </c>
      <c r="M27" s="31">
        <f>'Water Pro forma Rev Req'!F54</f>
        <v>198153</v>
      </c>
      <c r="N27" s="9"/>
      <c r="O27" s="31">
        <f>O25*$M$27</f>
        <v>10448.396234325015</v>
      </c>
      <c r="P27" s="9"/>
      <c r="Q27" s="31">
        <f>Q25*$M$27</f>
        <v>112015.87154136662</v>
      </c>
      <c r="R27" s="9"/>
      <c r="S27" s="31">
        <f>S25*$M$27</f>
        <v>36388.038180441676</v>
      </c>
      <c r="T27" s="9"/>
      <c r="U27" s="31">
        <f>U25*$M$27</f>
        <v>7583.8220152773092</v>
      </c>
      <c r="V27" s="9"/>
      <c r="W27" s="31">
        <f>W25*$M$27</f>
        <v>31716.872028589383</v>
      </c>
      <c r="X27" s="9"/>
      <c r="Y27" s="31">
        <f>SUM(O27:W27)</f>
        <v>198153.00000000003</v>
      </c>
    </row>
    <row r="28" spans="12:34" ht="16.5" thickTop="1" x14ac:dyDescent="0.4"/>
    <row r="29" spans="12:34" x14ac:dyDescent="0.4">
      <c r="AC29" t="s">
        <v>2834</v>
      </c>
    </row>
    <row r="31" spans="12:34" x14ac:dyDescent="0.4">
      <c r="N31" s="41"/>
      <c r="AF31" t="s">
        <v>436</v>
      </c>
      <c r="AG31" t="s">
        <v>537</v>
      </c>
      <c r="AH31" t="s">
        <v>594</v>
      </c>
    </row>
    <row r="32" spans="12:34" x14ac:dyDescent="0.4">
      <c r="AC32" t="s">
        <v>459</v>
      </c>
      <c r="AF32" s="1">
        <f>'Wages, Bene Pro forma, Temp Emp'!U171</f>
        <v>39395.501540744284</v>
      </c>
      <c r="AG32">
        <f>AF32/AF35</f>
        <v>0.27381881339249986</v>
      </c>
      <c r="AH32" s="35">
        <f>$AG$26*AG32</f>
        <v>19731.223160901125</v>
      </c>
    </row>
    <row r="33" spans="29:34" x14ac:dyDescent="0.4">
      <c r="AC33" t="s">
        <v>574</v>
      </c>
      <c r="AF33" s="1">
        <f>'Wages, Bene Pro forma, Temp Emp'!U173</f>
        <v>104478.84022799908</v>
      </c>
      <c r="AG33">
        <f>AF33/AF35</f>
        <v>0.7261811866075002</v>
      </c>
      <c r="AH33" s="35">
        <f>$AG$26*AG33</f>
        <v>52328.190567613638</v>
      </c>
    </row>
    <row r="34" spans="29:34" x14ac:dyDescent="0.4">
      <c r="AF34" s="1"/>
    </row>
    <row r="35" spans="29:34" x14ac:dyDescent="0.4">
      <c r="AC35" t="s">
        <v>25</v>
      </c>
      <c r="AF35" s="1">
        <f>SUM(AF32:AF34)</f>
        <v>143874.34176874335</v>
      </c>
      <c r="AG35">
        <f>SUM(AG32:AG34)</f>
        <v>1</v>
      </c>
      <c r="AH35">
        <f>SUM(AH32:AH34)</f>
        <v>72059.413728514759</v>
      </c>
    </row>
    <row r="38" spans="29:34" x14ac:dyDescent="0.4">
      <c r="AC38" t="s">
        <v>2835</v>
      </c>
    </row>
    <row r="40" spans="29:34" x14ac:dyDescent="0.4">
      <c r="AF40" t="s">
        <v>436</v>
      </c>
      <c r="AG40" t="s">
        <v>537</v>
      </c>
      <c r="AH40" t="s">
        <v>594</v>
      </c>
    </row>
    <row r="41" spans="29:34" x14ac:dyDescent="0.4">
      <c r="AC41" t="s">
        <v>459</v>
      </c>
      <c r="AF41" s="1">
        <v>23683</v>
      </c>
      <c r="AG41">
        <f>AF41/AF44</f>
        <v>0.27382356341773617</v>
      </c>
      <c r="AH41" s="35">
        <f>$AH$44*AG41</f>
        <v>14492.933564573939</v>
      </c>
    </row>
    <row r="42" spans="29:34" x14ac:dyDescent="0.4">
      <c r="AC42" t="s">
        <v>574</v>
      </c>
      <c r="AF42" s="1">
        <v>62807</v>
      </c>
      <c r="AG42">
        <f>AF42/AF44</f>
        <v>0.72617643658226383</v>
      </c>
      <c r="AH42" s="35">
        <f>$AH$44*AG42</f>
        <v>38435.066435426059</v>
      </c>
    </row>
    <row r="43" spans="29:34" x14ac:dyDescent="0.4">
      <c r="AF43" s="1"/>
    </row>
    <row r="44" spans="29:34" x14ac:dyDescent="0.4">
      <c r="AC44" t="s">
        <v>25</v>
      </c>
      <c r="AF44" s="1">
        <f>SUM(AF41:AF43)</f>
        <v>86490</v>
      </c>
      <c r="AG44">
        <f>SUM(AG41:AG43)</f>
        <v>1</v>
      </c>
      <c r="AH44" s="24">
        <f>M15</f>
        <v>52928</v>
      </c>
    </row>
  </sheetData>
  <mergeCells count="2">
    <mergeCell ref="O7:U7"/>
    <mergeCell ref="M6:W6"/>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C00AF-E1B6-495E-99E2-DD59FDA2BDF5}">
  <dimension ref="A3:X31"/>
  <sheetViews>
    <sheetView showGridLines="0" workbookViewId="0">
      <selection activeCell="J18" sqref="J18:X26"/>
    </sheetView>
  </sheetViews>
  <sheetFormatPr defaultRowHeight="16" x14ac:dyDescent="0.4"/>
  <cols>
    <col min="2" max="2" width="10.4140625" customWidth="1"/>
    <col min="3" max="3" width="0.9140625" customWidth="1"/>
    <col min="5" max="5" width="0.9140625" customWidth="1"/>
    <col min="6" max="6" width="12.08203125" bestFit="1" customWidth="1"/>
    <col min="10" max="10" width="23" customWidth="1"/>
    <col min="11" max="11" width="0.9140625" customWidth="1"/>
    <col min="12" max="12" width="13.1640625" bestFit="1" customWidth="1"/>
    <col min="13" max="13" width="0.9140625" customWidth="1"/>
    <col min="14" max="14" width="12.08203125" bestFit="1" customWidth="1"/>
    <col min="15" max="15" width="0.9140625" customWidth="1"/>
    <col min="16" max="16" width="12.08203125" bestFit="1" customWidth="1"/>
    <col min="17" max="17" width="0.9140625" customWidth="1"/>
    <col min="18" max="18" width="12.08203125" bestFit="1" customWidth="1"/>
    <col min="19" max="19" width="0.9140625" customWidth="1"/>
    <col min="20" max="20" width="9.6640625" customWidth="1"/>
    <col min="21" max="21" width="0.9140625" customWidth="1"/>
    <col min="22" max="22" width="10" customWidth="1"/>
    <col min="23" max="23" width="1.1640625" customWidth="1"/>
    <col min="24" max="24" width="11.08203125" bestFit="1" customWidth="1"/>
  </cols>
  <sheetData>
    <row r="3" spans="1:22" x14ac:dyDescent="0.4">
      <c r="B3" s="2"/>
      <c r="C3" s="2"/>
      <c r="D3" s="2"/>
      <c r="E3" s="2"/>
      <c r="F3" s="2" t="s">
        <v>625</v>
      </c>
    </row>
    <row r="4" spans="1:22" x14ac:dyDescent="0.4">
      <c r="B4" s="2"/>
      <c r="C4" s="2"/>
      <c r="D4" s="2"/>
      <c r="E4" s="2"/>
      <c r="F4" s="2" t="s">
        <v>579</v>
      </c>
    </row>
    <row r="5" spans="1:22" x14ac:dyDescent="0.4">
      <c r="B5" s="2" t="s">
        <v>2662</v>
      </c>
      <c r="C5" s="2"/>
      <c r="D5" s="2"/>
      <c r="E5" s="2"/>
      <c r="F5" s="2" t="s">
        <v>3262</v>
      </c>
      <c r="N5" s="2" t="s">
        <v>2855</v>
      </c>
    </row>
    <row r="6" spans="1:22" ht="17.5" x14ac:dyDescent="0.55000000000000004">
      <c r="A6" s="331"/>
      <c r="B6" s="286" t="s">
        <v>559</v>
      </c>
      <c r="C6" s="269"/>
      <c r="D6" s="286" t="s">
        <v>537</v>
      </c>
      <c r="E6" s="2"/>
      <c r="F6" s="21" t="s">
        <v>562</v>
      </c>
      <c r="L6" s="2"/>
      <c r="M6" s="2"/>
      <c r="N6" s="2" t="s">
        <v>3263</v>
      </c>
      <c r="O6" s="2"/>
      <c r="P6" s="2" t="s">
        <v>464</v>
      </c>
      <c r="Q6" s="2"/>
      <c r="T6" s="2" t="s">
        <v>461</v>
      </c>
      <c r="V6" s="2" t="s">
        <v>578</v>
      </c>
    </row>
    <row r="7" spans="1:22" x14ac:dyDescent="0.4">
      <c r="A7" s="26" t="s">
        <v>2654</v>
      </c>
      <c r="B7" s="26">
        <v>16680</v>
      </c>
      <c r="C7" s="26"/>
      <c r="D7" s="105">
        <f>B7/B10</f>
        <v>0.88067581837381204</v>
      </c>
      <c r="F7" s="9">
        <f>D7*F10</f>
        <v>134208.82998944033</v>
      </c>
      <c r="L7" s="327" t="s">
        <v>25</v>
      </c>
      <c r="M7" s="230"/>
      <c r="N7" s="327" t="s">
        <v>459</v>
      </c>
      <c r="O7" s="230"/>
      <c r="P7" s="327" t="s">
        <v>2899</v>
      </c>
      <c r="Q7" s="230"/>
      <c r="R7" s="327" t="s">
        <v>460</v>
      </c>
      <c r="S7" s="230"/>
      <c r="T7" s="327" t="s">
        <v>109</v>
      </c>
      <c r="V7" s="327" t="s">
        <v>579</v>
      </c>
    </row>
    <row r="8" spans="1:22" x14ac:dyDescent="0.4">
      <c r="A8" s="26" t="s">
        <v>49</v>
      </c>
      <c r="B8" s="10">
        <v>2260</v>
      </c>
      <c r="C8" s="26"/>
      <c r="D8" s="112">
        <f>B8/B10</f>
        <v>0.11932418162618796</v>
      </c>
      <c r="F8" s="10">
        <f>D8*F10</f>
        <v>18184.170010559661</v>
      </c>
    </row>
    <row r="9" spans="1:22" x14ac:dyDescent="0.4">
      <c r="A9" s="26"/>
      <c r="B9" s="26"/>
      <c r="C9" s="26"/>
      <c r="D9" s="26"/>
      <c r="J9" t="s">
        <v>580</v>
      </c>
      <c r="L9" s="9">
        <f>'Allocation of Debt'!C11</f>
        <v>121623048.69</v>
      </c>
      <c r="M9" s="9"/>
      <c r="N9" s="9">
        <f>'Allocation of Debt'!E11</f>
        <v>10867799.972137094</v>
      </c>
      <c r="O9" s="9"/>
      <c r="P9" s="9">
        <f>'Allocation of Debt'!G11</f>
        <v>93793259.342375904</v>
      </c>
      <c r="Q9" s="9"/>
      <c r="R9" s="9">
        <f>'Allocation of Debt'!I11</f>
        <v>16095243.65066608</v>
      </c>
      <c r="S9" s="9"/>
      <c r="T9" s="9">
        <f>'Allocation of Debt'!K11</f>
        <v>51429.99719652356</v>
      </c>
      <c r="U9" s="9"/>
      <c r="V9" s="9">
        <f>'Allocation of Debt'!M11</f>
        <v>815315.72762439144</v>
      </c>
    </row>
    <row r="10" spans="1:22" ht="16.5" thickBot="1" x14ac:dyDescent="0.45">
      <c r="A10" s="26" t="s">
        <v>25</v>
      </c>
      <c r="B10" s="11">
        <f>SUM(B7:B9)</f>
        <v>18940</v>
      </c>
      <c r="C10" s="26"/>
      <c r="D10" s="273">
        <f>SUM(D7:D9)</f>
        <v>1</v>
      </c>
      <c r="F10" s="31">
        <v>152393</v>
      </c>
      <c r="J10" t="s">
        <v>581</v>
      </c>
      <c r="L10" s="319">
        <f>SUM(N10:V10)</f>
        <v>0.99999999999999989</v>
      </c>
      <c r="N10" s="112">
        <f>N9/$L$9</f>
        <v>8.9356417958553092E-2</v>
      </c>
      <c r="O10" s="5"/>
      <c r="P10" s="112">
        <f>P9/$L$9</f>
        <v>0.77117997248565684</v>
      </c>
      <c r="Q10" s="5"/>
      <c r="R10" s="112">
        <f>R9/$L$9</f>
        <v>0.13233711721608449</v>
      </c>
      <c r="S10" s="5"/>
      <c r="T10" s="112">
        <f>T9/$L$9</f>
        <v>4.2286390409116754E-4</v>
      </c>
      <c r="V10" s="112">
        <f>V9/$L$9</f>
        <v>6.7036284356143403E-3</v>
      </c>
    </row>
    <row r="11" spans="1:22" ht="16.5" thickTop="1" x14ac:dyDescent="0.4"/>
    <row r="12" spans="1:22" ht="16.5" thickBot="1" x14ac:dyDescent="0.45">
      <c r="J12" t="s">
        <v>3265</v>
      </c>
      <c r="L12" s="31">
        <f>F7</f>
        <v>134208.82998944033</v>
      </c>
      <c r="N12" s="31">
        <f>N10*$L$12</f>
        <v>11992.420306264825</v>
      </c>
      <c r="P12" s="31">
        <f>P10*$L$12</f>
        <v>103499.16181858879</v>
      </c>
      <c r="R12" s="31">
        <f>R10*$L$12</f>
        <v>17760.809665746121</v>
      </c>
      <c r="T12" s="31">
        <f>T10*$L$12</f>
        <v>56.752069812842507</v>
      </c>
      <c r="V12" s="31">
        <f>V10*$L$12</f>
        <v>899.68612902774282</v>
      </c>
    </row>
    <row r="13" spans="1:22" ht="16.5" thickTop="1" x14ac:dyDescent="0.4"/>
    <row r="18" spans="10:24" x14ac:dyDescent="0.4">
      <c r="L18" s="400" t="s">
        <v>17</v>
      </c>
      <c r="M18" s="400"/>
      <c r="N18" s="400"/>
      <c r="O18" s="400"/>
      <c r="P18" s="400"/>
      <c r="Q18" s="400"/>
      <c r="R18" s="400"/>
      <c r="S18" s="400"/>
      <c r="T18" s="400"/>
    </row>
    <row r="19" spans="10:24" x14ac:dyDescent="0.4">
      <c r="L19" s="101"/>
      <c r="M19" s="101"/>
      <c r="N19" s="101" t="s">
        <v>2688</v>
      </c>
      <c r="O19" s="101"/>
      <c r="P19" s="101"/>
      <c r="Q19" s="101"/>
      <c r="R19" s="101" t="s">
        <v>461</v>
      </c>
      <c r="S19" s="101"/>
      <c r="T19" s="26"/>
    </row>
    <row r="20" spans="10:24" ht="17.5" x14ac:dyDescent="0.55000000000000004">
      <c r="L20" s="286" t="s">
        <v>459</v>
      </c>
      <c r="M20" s="269"/>
      <c r="N20" s="286" t="s">
        <v>2689</v>
      </c>
      <c r="O20" s="285"/>
      <c r="P20" s="286" t="s">
        <v>460</v>
      </c>
      <c r="Q20" s="285"/>
      <c r="R20" s="286" t="s">
        <v>466</v>
      </c>
      <c r="S20" s="285"/>
      <c r="T20" s="286" t="s">
        <v>2826</v>
      </c>
      <c r="V20" s="21" t="s">
        <v>49</v>
      </c>
      <c r="X20" s="21" t="s">
        <v>25</v>
      </c>
    </row>
    <row r="22" spans="10:24" x14ac:dyDescent="0.4">
      <c r="J22" t="s">
        <v>2725</v>
      </c>
      <c r="L22" s="25">
        <f>'Wages, Bene Pro forma, Temp Emp'!AY196</f>
        <v>359333.01429639547</v>
      </c>
      <c r="M22" s="25"/>
      <c r="N22" s="25">
        <f>'Wages, Bene Pro forma, Temp Emp'!BA196</f>
        <v>1472398.9176185301</v>
      </c>
      <c r="O22" s="25"/>
      <c r="P22" s="25">
        <f>'Wages, Bene Pro forma, Temp Emp'!BC196</f>
        <v>242876.3523538181</v>
      </c>
      <c r="Q22" s="25"/>
      <c r="R22" s="25">
        <f>'Wages, Bene Pro forma, Temp Emp'!BE196</f>
        <v>189647.75033597415</v>
      </c>
      <c r="S22" s="25"/>
      <c r="T22" s="25">
        <f>'Wages, Bene Pro forma, Temp Emp'!BG196</f>
        <v>500992.30732840544</v>
      </c>
      <c r="U22" s="25"/>
      <c r="V22" s="25">
        <f>'Wages, Bene Pro forma, Temp Emp'!BI196</f>
        <v>566828.89306687692</v>
      </c>
      <c r="X22" s="50">
        <f>SUM(L22:V22)</f>
        <v>3332077.2350000003</v>
      </c>
    </row>
    <row r="23" spans="10:24" x14ac:dyDescent="0.4">
      <c r="J23" t="s">
        <v>56</v>
      </c>
      <c r="L23" s="112">
        <f>L22/$X$22</f>
        <v>0.10784054178635971</v>
      </c>
      <c r="M23" s="105"/>
      <c r="N23" s="112">
        <f>N22/$X$22</f>
        <v>0.44188619103798471</v>
      </c>
      <c r="O23" s="105"/>
      <c r="P23" s="112">
        <f>P22/$X$22</f>
        <v>7.2890372948938589E-2</v>
      </c>
      <c r="Q23" s="105"/>
      <c r="R23" s="112">
        <f>R22/$X$22</f>
        <v>5.6915772642939393E-2</v>
      </c>
      <c r="S23" s="105"/>
      <c r="T23" s="112">
        <f>T22/$X$22</f>
        <v>0.15035435015311263</v>
      </c>
      <c r="U23" s="105"/>
      <c r="V23" s="112">
        <f>V22/$X$22</f>
        <v>0.17011277143066489</v>
      </c>
      <c r="X23" s="319">
        <f>SUM(L23:W23)</f>
        <v>1</v>
      </c>
    </row>
    <row r="25" spans="10:24" ht="16.5" thickBot="1" x14ac:dyDescent="0.45">
      <c r="J25" t="s">
        <v>3270</v>
      </c>
      <c r="L25" s="52">
        <f>L23*$X$27</f>
        <v>6346.8472462944146</v>
      </c>
      <c r="M25" s="50"/>
      <c r="N25" s="52">
        <f>N23*$X$27</f>
        <v>26006.769887349554</v>
      </c>
      <c r="O25" s="50"/>
      <c r="P25" s="52">
        <f>P23*$X$27</f>
        <v>4289.8900095368317</v>
      </c>
      <c r="Q25" s="50"/>
      <c r="R25" s="52">
        <f>R23*$X$27</f>
        <v>3349.7208831275552</v>
      </c>
      <c r="S25" s="50"/>
      <c r="T25" s="52">
        <f>T23*$X$27</f>
        <v>8848.9549239112912</v>
      </c>
      <c r="U25" s="50"/>
      <c r="V25" s="52">
        <f>V23*$X$27</f>
        <v>10011.817049780351</v>
      </c>
      <c r="W25" s="50"/>
      <c r="X25" s="52">
        <f>SUM(L25:V25)</f>
        <v>58854</v>
      </c>
    </row>
    <row r="26" spans="10:24" ht="16.5" thickTop="1" x14ac:dyDescent="0.4"/>
    <row r="27" spans="10:24" x14ac:dyDescent="0.4">
      <c r="L27" s="25"/>
      <c r="T27" s="50"/>
      <c r="V27" s="50"/>
      <c r="X27" s="50">
        <f>'Water Pro forma Rev Req'!F56</f>
        <v>58854</v>
      </c>
    </row>
    <row r="28" spans="10:24" x14ac:dyDescent="0.4">
      <c r="T28" s="26"/>
    </row>
    <row r="30" spans="10:24" x14ac:dyDescent="0.4">
      <c r="T30" s="50"/>
      <c r="V30" s="50"/>
    </row>
    <row r="31" spans="10:24" x14ac:dyDescent="0.4">
      <c r="V31" s="50"/>
    </row>
  </sheetData>
  <mergeCells count="1">
    <mergeCell ref="L18:T18"/>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7EFE-BF57-4A57-907B-DA78582CAE7E}">
  <dimension ref="A4:AG90"/>
  <sheetViews>
    <sheetView showGridLines="0" workbookViewId="0">
      <selection activeCell="A12" sqref="A12:H24"/>
    </sheetView>
  </sheetViews>
  <sheetFormatPr defaultRowHeight="16" x14ac:dyDescent="0.4"/>
  <cols>
    <col min="2" max="2" width="16.58203125" customWidth="1"/>
    <col min="3" max="3" width="1" customWidth="1"/>
    <col min="4" max="4" width="9.4140625" customWidth="1"/>
    <col min="5" max="5" width="0.9140625" customWidth="1"/>
    <col min="6" max="6" width="11.08203125" customWidth="1"/>
    <col min="7" max="7" width="1" customWidth="1"/>
    <col min="8" max="8" width="12.08203125" bestFit="1" customWidth="1"/>
    <col min="13" max="13" width="11.08203125" bestFit="1" customWidth="1"/>
    <col min="14" max="14" width="1" customWidth="1"/>
    <col min="15" max="15" width="10.08203125" bestFit="1" customWidth="1"/>
    <col min="16" max="16" width="1.4140625" customWidth="1"/>
    <col min="17" max="17" width="11.08203125" bestFit="1" customWidth="1"/>
    <col min="22" max="22" width="0.9140625" customWidth="1"/>
    <col min="23" max="23" width="11.08203125" bestFit="1" customWidth="1"/>
    <col min="24" max="24" width="0.9140625" customWidth="1"/>
    <col min="25" max="25" width="13.6640625" bestFit="1" customWidth="1"/>
    <col min="26" max="26" width="0.9140625" customWidth="1"/>
    <col min="27" max="27" width="13.6640625" bestFit="1" customWidth="1"/>
    <col min="28" max="28" width="0.9140625" customWidth="1"/>
    <col min="29" max="29" width="14.6640625" bestFit="1" customWidth="1"/>
    <col min="30" max="30" width="0.9140625" customWidth="1"/>
    <col min="31" max="31" width="12.08203125" bestFit="1" customWidth="1"/>
  </cols>
  <sheetData>
    <row r="4" spans="1:27" x14ac:dyDescent="0.4">
      <c r="W4" s="21" t="s">
        <v>17</v>
      </c>
      <c r="X4" s="2"/>
      <c r="Y4" s="21" t="s">
        <v>49</v>
      </c>
      <c r="Z4" s="2"/>
      <c r="AA4" s="21" t="s">
        <v>25</v>
      </c>
    </row>
    <row r="5" spans="1:27" x14ac:dyDescent="0.4">
      <c r="T5" t="s">
        <v>2818</v>
      </c>
      <c r="W5" s="24">
        <f>W19</f>
        <v>16680</v>
      </c>
      <c r="Y5" s="24">
        <f>W20</f>
        <v>2260</v>
      </c>
      <c r="AA5" s="24">
        <f>W5+Y5</f>
        <v>18940</v>
      </c>
    </row>
    <row r="6" spans="1:27" x14ac:dyDescent="0.4">
      <c r="T6" t="s">
        <v>56</v>
      </c>
      <c r="W6" s="112">
        <f>W5/AA5</f>
        <v>0.88067581837381204</v>
      </c>
      <c r="X6" s="5"/>
      <c r="Y6" s="112">
        <f>Y5/AA5</f>
        <v>0.11932418162618796</v>
      </c>
      <c r="Z6" s="5"/>
      <c r="AA6" s="112">
        <f>SUM(W6:Y6)</f>
        <v>1</v>
      </c>
    </row>
    <row r="8" spans="1:27" ht="16.5" thickBot="1" x14ac:dyDescent="0.45">
      <c r="T8" t="s">
        <v>624</v>
      </c>
      <c r="W8" s="52">
        <f>W6*AA8</f>
        <v>67097.809926082366</v>
      </c>
      <c r="X8" s="50"/>
      <c r="Y8" s="52">
        <f>Y6*AA8</f>
        <v>9091.1900739176344</v>
      </c>
      <c r="AA8" s="52">
        <f>AA22</f>
        <v>76189</v>
      </c>
    </row>
    <row r="9" spans="1:27" ht="16.5" thickTop="1" x14ac:dyDescent="0.4"/>
    <row r="10" spans="1:27" x14ac:dyDescent="0.4">
      <c r="A10" s="413" t="s">
        <v>2808</v>
      </c>
      <c r="B10" s="413"/>
      <c r="C10" s="413"/>
      <c r="D10" s="413"/>
      <c r="E10" s="413"/>
      <c r="F10" s="413"/>
      <c r="G10" s="413"/>
      <c r="H10" s="413"/>
      <c r="J10" t="s">
        <v>43</v>
      </c>
    </row>
    <row r="11" spans="1:27" x14ac:dyDescent="0.4">
      <c r="A11" s="2"/>
      <c r="B11" s="2"/>
      <c r="C11" s="2"/>
      <c r="D11" s="2"/>
      <c r="E11" s="2"/>
      <c r="F11" s="2"/>
      <c r="G11" s="2"/>
      <c r="H11" s="2"/>
    </row>
    <row r="12" spans="1:27" x14ac:dyDescent="0.4">
      <c r="A12" s="400" t="s">
        <v>3551</v>
      </c>
      <c r="B12" s="400"/>
      <c r="C12" s="400"/>
      <c r="D12" s="400"/>
      <c r="F12" s="21" t="s">
        <v>2809</v>
      </c>
      <c r="H12" s="21" t="s">
        <v>2793</v>
      </c>
    </row>
    <row r="13" spans="1:27" x14ac:dyDescent="0.4">
      <c r="A13" s="216" t="s">
        <v>2794</v>
      </c>
      <c r="B13" t="s">
        <v>2791</v>
      </c>
      <c r="H13" s="9">
        <v>172021.49</v>
      </c>
    </row>
    <row r="15" spans="1:27" x14ac:dyDescent="0.4">
      <c r="A15" t="s">
        <v>2803</v>
      </c>
      <c r="T15" t="s">
        <v>2842</v>
      </c>
    </row>
    <row r="16" spans="1:27" x14ac:dyDescent="0.4">
      <c r="A16" s="216" t="s">
        <v>2795</v>
      </c>
      <c r="B16" t="s">
        <v>3552</v>
      </c>
      <c r="F16" t="s">
        <v>2806</v>
      </c>
      <c r="H16" s="8">
        <v>14787.2</v>
      </c>
      <c r="J16" t="s">
        <v>242</v>
      </c>
    </row>
    <row r="17" spans="1:31" x14ac:dyDescent="0.4">
      <c r="H17" s="8"/>
      <c r="W17" s="2" t="s">
        <v>2662</v>
      </c>
      <c r="X17" s="2"/>
      <c r="Y17" s="2" t="s">
        <v>624</v>
      </c>
      <c r="Z17" s="2"/>
      <c r="AA17" s="2" t="s">
        <v>625</v>
      </c>
      <c r="AC17" s="2" t="s">
        <v>2670</v>
      </c>
    </row>
    <row r="18" spans="1:31" x14ac:dyDescent="0.4">
      <c r="A18" s="216" t="s">
        <v>2796</v>
      </c>
      <c r="B18" t="s">
        <v>2790</v>
      </c>
      <c r="F18" t="str">
        <f>F16</f>
        <v>Legal</v>
      </c>
      <c r="H18" s="8">
        <f>752.1+1960</f>
        <v>2712.1</v>
      </c>
      <c r="J18" t="s">
        <v>2801</v>
      </c>
      <c r="T18" t="s">
        <v>2816</v>
      </c>
      <c r="W18" s="21" t="s">
        <v>559</v>
      </c>
      <c r="X18" s="2"/>
      <c r="Y18" s="21" t="s">
        <v>26</v>
      </c>
      <c r="Z18" s="2"/>
      <c r="AA18" s="21" t="s">
        <v>110</v>
      </c>
      <c r="AC18" s="21" t="s">
        <v>177</v>
      </c>
      <c r="AE18" s="41" t="s">
        <v>32</v>
      </c>
    </row>
    <row r="19" spans="1:31" x14ac:dyDescent="0.4">
      <c r="F19" t="s">
        <v>2807</v>
      </c>
      <c r="H19" s="8">
        <v>167</v>
      </c>
      <c r="J19" t="s">
        <v>2801</v>
      </c>
      <c r="T19" t="s">
        <v>2814</v>
      </c>
      <c r="W19" s="8">
        <f>D34</f>
        <v>16680</v>
      </c>
      <c r="Y19" s="5">
        <f>W19/$D$37</f>
        <v>0.88067581837381204</v>
      </c>
      <c r="AA19" s="9">
        <f>Y19*$AA$22</f>
        <v>67097.809926082366</v>
      </c>
      <c r="AC19" s="9">
        <f>-AA22</f>
        <v>-76189</v>
      </c>
      <c r="AE19" s="50">
        <f>AA19+AC19</f>
        <v>-9091.1900739176344</v>
      </c>
    </row>
    <row r="20" spans="1:31" x14ac:dyDescent="0.4">
      <c r="H20" s="8"/>
      <c r="T20" t="s">
        <v>2630</v>
      </c>
      <c r="W20" s="10">
        <f>D35</f>
        <v>2260</v>
      </c>
      <c r="Y20" s="112">
        <f>W20/$D$37</f>
        <v>0.11932418162618796</v>
      </c>
      <c r="AA20" s="217">
        <f>Y20*AA22</f>
        <v>9091.1900739176344</v>
      </c>
      <c r="AC20" s="41">
        <v>0</v>
      </c>
      <c r="AE20" s="320">
        <f>AA20+AC20</f>
        <v>9091.1900739176344</v>
      </c>
    </row>
    <row r="21" spans="1:31" x14ac:dyDescent="0.4">
      <c r="A21" s="216" t="s">
        <v>2802</v>
      </c>
      <c r="F21" t="str">
        <f>F18</f>
        <v>Legal</v>
      </c>
      <c r="H21" s="10">
        <v>15402.65</v>
      </c>
      <c r="J21" t="s">
        <v>2801</v>
      </c>
      <c r="L21" s="24">
        <f>SUM(H18:H21)</f>
        <v>18281.75</v>
      </c>
      <c r="W21" s="8"/>
    </row>
    <row r="22" spans="1:31" ht="16.5" thickBot="1" x14ac:dyDescent="0.45">
      <c r="H22" s="8"/>
      <c r="T22" t="s">
        <v>25</v>
      </c>
      <c r="W22" s="11">
        <f>SUM(W19:W21)</f>
        <v>18940</v>
      </c>
      <c r="Y22" s="273">
        <f>SUM(Y19:Y21)</f>
        <v>1</v>
      </c>
      <c r="AA22" s="31">
        <f>'Water Pro forma Rev Req'!F50</f>
        <v>76189</v>
      </c>
      <c r="AC22" s="31">
        <f>SUM(AC19:AC21)</f>
        <v>-76189</v>
      </c>
      <c r="AE22" s="52">
        <f>SUM(AE19:AE21)</f>
        <v>0</v>
      </c>
    </row>
    <row r="23" spans="1:31" ht="17" thickTop="1" thickBot="1" x14ac:dyDescent="0.45">
      <c r="A23" t="s">
        <v>2792</v>
      </c>
      <c r="H23" s="31">
        <f>SUM(H13:H21)</f>
        <v>205090.44</v>
      </c>
    </row>
    <row r="24" spans="1:31" ht="16.5" thickTop="1" x14ac:dyDescent="0.4">
      <c r="H24" s="8"/>
      <c r="S24" s="245"/>
      <c r="T24" s="222" t="s">
        <v>2841</v>
      </c>
      <c r="U24" s="222"/>
      <c r="V24" s="222"/>
      <c r="W24" s="222"/>
      <c r="X24" s="222"/>
      <c r="Y24" s="222"/>
      <c r="Z24" s="222"/>
      <c r="AA24" s="222"/>
      <c r="AB24" s="222"/>
      <c r="AC24" s="222"/>
      <c r="AD24" s="222"/>
      <c r="AE24" s="287"/>
    </row>
    <row r="25" spans="1:31" x14ac:dyDescent="0.4">
      <c r="H25" s="8"/>
      <c r="S25" s="36"/>
      <c r="Y25" s="21" t="s">
        <v>17</v>
      </c>
      <c r="AA25" s="21" t="s">
        <v>49</v>
      </c>
      <c r="AC25" s="21" t="s">
        <v>25</v>
      </c>
      <c r="AE25" s="37"/>
    </row>
    <row r="26" spans="1:31" x14ac:dyDescent="0.4">
      <c r="H26" s="8"/>
      <c r="S26" s="36"/>
      <c r="AE26" s="37"/>
    </row>
    <row r="27" spans="1:31" x14ac:dyDescent="0.4">
      <c r="A27" t="s">
        <v>2815</v>
      </c>
      <c r="H27" s="9">
        <f>H23</f>
        <v>205090.44</v>
      </c>
      <c r="S27" s="36"/>
      <c r="T27" t="s">
        <v>3313</v>
      </c>
      <c r="Y27" s="25">
        <f>'Water Pro forma Rev Req'!L32</f>
        <v>10003657.673346726</v>
      </c>
      <c r="AA27" s="25">
        <f>'Sewer Pro forma Rev Req'!K24</f>
        <v>2887209.3248832822</v>
      </c>
      <c r="AB27" s="50"/>
      <c r="AC27" s="50">
        <f>Y27+AA27</f>
        <v>12890866.998230008</v>
      </c>
      <c r="AE27" s="37"/>
    </row>
    <row r="28" spans="1:31" x14ac:dyDescent="0.4">
      <c r="A28" t="s">
        <v>2800</v>
      </c>
      <c r="H28" s="10">
        <v>3</v>
      </c>
      <c r="S28" s="36"/>
      <c r="T28" t="s">
        <v>56</v>
      </c>
      <c r="Y28" s="105">
        <f>Y27/$AC$27</f>
        <v>0.7760267540360386</v>
      </c>
      <c r="Z28" s="105"/>
      <c r="AA28" s="105">
        <f>AA27/$AC$27</f>
        <v>0.22397324596396137</v>
      </c>
      <c r="AC28" s="281">
        <f>SUM(Y28:AA28)</f>
        <v>1</v>
      </c>
      <c r="AE28" s="37"/>
    </row>
    <row r="29" spans="1:31" x14ac:dyDescent="0.4">
      <c r="H29" s="8"/>
      <c r="S29" s="36"/>
      <c r="Y29" s="222"/>
      <c r="AA29" s="222"/>
      <c r="AC29" s="222"/>
      <c r="AE29" s="37"/>
    </row>
    <row r="30" spans="1:31" ht="16.5" thickBot="1" x14ac:dyDescent="0.45">
      <c r="A30" t="s">
        <v>2817</v>
      </c>
      <c r="H30" s="11">
        <f>H27/H28</f>
        <v>68363.48</v>
      </c>
      <c r="S30" s="36"/>
      <c r="T30" t="s">
        <v>2839</v>
      </c>
      <c r="Y30" s="31">
        <f>$AC$30*Y28</f>
        <v>13200.215086153017</v>
      </c>
      <c r="AA30" s="31">
        <f>AA28*AC30</f>
        <v>3809.7849138469828</v>
      </c>
      <c r="AC30" s="31">
        <v>17010</v>
      </c>
      <c r="AE30" s="37"/>
    </row>
    <row r="31" spans="1:31" ht="16.5" thickTop="1" x14ac:dyDescent="0.4">
      <c r="S31" s="36"/>
      <c r="AE31" s="37"/>
    </row>
    <row r="32" spans="1:31" x14ac:dyDescent="0.4">
      <c r="D32" s="2" t="s">
        <v>2662</v>
      </c>
      <c r="E32" s="2"/>
      <c r="F32" s="2" t="s">
        <v>624</v>
      </c>
      <c r="G32" s="2"/>
      <c r="H32" s="2" t="s">
        <v>625</v>
      </c>
      <c r="S32" s="36"/>
      <c r="AC32" s="50">
        <f>Y30+AA30</f>
        <v>17010</v>
      </c>
      <c r="AE32" s="37"/>
    </row>
    <row r="33" spans="1:33" x14ac:dyDescent="0.4">
      <c r="A33" t="s">
        <v>2816</v>
      </c>
      <c r="D33" s="21" t="s">
        <v>461</v>
      </c>
      <c r="E33" s="2"/>
      <c r="F33" s="21" t="s">
        <v>26</v>
      </c>
      <c r="G33" s="2"/>
      <c r="H33" s="21" t="s">
        <v>544</v>
      </c>
      <c r="S33" s="36"/>
      <c r="AE33" s="37"/>
    </row>
    <row r="34" spans="1:33" x14ac:dyDescent="0.4">
      <c r="A34" t="s">
        <v>2814</v>
      </c>
      <c r="D34" s="8">
        <f>'Wages, Bene Pro forma, Temp Emp'!Y211</f>
        <v>16680</v>
      </c>
      <c r="F34" s="5">
        <f>D34/$D$37</f>
        <v>0.88067581837381204</v>
      </c>
      <c r="H34" s="9">
        <f>H30*F34</f>
        <v>60206.063695881727</v>
      </c>
      <c r="S34" s="245"/>
      <c r="T34" s="222" t="s">
        <v>2843</v>
      </c>
      <c r="U34" s="222"/>
      <c r="V34" s="222"/>
      <c r="W34" s="222"/>
      <c r="X34" s="222"/>
      <c r="Y34" s="222"/>
      <c r="Z34" s="222"/>
      <c r="AA34" s="222"/>
      <c r="AB34" s="222"/>
      <c r="AC34" s="222"/>
      <c r="AD34" s="222"/>
      <c r="AE34" s="222"/>
      <c r="AF34" s="222"/>
      <c r="AG34" s="287"/>
    </row>
    <row r="35" spans="1:33" x14ac:dyDescent="0.4">
      <c r="A35" t="s">
        <v>2630</v>
      </c>
      <c r="D35" s="10">
        <f>'Wages, Bene Pro forma, Temp Emp'!Y212</f>
        <v>2260</v>
      </c>
      <c r="F35" s="112">
        <f>D35/$D$37</f>
        <v>0.11932418162618796</v>
      </c>
      <c r="H35" s="217">
        <f>H30*F35</f>
        <v>8157.4163041182683</v>
      </c>
      <c r="S35" s="36"/>
      <c r="Y35" s="21" t="s">
        <v>17</v>
      </c>
      <c r="AA35" s="21" t="s">
        <v>49</v>
      </c>
      <c r="AC35" s="21" t="s">
        <v>25</v>
      </c>
      <c r="AG35" s="37"/>
    </row>
    <row r="36" spans="1:33" x14ac:dyDescent="0.4">
      <c r="D36" s="8"/>
      <c r="S36" s="36"/>
      <c r="AG36" s="37"/>
    </row>
    <row r="37" spans="1:33" ht="16.5" thickBot="1" x14ac:dyDescent="0.45">
      <c r="A37" t="s">
        <v>25</v>
      </c>
      <c r="D37" s="11">
        <f>SUM(D34:D36)</f>
        <v>18940</v>
      </c>
      <c r="F37" s="273">
        <f>SUM(F34:F36)</f>
        <v>1</v>
      </c>
      <c r="H37" s="11">
        <f>SUM(H34:H36)</f>
        <v>68363.48</v>
      </c>
      <c r="S37" s="36"/>
      <c r="T37" t="s">
        <v>3313</v>
      </c>
      <c r="Y37" s="25">
        <f>'Water Pro forma Rev Req'!L32</f>
        <v>10003657.673346726</v>
      </c>
      <c r="AA37" s="25">
        <f>AA27</f>
        <v>2887209.3248832822</v>
      </c>
      <c r="AB37" s="50"/>
      <c r="AC37" s="50">
        <f>Y37+AA37</f>
        <v>12890866.998230008</v>
      </c>
      <c r="AG37" s="37"/>
    </row>
    <row r="38" spans="1:33" ht="16.5" thickTop="1" x14ac:dyDescent="0.4">
      <c r="S38" s="36"/>
      <c r="T38" t="s">
        <v>56</v>
      </c>
      <c r="Y38" s="105">
        <f>Y37/$AC$37</f>
        <v>0.7760267540360386</v>
      </c>
      <c r="Z38" s="105"/>
      <c r="AA38" s="105">
        <f>AA37/$AC$37</f>
        <v>0.22397324596396137</v>
      </c>
      <c r="AC38" s="281">
        <f>SUM(Y38:AA38)</f>
        <v>1</v>
      </c>
      <c r="AG38" s="37"/>
    </row>
    <row r="39" spans="1:33" x14ac:dyDescent="0.4">
      <c r="S39" s="36"/>
      <c r="Y39" s="222"/>
      <c r="AA39" s="222"/>
      <c r="AC39" s="222"/>
      <c r="AG39" s="37"/>
    </row>
    <row r="40" spans="1:33" ht="16.5" thickBot="1" x14ac:dyDescent="0.45">
      <c r="S40" s="36"/>
      <c r="T40" t="s">
        <v>2844</v>
      </c>
      <c r="Y40" s="31">
        <f>Y38*AC40</f>
        <v>86786.952037620373</v>
      </c>
      <c r="AA40" s="31">
        <f>AA38*AC40</f>
        <v>25048.04796237962</v>
      </c>
      <c r="AC40" s="31">
        <f>'Water Pro forma Rev Req'!F80</f>
        <v>111835</v>
      </c>
      <c r="AG40" s="37"/>
    </row>
    <row r="41" spans="1:33" ht="16.5" thickTop="1" x14ac:dyDescent="0.4">
      <c r="S41" s="36"/>
      <c r="AG41" s="37"/>
    </row>
    <row r="42" spans="1:33" x14ac:dyDescent="0.4">
      <c r="J42" t="s">
        <v>2797</v>
      </c>
      <c r="S42" s="36"/>
      <c r="AC42" s="50">
        <f>Y40+AA40</f>
        <v>111835</v>
      </c>
      <c r="AG42" s="37"/>
    </row>
    <row r="43" spans="1:33" x14ac:dyDescent="0.4">
      <c r="S43" s="40"/>
      <c r="T43" s="41"/>
      <c r="U43" s="41"/>
      <c r="V43" s="41"/>
      <c r="W43" s="41"/>
      <c r="X43" s="41"/>
      <c r="Y43" s="41"/>
      <c r="Z43" s="41"/>
      <c r="AA43" s="41"/>
      <c r="AB43" s="41"/>
      <c r="AC43" s="41"/>
      <c r="AD43" s="41"/>
      <c r="AE43" s="41"/>
      <c r="AF43" s="41"/>
      <c r="AG43" s="288"/>
    </row>
    <row r="44" spans="1:33" x14ac:dyDescent="0.4">
      <c r="J44" t="s">
        <v>2798</v>
      </c>
      <c r="Q44" s="9">
        <v>30000</v>
      </c>
      <c r="S44" s="245"/>
      <c r="T44" s="222"/>
      <c r="U44" s="222"/>
      <c r="V44" s="222"/>
      <c r="W44" s="222"/>
      <c r="X44" s="222"/>
      <c r="Y44" s="222"/>
      <c r="Z44" s="222"/>
      <c r="AA44" s="222"/>
      <c r="AB44" s="222"/>
      <c r="AC44" s="222"/>
      <c r="AD44" s="222"/>
      <c r="AE44" s="222"/>
      <c r="AF44" s="287"/>
    </row>
    <row r="45" spans="1:33" x14ac:dyDescent="0.4">
      <c r="S45" s="36"/>
      <c r="T45" t="s">
        <v>3312</v>
      </c>
      <c r="AF45" s="37"/>
    </row>
    <row r="46" spans="1:33" x14ac:dyDescent="0.4">
      <c r="J46" s="400" t="s">
        <v>2799</v>
      </c>
      <c r="K46" s="400"/>
      <c r="L46" s="400"/>
      <c r="M46" s="400"/>
      <c r="N46" s="400"/>
      <c r="O46" s="400"/>
      <c r="P46" s="400"/>
      <c r="Q46" s="400"/>
      <c r="S46" s="36"/>
      <c r="AF46" s="37"/>
    </row>
    <row r="47" spans="1:33" x14ac:dyDescent="0.4">
      <c r="M47" s="2" t="s">
        <v>2662</v>
      </c>
      <c r="N47" s="2"/>
      <c r="O47" s="2" t="s">
        <v>624</v>
      </c>
      <c r="P47" s="2"/>
      <c r="Q47" s="2" t="s">
        <v>625</v>
      </c>
      <c r="S47" s="36"/>
      <c r="Y47" s="21" t="s">
        <v>224</v>
      </c>
      <c r="AA47" s="21" t="s">
        <v>225</v>
      </c>
      <c r="AC47" s="21" t="s">
        <v>25</v>
      </c>
      <c r="AF47" s="37"/>
    </row>
    <row r="48" spans="1:33" x14ac:dyDescent="0.4">
      <c r="M48" s="21" t="s">
        <v>461</v>
      </c>
      <c r="N48" s="2"/>
      <c r="O48" s="21" t="s">
        <v>26</v>
      </c>
      <c r="P48" s="2"/>
      <c r="Q48" s="21" t="s">
        <v>2804</v>
      </c>
      <c r="S48" s="36"/>
      <c r="AF48" s="37"/>
    </row>
    <row r="49" spans="10:32" x14ac:dyDescent="0.4">
      <c r="J49" t="s">
        <v>17</v>
      </c>
      <c r="M49" s="8">
        <f>D34</f>
        <v>16680</v>
      </c>
      <c r="O49" s="5">
        <f>M49/$D$37</f>
        <v>0.88067581837381204</v>
      </c>
      <c r="Q49" s="9">
        <f>Q44*O49</f>
        <v>26420.274551214363</v>
      </c>
      <c r="S49" s="36"/>
      <c r="T49" t="s">
        <v>3313</v>
      </c>
      <c r="Y49" s="25">
        <f>Y27-AA49</f>
        <v>9716848.3053467255</v>
      </c>
      <c r="AA49" s="25">
        <f>'Water Pro forma Rev Req'!L20</f>
        <v>286809.36799999996</v>
      </c>
      <c r="AB49" s="50"/>
      <c r="AC49" s="50">
        <f>Y49+AA49</f>
        <v>10003657.673346726</v>
      </c>
      <c r="AF49" s="37"/>
    </row>
    <row r="50" spans="10:32" ht="16.5" thickBot="1" x14ac:dyDescent="0.45">
      <c r="J50" t="s">
        <v>49</v>
      </c>
      <c r="M50" s="8">
        <f>D35</f>
        <v>2260</v>
      </c>
      <c r="O50" s="106">
        <f>M50/$D$37</f>
        <v>0.11932418162618796</v>
      </c>
      <c r="Q50" s="282">
        <f>Q44*O50</f>
        <v>3579.7254487856389</v>
      </c>
      <c r="S50" s="36"/>
      <c r="T50" t="s">
        <v>56</v>
      </c>
      <c r="Y50" s="105">
        <f>Y49/$AC$49</f>
        <v>0.97132954991411169</v>
      </c>
      <c r="Z50" s="105"/>
      <c r="AA50" s="105">
        <f>AA49/$AC$49</f>
        <v>2.8670450085888217E-2</v>
      </c>
      <c r="AC50" s="281">
        <f>SUM(Y50:AA50)</f>
        <v>0.99999999999999989</v>
      </c>
      <c r="AF50" s="37"/>
    </row>
    <row r="51" spans="10:32" ht="16.5" thickTop="1" x14ac:dyDescent="0.4">
      <c r="M51" s="8"/>
      <c r="S51" s="36"/>
      <c r="Y51" s="222"/>
      <c r="AA51" s="222"/>
      <c r="AC51" s="222"/>
      <c r="AF51" s="37"/>
    </row>
    <row r="52" spans="10:32" ht="16.5" thickBot="1" x14ac:dyDescent="0.45">
      <c r="J52" t="s">
        <v>25</v>
      </c>
      <c r="M52" s="11">
        <f>SUM(M49:M51)</f>
        <v>18940</v>
      </c>
      <c r="O52" s="273">
        <f>SUM(O49:O51)</f>
        <v>1</v>
      </c>
      <c r="Q52" s="31">
        <f>SUM(Q49:Q51)</f>
        <v>30000</v>
      </c>
      <c r="S52" s="36"/>
      <c r="T52" t="s">
        <v>2844</v>
      </c>
      <c r="Y52" s="31">
        <f>Y50*AC52</f>
        <v>84298.731061119397</v>
      </c>
      <c r="AA52" s="31">
        <f>AA50*AC52</f>
        <v>2488.2209765009698</v>
      </c>
      <c r="AC52" s="31">
        <f>Y40</f>
        <v>86786.952037620373</v>
      </c>
      <c r="AF52" s="37"/>
    </row>
    <row r="53" spans="10:32" ht="16.5" thickTop="1" x14ac:dyDescent="0.4">
      <c r="S53" s="36"/>
      <c r="AF53" s="37"/>
    </row>
    <row r="54" spans="10:32" x14ac:dyDescent="0.4">
      <c r="J54" t="s">
        <v>2810</v>
      </c>
      <c r="Q54" s="50">
        <f>Q49</f>
        <v>26420.274551214363</v>
      </c>
      <c r="S54" s="36"/>
      <c r="AF54" s="37"/>
    </row>
    <row r="55" spans="10:32" x14ac:dyDescent="0.4">
      <c r="J55" t="s">
        <v>2811</v>
      </c>
      <c r="Q55" s="10">
        <v>30000</v>
      </c>
      <c r="S55" s="36"/>
      <c r="AF55" s="37"/>
    </row>
    <row r="56" spans="10:32" x14ac:dyDescent="0.4">
      <c r="Q56" s="8"/>
      <c r="S56" s="36"/>
      <c r="AF56" s="37"/>
    </row>
    <row r="57" spans="10:32" x14ac:dyDescent="0.4">
      <c r="J57" t="s">
        <v>2812</v>
      </c>
      <c r="Q57" s="8">
        <f>SUM(Q54:Q56)</f>
        <v>56420.274551214359</v>
      </c>
      <c r="S57" s="40"/>
      <c r="T57" s="41"/>
      <c r="U57" s="41"/>
      <c r="V57" s="41"/>
      <c r="W57" s="41"/>
      <c r="X57" s="41"/>
      <c r="Y57" s="41"/>
      <c r="Z57" s="41"/>
      <c r="AA57" s="41"/>
      <c r="AB57" s="41"/>
      <c r="AC57" s="41"/>
      <c r="AD57" s="41"/>
      <c r="AE57" s="41"/>
      <c r="AF57" s="288"/>
    </row>
    <row r="58" spans="10:32" x14ac:dyDescent="0.4">
      <c r="J58" t="s">
        <v>118</v>
      </c>
      <c r="Q58" s="41">
        <v>3</v>
      </c>
      <c r="S58" s="36"/>
      <c r="T58" t="s">
        <v>3271</v>
      </c>
      <c r="AE58" s="37"/>
    </row>
    <row r="59" spans="10:32" x14ac:dyDescent="0.4">
      <c r="S59" s="36"/>
      <c r="Y59" s="21" t="s">
        <v>17</v>
      </c>
      <c r="AA59" s="21" t="s">
        <v>49</v>
      </c>
      <c r="AC59" s="21" t="s">
        <v>25</v>
      </c>
      <c r="AE59" s="37"/>
    </row>
    <row r="60" spans="10:32" ht="16.5" thickBot="1" x14ac:dyDescent="0.45">
      <c r="J60" t="s">
        <v>182</v>
      </c>
      <c r="Q60" s="52">
        <f>Q57/Q58</f>
        <v>18806.758183738119</v>
      </c>
      <c r="S60" s="36"/>
      <c r="AE60" s="37"/>
    </row>
    <row r="61" spans="10:32" ht="16.5" thickTop="1" x14ac:dyDescent="0.4">
      <c r="S61" s="36"/>
      <c r="T61" t="s">
        <v>3314</v>
      </c>
      <c r="Y61" s="25">
        <f>'Water Pro forma Rev Req'!F10+'Water Pro forma Rev Req'!H10+'Water Pro forma Rev Req'!H11+'Water Pro forma Rev Req'!H12</f>
        <v>9845697.410000002</v>
      </c>
      <c r="AA61" s="25">
        <f>'Sewer Pro forma Rev Req'!E10+'Sewer Pro forma Rev Req'!G10+'Sewer Pro forma Rev Req'!G11</f>
        <v>2202902.34</v>
      </c>
      <c r="AB61" s="50"/>
      <c r="AC61" s="50">
        <f>Y61+AA61</f>
        <v>12048599.750000002</v>
      </c>
      <c r="AE61" s="37"/>
    </row>
    <row r="62" spans="10:32" x14ac:dyDescent="0.4">
      <c r="S62" s="36"/>
      <c r="T62" t="s">
        <v>56</v>
      </c>
      <c r="Y62" s="105">
        <f>Y61/$AC$61</f>
        <v>0.81716528179965486</v>
      </c>
      <c r="Z62" s="105"/>
      <c r="AA62" s="105">
        <f>AA61/$AC$61</f>
        <v>0.18283471820034519</v>
      </c>
      <c r="AC62" s="281">
        <f>SUM(Y62:AA62)</f>
        <v>1</v>
      </c>
      <c r="AE62" s="37"/>
    </row>
    <row r="63" spans="10:32" x14ac:dyDescent="0.4">
      <c r="S63" s="36"/>
      <c r="Y63" s="222"/>
      <c r="AA63" s="222"/>
      <c r="AC63" s="222"/>
      <c r="AE63" s="37"/>
    </row>
    <row r="64" spans="10:32" ht="16.5" thickBot="1" x14ac:dyDescent="0.45">
      <c r="S64" s="36"/>
      <c r="T64" t="s">
        <v>3272</v>
      </c>
      <c r="Y64" s="31">
        <f>$AC$64*Y62</f>
        <v>28942.359950780177</v>
      </c>
      <c r="AA64" s="31">
        <f>AA62*AC64</f>
        <v>6475.6400492198263</v>
      </c>
      <c r="AC64" s="31">
        <f>'Water Pro forma Rev Req'!F60</f>
        <v>35418</v>
      </c>
      <c r="AE64" s="37"/>
    </row>
    <row r="65" spans="10:31" ht="16.5" thickTop="1" x14ac:dyDescent="0.4">
      <c r="J65" t="s">
        <v>2813</v>
      </c>
      <c r="Q65" s="24">
        <f>Q50</f>
        <v>3579.7254487856389</v>
      </c>
      <c r="S65" s="36"/>
      <c r="AE65" s="37"/>
    </row>
    <row r="66" spans="10:31" x14ac:dyDescent="0.4">
      <c r="J66" t="s">
        <v>118</v>
      </c>
      <c r="Q66" s="41">
        <v>3</v>
      </c>
      <c r="S66" s="36"/>
      <c r="AC66" s="50">
        <f>Y64+AA64</f>
        <v>35418</v>
      </c>
      <c r="AE66" s="37"/>
    </row>
    <row r="67" spans="10:31" x14ac:dyDescent="0.4">
      <c r="S67" s="36"/>
      <c r="AE67" s="37"/>
    </row>
    <row r="68" spans="10:31" ht="16.5" thickBot="1" x14ac:dyDescent="0.45">
      <c r="J68" t="s">
        <v>182</v>
      </c>
      <c r="Q68" s="231">
        <f>Q65/Q66</f>
        <v>1193.2418162618796</v>
      </c>
      <c r="S68" s="40"/>
      <c r="T68" s="41"/>
      <c r="U68" s="41"/>
      <c r="V68" s="41"/>
      <c r="W68" s="41"/>
      <c r="X68" s="41"/>
      <c r="Y68" s="41"/>
      <c r="Z68" s="41"/>
      <c r="AA68" s="41"/>
      <c r="AB68" s="41"/>
      <c r="AC68" s="41"/>
      <c r="AD68" s="41"/>
      <c r="AE68" s="288"/>
    </row>
    <row r="69" spans="10:31" ht="16.5" thickTop="1" x14ac:dyDescent="0.4"/>
    <row r="71" spans="10:31" x14ac:dyDescent="0.4">
      <c r="M71" s="21" t="s">
        <v>17</v>
      </c>
      <c r="N71" s="2"/>
      <c r="O71" s="21" t="s">
        <v>49</v>
      </c>
      <c r="P71" s="2"/>
      <c r="Q71" s="21" t="s">
        <v>25</v>
      </c>
    </row>
    <row r="72" spans="10:31" x14ac:dyDescent="0.4">
      <c r="J72" t="s">
        <v>2818</v>
      </c>
      <c r="M72" s="24">
        <f>M49</f>
        <v>16680</v>
      </c>
      <c r="O72" s="24">
        <f>M50</f>
        <v>2260</v>
      </c>
      <c r="Q72" s="24">
        <f>M72+O72</f>
        <v>18940</v>
      </c>
    </row>
    <row r="73" spans="10:31" x14ac:dyDescent="0.4">
      <c r="J73" t="s">
        <v>537</v>
      </c>
      <c r="M73" s="112">
        <f>M72/Q72</f>
        <v>0.88067581837381204</v>
      </c>
      <c r="N73" s="5"/>
      <c r="O73" s="112">
        <f>O72/Q72</f>
        <v>0.11932418162618796</v>
      </c>
      <c r="P73" s="5"/>
      <c r="Q73" s="112">
        <f>M73+O73</f>
        <v>1</v>
      </c>
    </row>
    <row r="75" spans="10:31" x14ac:dyDescent="0.4">
      <c r="J75" t="s">
        <v>2819</v>
      </c>
      <c r="M75" s="50">
        <f t="shared" ref="M75" si="0">M73*$Q$75</f>
        <v>26420.274551214363</v>
      </c>
      <c r="N75" s="66"/>
      <c r="O75" s="50">
        <f>O73*$Q$75</f>
        <v>3579.7254487856389</v>
      </c>
      <c r="Q75" s="50">
        <f>Q52</f>
        <v>30000</v>
      </c>
    </row>
    <row r="76" spans="10:31" x14ac:dyDescent="0.4">
      <c r="J76" t="s">
        <v>3522</v>
      </c>
      <c r="M76" s="217">
        <f>Q55</f>
        <v>30000</v>
      </c>
      <c r="O76" s="41"/>
      <c r="Q76" s="217">
        <f>M76</f>
        <v>30000</v>
      </c>
    </row>
    <row r="78" spans="10:31" x14ac:dyDescent="0.4">
      <c r="J78" t="s">
        <v>25</v>
      </c>
      <c r="M78" s="50">
        <f>SUM(M75:M77)</f>
        <v>56420.274551214359</v>
      </c>
      <c r="O78" s="50">
        <f>SUM(O75:O77)</f>
        <v>3579.7254487856389</v>
      </c>
      <c r="Q78" s="50">
        <f>SUM(Q75:Q77)</f>
        <v>60000</v>
      </c>
    </row>
    <row r="79" spans="10:31" x14ac:dyDescent="0.4">
      <c r="J79" t="s">
        <v>118</v>
      </c>
      <c r="M79" s="10">
        <v>3</v>
      </c>
      <c r="N79" s="8"/>
      <c r="O79" s="10">
        <v>3</v>
      </c>
      <c r="P79" s="8"/>
      <c r="Q79" s="10">
        <v>3</v>
      </c>
    </row>
    <row r="81" spans="10:17" ht="16.5" thickBot="1" x14ac:dyDescent="0.45">
      <c r="J81" t="s">
        <v>2817</v>
      </c>
      <c r="M81" s="52">
        <f>M78/M79</f>
        <v>18806.758183738119</v>
      </c>
      <c r="O81" s="52">
        <f>O78/O79</f>
        <v>1193.2418162618796</v>
      </c>
      <c r="Q81" s="52">
        <f>Q78/Q79</f>
        <v>20000</v>
      </c>
    </row>
    <row r="82" spans="10:17" ht="16.5" thickTop="1" x14ac:dyDescent="0.4"/>
    <row r="86" spans="10:17" x14ac:dyDescent="0.4">
      <c r="M86" s="21" t="s">
        <v>17</v>
      </c>
      <c r="N86" s="2"/>
      <c r="O86" s="21" t="s">
        <v>49</v>
      </c>
      <c r="P86" s="2"/>
      <c r="Q86" s="21" t="s">
        <v>25</v>
      </c>
    </row>
    <row r="87" spans="10:17" x14ac:dyDescent="0.4">
      <c r="J87" t="s">
        <v>2818</v>
      </c>
      <c r="M87" s="24">
        <f>M72</f>
        <v>16680</v>
      </c>
      <c r="O87" s="24">
        <f>O72</f>
        <v>2260</v>
      </c>
      <c r="Q87" s="24">
        <f>M87+O87</f>
        <v>18940</v>
      </c>
    </row>
    <row r="88" spans="10:17" x14ac:dyDescent="0.4">
      <c r="J88" t="s">
        <v>537</v>
      </c>
      <c r="M88" s="112">
        <f>M87/Q87</f>
        <v>0.88067581837381204</v>
      </c>
      <c r="N88" s="5"/>
      <c r="O88" s="112">
        <f>O87/Q87</f>
        <v>0.11932418162618796</v>
      </c>
      <c r="P88" s="5"/>
      <c r="Q88" s="112">
        <f>M88+O88</f>
        <v>1</v>
      </c>
    </row>
    <row r="90" spans="10:17" x14ac:dyDescent="0.4">
      <c r="J90" t="s">
        <v>2819</v>
      </c>
      <c r="M90" s="50">
        <f t="shared" ref="M90" si="1">M88*$Q$75</f>
        <v>26420.274551214363</v>
      </c>
      <c r="N90" s="66"/>
      <c r="O90" s="50">
        <f>O88*$Q$75</f>
        <v>3579.7254487856389</v>
      </c>
      <c r="Q90" s="50">
        <f>Q67</f>
        <v>0</v>
      </c>
    </row>
  </sheetData>
  <mergeCells count="3">
    <mergeCell ref="A10:H10"/>
    <mergeCell ref="A12:D12"/>
    <mergeCell ref="J46:Q46"/>
  </mergeCells>
  <pageMargins left="0.7" right="0.7" top="0.75" bottom="0.75" header="0.3" footer="0.3"/>
  <pageSetup orientation="portrait" r:id="rId1"/>
  <ignoredErrors>
    <ignoredError sqref="A16 A18 A21 A13"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96B0F-98A8-4805-8DD8-240F8E3D9B4E}">
  <dimension ref="A2:N20"/>
  <sheetViews>
    <sheetView workbookViewId="0"/>
  </sheetViews>
  <sheetFormatPr defaultRowHeight="16" x14ac:dyDescent="0.4"/>
  <cols>
    <col min="3" max="3" width="9.9140625" customWidth="1"/>
    <col min="4" max="4" width="11.08203125" bestFit="1" customWidth="1"/>
    <col min="5" max="5" width="0.9140625" customWidth="1"/>
    <col min="7" max="7" width="0.9140625" customWidth="1"/>
    <col min="8" max="8" width="9.58203125" bestFit="1" customWidth="1"/>
    <col min="9" max="9" width="0.9140625" customWidth="1"/>
    <col min="10" max="10" width="12.08203125" bestFit="1" customWidth="1"/>
    <col min="11" max="11" width="0.9140625" customWidth="1"/>
    <col min="12" max="12" width="11.08203125" bestFit="1" customWidth="1"/>
    <col min="14" max="14" width="10.08203125" bestFit="1" customWidth="1"/>
  </cols>
  <sheetData>
    <row r="2" spans="1:14" x14ac:dyDescent="0.4">
      <c r="D2" s="21" t="s">
        <v>17</v>
      </c>
      <c r="E2" s="2"/>
      <c r="F2" s="21" t="s">
        <v>49</v>
      </c>
      <c r="H2" s="21" t="s">
        <v>25</v>
      </c>
      <c r="I2" s="2"/>
    </row>
    <row r="3" spans="1:14" x14ac:dyDescent="0.4">
      <c r="A3" t="s">
        <v>2818</v>
      </c>
      <c r="D3" s="332">
        <f>D16</f>
        <v>16680</v>
      </c>
      <c r="E3" s="2"/>
      <c r="F3" s="332">
        <f>D17</f>
        <v>2260</v>
      </c>
      <c r="H3" s="24">
        <f>D3+F3</f>
        <v>18940</v>
      </c>
      <c r="I3" s="2"/>
    </row>
    <row r="4" spans="1:14" x14ac:dyDescent="0.4">
      <c r="A4" t="s">
        <v>537</v>
      </c>
      <c r="D4" s="319">
        <f>F16</f>
        <v>0.88067581837381204</v>
      </c>
      <c r="F4" s="319">
        <f>F17</f>
        <v>0.11932418162618796</v>
      </c>
      <c r="H4" s="319">
        <f>SUM(D4:F4)</f>
        <v>1</v>
      </c>
      <c r="N4" t="s">
        <v>25</v>
      </c>
    </row>
    <row r="6" spans="1:14" x14ac:dyDescent="0.4">
      <c r="A6" t="s">
        <v>2847</v>
      </c>
      <c r="D6" s="9">
        <f>H6*$D$4</f>
        <v>34504.878563885955</v>
      </c>
      <c r="E6" s="9"/>
      <c r="F6" s="9">
        <f>$F$4*H6</f>
        <v>4675.1214361140446</v>
      </c>
      <c r="G6" s="8"/>
      <c r="H6" s="9">
        <v>39180</v>
      </c>
      <c r="I6" s="8"/>
      <c r="N6" s="24">
        <f>D6+F6</f>
        <v>39180</v>
      </c>
    </row>
    <row r="7" spans="1:14" x14ac:dyDescent="0.4">
      <c r="A7" t="s">
        <v>2846</v>
      </c>
      <c r="D7" s="8">
        <f>H7*$D$4</f>
        <v>17312.325237592398</v>
      </c>
      <c r="E7" s="8"/>
      <c r="F7" s="24">
        <f>$F$4*H7</f>
        <v>2345.6747624076029</v>
      </c>
      <c r="G7" s="8"/>
      <c r="H7" s="8">
        <f>19079+579</f>
        <v>19658</v>
      </c>
      <c r="I7" s="8"/>
      <c r="N7" s="24">
        <f>D7+F7</f>
        <v>19658</v>
      </c>
    </row>
    <row r="8" spans="1:14" x14ac:dyDescent="0.4">
      <c r="A8" t="s">
        <v>2849</v>
      </c>
      <c r="D8" s="8">
        <f>H8*$D$4</f>
        <v>41575.824709609289</v>
      </c>
      <c r="E8" s="8"/>
      <c r="F8" s="24">
        <f>$F$4*H8</f>
        <v>5633.1752903907072</v>
      </c>
      <c r="H8" s="8">
        <v>47209</v>
      </c>
      <c r="N8" s="24">
        <f>D8+F8</f>
        <v>47209</v>
      </c>
    </row>
    <row r="9" spans="1:14" x14ac:dyDescent="0.4">
      <c r="A9" t="s">
        <v>2848</v>
      </c>
      <c r="D9" s="8">
        <f>H9*$D$4</f>
        <v>3724.378035902851</v>
      </c>
      <c r="E9" s="8"/>
      <c r="F9" s="24">
        <f>$F$4*H9</f>
        <v>504.62196409714892</v>
      </c>
      <c r="H9" s="8">
        <f>872+3357</f>
        <v>4229</v>
      </c>
      <c r="N9" s="24">
        <f>D9+F9</f>
        <v>4229</v>
      </c>
    </row>
    <row r="10" spans="1:14" x14ac:dyDescent="0.4">
      <c r="A10" t="s">
        <v>3276</v>
      </c>
      <c r="D10" s="10">
        <f>H10*$D$4</f>
        <v>255034.02956705386</v>
      </c>
      <c r="E10" s="8"/>
      <c r="F10" s="217">
        <f>$F$4*H10</f>
        <v>34554.970432946146</v>
      </c>
      <c r="H10" s="10">
        <v>289589</v>
      </c>
      <c r="N10" s="24">
        <f>D10+F10</f>
        <v>289589</v>
      </c>
    </row>
    <row r="11" spans="1:14" x14ac:dyDescent="0.4">
      <c r="F11" s="24"/>
      <c r="H11" s="8"/>
    </row>
    <row r="12" spans="1:14" ht="16.5" thickBot="1" x14ac:dyDescent="0.45">
      <c r="A12" t="s">
        <v>25</v>
      </c>
      <c r="D12" s="31">
        <f>SUM(D6:D11)</f>
        <v>352151.43611404434</v>
      </c>
      <c r="E12" s="9"/>
      <c r="F12" s="31">
        <f>SUM(F6:F11)</f>
        <v>47713.563885955649</v>
      </c>
      <c r="H12" s="31">
        <f>SUM(H6:H11)</f>
        <v>399865</v>
      </c>
      <c r="N12" s="24">
        <f>SUM(N6:N11)</f>
        <v>399865</v>
      </c>
    </row>
    <row r="13" spans="1:14" ht="16.5" thickTop="1" x14ac:dyDescent="0.4"/>
    <row r="14" spans="1:14" x14ac:dyDescent="0.4">
      <c r="D14" s="2" t="s">
        <v>2662</v>
      </c>
      <c r="E14" s="2"/>
      <c r="F14" s="2" t="s">
        <v>624</v>
      </c>
      <c r="I14" s="8"/>
      <c r="J14" s="8"/>
      <c r="K14" s="8"/>
    </row>
    <row r="15" spans="1:14" x14ac:dyDescent="0.4">
      <c r="A15" t="s">
        <v>2816</v>
      </c>
      <c r="D15" s="21" t="s">
        <v>461</v>
      </c>
      <c r="E15" s="2"/>
      <c r="F15" s="21" t="s">
        <v>26</v>
      </c>
      <c r="G15" s="8"/>
      <c r="H15" s="8"/>
      <c r="I15" s="8"/>
      <c r="J15" s="8"/>
      <c r="K15" s="8"/>
    </row>
    <row r="16" spans="1:14" x14ac:dyDescent="0.4">
      <c r="A16" t="s">
        <v>2814</v>
      </c>
      <c r="D16" s="8">
        <f>'Acct.RateCase,PSCFees,IntIn,Bad'!W19</f>
        <v>16680</v>
      </c>
      <c r="F16" s="5">
        <f>D16/$D$19</f>
        <v>0.88067581837381204</v>
      </c>
      <c r="G16" s="8"/>
      <c r="H16" s="9">
        <f>H12*F16</f>
        <v>352151.43611404434</v>
      </c>
      <c r="I16" s="8"/>
      <c r="J16" s="8"/>
      <c r="K16" s="8"/>
    </row>
    <row r="17" spans="1:11" x14ac:dyDescent="0.4">
      <c r="A17" t="s">
        <v>2630</v>
      </c>
      <c r="D17" s="10">
        <f>'Acct.RateCase,PSCFees,IntIn,Bad'!W20</f>
        <v>2260</v>
      </c>
      <c r="F17" s="112">
        <f>D17/$D$19</f>
        <v>0.11932418162618796</v>
      </c>
      <c r="G17" s="8"/>
      <c r="H17" s="10">
        <f>H12*F17</f>
        <v>47713.563885955649</v>
      </c>
      <c r="I17" s="8"/>
      <c r="J17" s="8"/>
      <c r="K17" s="8"/>
    </row>
    <row r="18" spans="1:11" x14ac:dyDescent="0.4">
      <c r="D18" s="8"/>
      <c r="G18" s="8"/>
      <c r="H18" s="8"/>
      <c r="I18" s="8"/>
      <c r="J18" s="8"/>
      <c r="K18" s="8"/>
    </row>
    <row r="19" spans="1:11" ht="16.5" thickBot="1" x14ac:dyDescent="0.45">
      <c r="A19" t="s">
        <v>25</v>
      </c>
      <c r="D19" s="11">
        <f>SUM(D16:D18)</f>
        <v>18940</v>
      </c>
      <c r="F19" s="273">
        <f>SUM(F16:F18)</f>
        <v>1</v>
      </c>
      <c r="G19" s="8"/>
      <c r="H19" s="31">
        <f>SUM(H16:H18)</f>
        <v>399865</v>
      </c>
      <c r="I19" s="8"/>
      <c r="J19" s="8"/>
      <c r="K19" s="8"/>
    </row>
    <row r="20" spans="1:11" ht="16.5" thickTop="1" x14ac:dyDescent="0.4"/>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35065-387A-4012-84B5-7722CC6443C9}">
  <dimension ref="A1"/>
  <sheetViews>
    <sheetView workbookViewId="0"/>
  </sheetViews>
  <sheetFormatPr defaultRowHeight="16" x14ac:dyDescent="0.4"/>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C4783-28F7-4054-91EA-17A0428E40AE}">
  <dimension ref="A1:AF110"/>
  <sheetViews>
    <sheetView showGridLines="0" topLeftCell="I80" workbookViewId="0">
      <selection activeCell="V121" sqref="V121"/>
    </sheetView>
  </sheetViews>
  <sheetFormatPr defaultRowHeight="16" x14ac:dyDescent="0.4"/>
  <cols>
    <col min="2" max="2" width="12.58203125" bestFit="1" customWidth="1"/>
    <col min="4" max="4" width="12.58203125" bestFit="1" customWidth="1"/>
    <col min="5" max="5" width="10.33203125" customWidth="1"/>
    <col min="6" max="6" width="13.08203125" bestFit="1" customWidth="1"/>
    <col min="8" max="8" width="13.9140625" customWidth="1"/>
    <col min="14" max="14" width="2.4140625" customWidth="1"/>
    <col min="17" max="17" width="13" customWidth="1"/>
    <col min="18" max="18" width="13.6640625" bestFit="1" customWidth="1"/>
    <col min="19" max="19" width="0.9140625" customWidth="1"/>
    <col min="20" max="20" width="9.58203125" style="5" bestFit="1" customWidth="1"/>
    <col min="21" max="21" width="0.9140625" style="5" customWidth="1"/>
    <col min="22" max="22" width="12.1640625" bestFit="1" customWidth="1"/>
    <col min="23" max="23" width="0.9140625" customWidth="1"/>
    <col min="24" max="24" width="12.58203125" bestFit="1" customWidth="1"/>
    <col min="25" max="26" width="11.08203125" bestFit="1" customWidth="1"/>
  </cols>
  <sheetData>
    <row r="1" spans="1:32" x14ac:dyDescent="0.4">
      <c r="A1" s="407" t="s">
        <v>3478</v>
      </c>
      <c r="B1" s="407"/>
      <c r="C1" s="407"/>
      <c r="D1" s="407"/>
      <c r="E1" s="407"/>
      <c r="F1" s="407"/>
      <c r="G1" s="407"/>
      <c r="N1" s="408" t="s">
        <v>3483</v>
      </c>
      <c r="O1" s="408"/>
      <c r="P1" s="408"/>
      <c r="Q1" s="408"/>
      <c r="R1" s="408"/>
      <c r="S1" s="408"/>
      <c r="T1" s="408"/>
      <c r="U1" s="408"/>
      <c r="V1" s="408"/>
      <c r="W1" s="408"/>
      <c r="X1" s="408"/>
      <c r="Y1" s="8"/>
      <c r="Z1" s="8"/>
      <c r="AA1" s="8"/>
      <c r="AB1" s="8"/>
      <c r="AC1" s="8"/>
      <c r="AD1" s="8"/>
      <c r="AE1" s="8"/>
      <c r="AF1" s="8"/>
    </row>
    <row r="2" spans="1:32" x14ac:dyDescent="0.4">
      <c r="A2" s="407" t="s">
        <v>584</v>
      </c>
      <c r="B2" s="407"/>
      <c r="C2" s="407"/>
      <c r="D2" s="407"/>
      <c r="E2" s="407"/>
      <c r="F2" s="407"/>
      <c r="G2" s="407"/>
      <c r="N2" s="409" t="s">
        <v>622</v>
      </c>
      <c r="O2" s="409"/>
      <c r="P2" s="409"/>
      <c r="Q2" s="409"/>
      <c r="R2" s="409"/>
      <c r="S2" s="409"/>
      <c r="T2" s="409"/>
      <c r="U2" s="409"/>
      <c r="V2" s="409"/>
      <c r="W2" s="409"/>
      <c r="X2" s="409"/>
      <c r="Y2" s="8"/>
      <c r="Z2" s="8"/>
      <c r="AA2" s="8"/>
      <c r="AB2" s="8"/>
      <c r="AC2" s="8"/>
      <c r="AD2" s="8"/>
      <c r="AE2" s="8"/>
      <c r="AF2" s="8"/>
    </row>
    <row r="3" spans="1:32" x14ac:dyDescent="0.4">
      <c r="A3" s="407" t="s">
        <v>3479</v>
      </c>
      <c r="B3" s="407"/>
      <c r="C3" s="407"/>
      <c r="D3" s="407"/>
      <c r="E3" s="407"/>
      <c r="F3" s="407"/>
      <c r="G3" s="407"/>
      <c r="N3" s="409" t="str">
        <f>A3</f>
        <v>Mountain Water District, Water Operations, Test Year Ended December 31, 2024</v>
      </c>
      <c r="O3" s="409"/>
      <c r="P3" s="409"/>
      <c r="Q3" s="409"/>
      <c r="R3" s="409"/>
      <c r="S3" s="409"/>
      <c r="T3" s="409"/>
      <c r="U3" s="409"/>
      <c r="V3" s="409"/>
      <c r="W3" s="409"/>
      <c r="X3" s="409"/>
      <c r="Y3" s="8"/>
      <c r="Z3" s="8"/>
      <c r="AA3" s="8"/>
      <c r="AB3" s="8"/>
      <c r="AC3" s="8"/>
      <c r="AD3" s="8"/>
      <c r="AE3" s="8"/>
      <c r="AF3" s="8"/>
    </row>
    <row r="4" spans="1:32" ht="1.75" customHeight="1" x14ac:dyDescent="0.4">
      <c r="N4" s="8"/>
      <c r="O4" s="8"/>
      <c r="P4" s="8"/>
      <c r="Q4" s="8"/>
      <c r="R4" s="8"/>
      <c r="S4" s="8"/>
      <c r="V4" s="8"/>
      <c r="W4" s="8"/>
      <c r="X4" s="8"/>
      <c r="Y4" s="8"/>
      <c r="Z4" s="8"/>
      <c r="AA4" s="8"/>
      <c r="AB4" s="8"/>
      <c r="AC4" s="8"/>
      <c r="AD4" s="8"/>
      <c r="AE4" s="8"/>
      <c r="AF4" s="8"/>
    </row>
    <row r="5" spans="1:32" x14ac:dyDescent="0.4">
      <c r="A5" s="410" t="s">
        <v>585</v>
      </c>
      <c r="B5" s="410"/>
      <c r="C5" s="410"/>
      <c r="D5" s="410"/>
      <c r="E5" s="410"/>
      <c r="F5" s="410"/>
      <c r="G5" s="410"/>
      <c r="N5" s="8"/>
      <c r="O5" s="8"/>
      <c r="P5" s="8"/>
      <c r="Q5" s="8"/>
      <c r="R5" s="23" t="s">
        <v>623</v>
      </c>
      <c r="S5" s="23"/>
      <c r="T5" s="340" t="s">
        <v>624</v>
      </c>
      <c r="U5" s="340"/>
      <c r="V5" s="402" t="s">
        <v>625</v>
      </c>
      <c r="W5" s="402"/>
      <c r="X5" s="402"/>
      <c r="Y5" s="8"/>
      <c r="Z5" s="8"/>
      <c r="AA5" s="8"/>
      <c r="AB5" s="8"/>
      <c r="AC5" s="8"/>
      <c r="AD5" s="8"/>
      <c r="AE5" s="8"/>
      <c r="AF5" s="8"/>
    </row>
    <row r="6" spans="1:32" x14ac:dyDescent="0.4">
      <c r="B6" s="400" t="s">
        <v>586</v>
      </c>
      <c r="C6" s="400"/>
      <c r="D6" s="400"/>
      <c r="F6" s="411" t="s">
        <v>587</v>
      </c>
      <c r="G6" s="411"/>
      <c r="N6" s="8"/>
      <c r="O6" s="8"/>
      <c r="P6" s="8"/>
      <c r="Q6" s="8"/>
      <c r="R6" s="368" t="s">
        <v>626</v>
      </c>
      <c r="S6" s="362"/>
      <c r="T6" s="369" t="s">
        <v>575</v>
      </c>
      <c r="U6" s="363"/>
      <c r="V6" s="368" t="s">
        <v>225</v>
      </c>
      <c r="W6" s="364"/>
      <c r="X6" s="368" t="s">
        <v>224</v>
      </c>
      <c r="Y6" s="8"/>
      <c r="Z6" s="8"/>
      <c r="AA6" s="8"/>
      <c r="AB6" s="8" t="s">
        <v>627</v>
      </c>
      <c r="AC6" s="8"/>
      <c r="AD6" s="8"/>
      <c r="AE6" s="8"/>
      <c r="AF6" s="8"/>
    </row>
    <row r="7" spans="1:32" x14ac:dyDescent="0.4">
      <c r="A7" s="2"/>
      <c r="B7" s="2" t="s">
        <v>588</v>
      </c>
      <c r="C7" s="2" t="s">
        <v>589</v>
      </c>
      <c r="D7" s="2" t="s">
        <v>590</v>
      </c>
      <c r="F7" s="2" t="s">
        <v>589</v>
      </c>
      <c r="G7" s="2" t="s">
        <v>590</v>
      </c>
      <c r="N7" s="8" t="s">
        <v>628</v>
      </c>
      <c r="O7" s="8"/>
      <c r="P7" s="8"/>
      <c r="Q7" s="8"/>
      <c r="R7" s="8"/>
      <c r="S7" s="8"/>
      <c r="V7" s="8"/>
      <c r="W7" s="8"/>
      <c r="X7" s="8"/>
      <c r="Y7" s="8"/>
      <c r="Z7" s="8"/>
      <c r="AA7" s="8"/>
      <c r="AB7" s="8"/>
      <c r="AC7" s="8"/>
      <c r="AD7" s="8"/>
      <c r="AE7" s="8"/>
      <c r="AF7" s="8"/>
    </row>
    <row r="8" spans="1:32" x14ac:dyDescent="0.4">
      <c r="A8" s="21" t="s">
        <v>591</v>
      </c>
      <c r="B8" s="21" t="s">
        <v>592</v>
      </c>
      <c r="C8" s="21" t="s">
        <v>593</v>
      </c>
      <c r="D8" s="21" t="s">
        <v>594</v>
      </c>
      <c r="F8" s="21" t="s">
        <v>593</v>
      </c>
      <c r="G8" s="21" t="s">
        <v>594</v>
      </c>
      <c r="N8" s="8"/>
      <c r="O8" s="8" t="s">
        <v>459</v>
      </c>
      <c r="P8" s="8"/>
      <c r="Q8" s="8"/>
      <c r="R8" s="9">
        <f>'Water Pro forma Rev Req'!R37</f>
        <v>359333.01429639547</v>
      </c>
      <c r="S8" s="9"/>
      <c r="T8" s="5">
        <f>H81</f>
        <v>7.2064745013622783E-2</v>
      </c>
      <c r="V8" s="9">
        <f>R8*T8</f>
        <v>25895.242050246208</v>
      </c>
      <c r="W8" s="9"/>
      <c r="X8" s="9">
        <f>R8-V8</f>
        <v>333437.77224614925</v>
      </c>
      <c r="Y8" s="8"/>
      <c r="Z8" s="8"/>
      <c r="AA8" s="8"/>
      <c r="AB8" s="8">
        <f>'[1]C &amp; D-Sys Info &amp; alloca factors'!N81</f>
        <v>0</v>
      </c>
      <c r="AC8" s="8"/>
      <c r="AD8" s="8"/>
      <c r="AE8" s="8"/>
      <c r="AF8" s="5">
        <f>'[1]C &amp; D-Sys Info &amp; alloca factors'!U81</f>
        <v>0</v>
      </c>
    </row>
    <row r="9" spans="1:32" x14ac:dyDescent="0.4">
      <c r="A9" s="2"/>
      <c r="B9" s="2"/>
      <c r="C9" s="2"/>
      <c r="D9" s="2"/>
      <c r="N9" s="8"/>
      <c r="O9" s="8" t="s">
        <v>629</v>
      </c>
      <c r="P9" s="8"/>
      <c r="Q9" s="8"/>
      <c r="R9" s="8">
        <f>'Water Pro forma Rev Req'!T37</f>
        <v>1423993.0371256422</v>
      </c>
      <c r="S9" s="8"/>
      <c r="T9" s="5">
        <f>H86</f>
        <v>8.5123826949909578E-3</v>
      </c>
      <c r="V9" s="8">
        <f t="shared" ref="V9:V35" si="0">R9*T9</f>
        <v>12121.573687015933</v>
      </c>
      <c r="W9" s="8"/>
      <c r="X9" s="8">
        <f t="shared" ref="X9:X35" si="1">R9-V9</f>
        <v>1411871.4634386261</v>
      </c>
      <c r="Y9" s="8"/>
      <c r="Z9" s="8"/>
      <c r="AA9" s="8"/>
      <c r="AB9" s="8"/>
      <c r="AC9" s="8"/>
      <c r="AD9" s="8"/>
      <c r="AE9" s="8"/>
      <c r="AF9" s="5"/>
    </row>
    <row r="10" spans="1:32" x14ac:dyDescent="0.4">
      <c r="A10">
        <v>24</v>
      </c>
      <c r="B10" s="1"/>
      <c r="C10" s="1">
        <f>B10/5280</f>
        <v>0</v>
      </c>
      <c r="D10" s="1">
        <f>A10*C10</f>
        <v>0</v>
      </c>
      <c r="F10" s="35"/>
      <c r="G10" s="35"/>
      <c r="N10" s="8"/>
      <c r="O10" s="8" t="s">
        <v>460</v>
      </c>
      <c r="P10" s="8"/>
      <c r="Q10" s="8"/>
      <c r="R10" s="8">
        <f>'Water Pro forma Rev Req'!V37</f>
        <v>242876.3523538181</v>
      </c>
      <c r="S10" s="8"/>
      <c r="V10" s="8">
        <f t="shared" si="0"/>
        <v>0</v>
      </c>
      <c r="W10" s="8"/>
      <c r="X10" s="8">
        <f t="shared" si="1"/>
        <v>242876.3523538181</v>
      </c>
      <c r="Y10" s="8"/>
      <c r="Z10" s="8"/>
      <c r="AA10" s="8"/>
      <c r="AB10" s="8">
        <f>'[1]C &amp; D-Sys Info &amp; alloca factors'!N86</f>
        <v>0</v>
      </c>
      <c r="AC10" s="8"/>
      <c r="AD10" s="8"/>
      <c r="AE10" s="8"/>
      <c r="AF10" s="5">
        <f>'[1]C &amp; D-Sys Info &amp; alloca factors'!U86</f>
        <v>0</v>
      </c>
    </row>
    <row r="11" spans="1:32" x14ac:dyDescent="0.4">
      <c r="A11">
        <v>20</v>
      </c>
      <c r="B11" s="1"/>
      <c r="C11" s="1">
        <f t="shared" ref="C11:C22" si="2">B11/5280</f>
        <v>0</v>
      </c>
      <c r="D11" s="1">
        <f t="shared" ref="D11:D22" si="3">A11*C11</f>
        <v>0</v>
      </c>
      <c r="F11" s="35"/>
      <c r="G11" s="35"/>
      <c r="I11" t="s">
        <v>3289</v>
      </c>
      <c r="N11" s="8"/>
      <c r="O11" s="8" t="s">
        <v>2667</v>
      </c>
      <c r="P11" s="8"/>
      <c r="Q11" s="8"/>
      <c r="R11" s="8">
        <f>'Water Pro forma Rev Req'!X37</f>
        <v>189647.75033597415</v>
      </c>
      <c r="S11" s="8"/>
      <c r="V11" s="8">
        <f t="shared" si="0"/>
        <v>0</v>
      </c>
      <c r="W11" s="8"/>
      <c r="X11" s="8">
        <f t="shared" si="1"/>
        <v>189647.75033597415</v>
      </c>
      <c r="Y11" s="8"/>
      <c r="Z11" s="8"/>
      <c r="AA11" s="8"/>
      <c r="AB11" s="8"/>
      <c r="AC11" s="8"/>
      <c r="AD11" s="8"/>
      <c r="AE11" s="8"/>
      <c r="AF11" s="5"/>
    </row>
    <row r="12" spans="1:32" x14ac:dyDescent="0.4">
      <c r="A12">
        <v>16</v>
      </c>
      <c r="B12" s="1"/>
      <c r="C12" s="1">
        <f t="shared" si="2"/>
        <v>0</v>
      </c>
      <c r="D12" s="1">
        <f t="shared" si="3"/>
        <v>0</v>
      </c>
      <c r="F12" s="35"/>
      <c r="G12" s="35"/>
      <c r="I12" t="s">
        <v>3290</v>
      </c>
      <c r="N12" s="8"/>
      <c r="O12" s="8" t="s">
        <v>467</v>
      </c>
      <c r="P12" s="8"/>
      <c r="Q12" s="8"/>
      <c r="R12" s="8">
        <f>'Water Pro forma Rev Req'!Z37+'Water Pro forma Rev Req'!Z38</f>
        <v>527412.58187961986</v>
      </c>
      <c r="S12" s="8"/>
      <c r="T12" s="5">
        <f>H90</f>
        <v>8.4274985495984112E-2</v>
      </c>
      <c r="V12" s="8">
        <f t="shared" si="0"/>
        <v>44447.687688304497</v>
      </c>
      <c r="W12" s="8"/>
      <c r="X12" s="8">
        <f t="shared" si="1"/>
        <v>482964.89419131534</v>
      </c>
      <c r="Y12" s="8"/>
      <c r="Z12" s="8">
        <f>SUM(R8:R12)</f>
        <v>2743262.7359914496</v>
      </c>
      <c r="AA12" s="8"/>
      <c r="AB12" s="8">
        <f>'[1]C &amp; D-Sys Info &amp; alloca factors'!N90</f>
        <v>0</v>
      </c>
      <c r="AC12" s="8"/>
      <c r="AD12" s="8"/>
      <c r="AE12" s="8"/>
      <c r="AF12" s="5">
        <f>'[1]C &amp; D-Sys Info &amp; alloca factors'!U90</f>
        <v>0</v>
      </c>
    </row>
    <row r="13" spans="1:32" x14ac:dyDescent="0.4">
      <c r="A13">
        <v>12</v>
      </c>
      <c r="B13" s="1"/>
      <c r="C13" s="1">
        <v>2.83</v>
      </c>
      <c r="D13" s="1">
        <f t="shared" si="3"/>
        <v>33.96</v>
      </c>
      <c r="F13" s="35">
        <v>1.96</v>
      </c>
      <c r="G13" s="35">
        <f>A13*F13</f>
        <v>23.52</v>
      </c>
      <c r="N13" s="8" t="s">
        <v>192</v>
      </c>
      <c r="O13" s="8"/>
      <c r="P13" s="8"/>
      <c r="Q13" s="8"/>
      <c r="R13" s="8"/>
      <c r="S13" s="8"/>
      <c r="V13" s="8"/>
      <c r="W13" s="8"/>
      <c r="X13" s="8"/>
      <c r="Y13" s="8"/>
      <c r="Z13" s="8"/>
      <c r="AA13" s="8"/>
      <c r="AB13" s="8"/>
      <c r="AC13" s="8"/>
      <c r="AD13" s="8"/>
      <c r="AE13" s="8"/>
      <c r="AF13" s="8"/>
    </row>
    <row r="14" spans="1:32" x14ac:dyDescent="0.4">
      <c r="A14">
        <v>10</v>
      </c>
      <c r="B14" s="1"/>
      <c r="C14" s="1">
        <f>1.1+0.2+16.1+11.3</f>
        <v>28.700000000000003</v>
      </c>
      <c r="D14" s="1">
        <f t="shared" si="3"/>
        <v>287</v>
      </c>
      <c r="F14" s="35">
        <v>5.54</v>
      </c>
      <c r="G14" s="35">
        <f t="shared" ref="G14:G16" si="4">A14*F14</f>
        <v>55.4</v>
      </c>
      <c r="N14" s="8"/>
      <c r="O14" s="8" t="s">
        <v>459</v>
      </c>
      <c r="P14" s="8"/>
      <c r="Q14" s="8"/>
      <c r="R14" s="8">
        <f>'Water Pro forma Rev Req'!R40</f>
        <v>159615.35890427319</v>
      </c>
      <c r="S14" s="8"/>
      <c r="T14" s="5">
        <f>T8</f>
        <v>7.2064745013622783E-2</v>
      </c>
      <c r="V14" s="8">
        <f t="shared" si="0"/>
        <v>11502.640139694333</v>
      </c>
      <c r="W14" s="8"/>
      <c r="X14" s="8">
        <f t="shared" si="1"/>
        <v>148112.71876457887</v>
      </c>
      <c r="Y14" s="8"/>
      <c r="Z14" s="8"/>
      <c r="AA14" s="8"/>
      <c r="AB14" s="8"/>
      <c r="AC14" s="8"/>
      <c r="AD14" s="8"/>
      <c r="AE14" s="8"/>
      <c r="AF14" s="8"/>
    </row>
    <row r="15" spans="1:32" x14ac:dyDescent="0.4">
      <c r="A15">
        <v>8</v>
      </c>
      <c r="B15" s="1"/>
      <c r="C15" s="1">
        <f>4.2+0.2+36.3+110</f>
        <v>150.69999999999999</v>
      </c>
      <c r="D15" s="1">
        <f t="shared" si="3"/>
        <v>1205.5999999999999</v>
      </c>
      <c r="F15">
        <v>38.479999999999997</v>
      </c>
      <c r="G15" s="35">
        <f t="shared" si="4"/>
        <v>307.83999999999997</v>
      </c>
      <c r="N15" s="8"/>
      <c r="O15" s="8" t="s">
        <v>629</v>
      </c>
      <c r="P15" s="8"/>
      <c r="Q15" s="8"/>
      <c r="R15" s="8">
        <f>'Water Pro forma Rev Req'!T40</f>
        <v>641549.43144246691</v>
      </c>
      <c r="S15" s="8"/>
      <c r="T15" s="5">
        <f>T9</f>
        <v>8.5123826949909578E-3</v>
      </c>
      <c r="V15" s="8">
        <f t="shared" si="0"/>
        <v>5461.1142781921435</v>
      </c>
      <c r="W15" s="8"/>
      <c r="X15" s="8">
        <f t="shared" si="1"/>
        <v>636088.31716427475</v>
      </c>
      <c r="Y15" s="8"/>
      <c r="Z15" s="8"/>
      <c r="AA15" s="8"/>
      <c r="AB15" s="8"/>
      <c r="AC15" s="8"/>
      <c r="AD15" s="8"/>
      <c r="AE15" s="8"/>
      <c r="AF15" s="8"/>
    </row>
    <row r="16" spans="1:32" x14ac:dyDescent="0.4">
      <c r="A16">
        <v>6</v>
      </c>
      <c r="B16" s="1"/>
      <c r="C16" s="1">
        <f>4.64+78.5+179</f>
        <v>262.14</v>
      </c>
      <c r="D16" s="1">
        <f t="shared" si="3"/>
        <v>1572.84</v>
      </c>
      <c r="F16" s="35">
        <v>12.49</v>
      </c>
      <c r="G16" s="35">
        <f t="shared" si="4"/>
        <v>74.94</v>
      </c>
      <c r="N16" s="8"/>
      <c r="O16" s="8" t="s">
        <v>460</v>
      </c>
      <c r="P16" s="8"/>
      <c r="Q16" s="8"/>
      <c r="R16" s="8">
        <f>'Water Pro forma Rev Req'!V40</f>
        <v>107885.4283017219</v>
      </c>
      <c r="S16" s="8"/>
      <c r="V16" s="8">
        <f t="shared" si="0"/>
        <v>0</v>
      </c>
      <c r="W16" s="8"/>
      <c r="X16" s="8">
        <f t="shared" si="1"/>
        <v>107885.4283017219</v>
      </c>
      <c r="Y16" s="8"/>
      <c r="Z16" s="8"/>
      <c r="AA16" s="8"/>
      <c r="AB16" s="8"/>
      <c r="AC16" s="8"/>
      <c r="AD16" s="8"/>
      <c r="AE16" s="8"/>
      <c r="AF16" s="8"/>
    </row>
    <row r="17" spans="1:32" x14ac:dyDescent="0.4">
      <c r="A17">
        <v>4</v>
      </c>
      <c r="B17" s="1"/>
      <c r="C17" s="1">
        <f>7.14+77.8+230.8</f>
        <v>315.74</v>
      </c>
      <c r="D17" s="1">
        <f t="shared" si="3"/>
        <v>1262.96</v>
      </c>
      <c r="N17" s="8"/>
      <c r="O17" s="8" t="s">
        <v>2667</v>
      </c>
      <c r="P17" s="8"/>
      <c r="Q17" s="8"/>
      <c r="R17" s="8">
        <f>'Water Pro forma Rev Req'!X40</f>
        <v>84241.337508430966</v>
      </c>
      <c r="S17" s="8"/>
      <c r="V17" s="8">
        <f t="shared" si="0"/>
        <v>0</v>
      </c>
      <c r="W17" s="8"/>
      <c r="X17" s="8">
        <f t="shared" si="1"/>
        <v>84241.337508430966</v>
      </c>
      <c r="Y17" s="8"/>
      <c r="Z17" s="8"/>
      <c r="AA17" s="8"/>
      <c r="AB17" s="8"/>
      <c r="AC17" s="8"/>
      <c r="AD17" s="8"/>
      <c r="AE17" s="8"/>
      <c r="AF17" s="8"/>
    </row>
    <row r="18" spans="1:32" x14ac:dyDescent="0.4">
      <c r="A18">
        <v>3</v>
      </c>
      <c r="B18" s="1"/>
      <c r="C18" s="1">
        <f>63.8</f>
        <v>63.8</v>
      </c>
      <c r="D18" s="1">
        <f t="shared" si="3"/>
        <v>191.39999999999998</v>
      </c>
      <c r="N18" s="8"/>
      <c r="O18" s="8" t="s">
        <v>467</v>
      </c>
      <c r="P18" s="8"/>
      <c r="Q18" s="8"/>
      <c r="R18" s="8">
        <f>'Water Pro forma Rev Req'!Z40</f>
        <v>222822.27256327588</v>
      </c>
      <c r="S18" s="8"/>
      <c r="T18" s="5">
        <f>T12</f>
        <v>8.4274985495984112E-2</v>
      </c>
      <c r="V18" s="8">
        <f t="shared" si="0"/>
        <v>18778.343788452294</v>
      </c>
      <c r="W18" s="8"/>
      <c r="X18" s="8">
        <f t="shared" si="1"/>
        <v>204043.92877482358</v>
      </c>
      <c r="Y18" s="8"/>
      <c r="Z18" s="8">
        <f>SUM(R14:R18)</f>
        <v>1216113.8287201687</v>
      </c>
      <c r="AA18" s="8"/>
      <c r="AB18" s="8"/>
      <c r="AC18" s="8"/>
      <c r="AD18" s="8"/>
      <c r="AE18" s="8"/>
      <c r="AF18" s="8"/>
    </row>
    <row r="19" spans="1:32" x14ac:dyDescent="0.4">
      <c r="A19">
        <v>2</v>
      </c>
      <c r="B19" s="1"/>
      <c r="C19" s="1">
        <f>0.52+8.08</f>
        <v>8.6</v>
      </c>
      <c r="D19" s="1">
        <f t="shared" si="3"/>
        <v>17.2</v>
      </c>
      <c r="N19" s="8" t="s">
        <v>630</v>
      </c>
      <c r="O19" s="8"/>
      <c r="P19" s="8"/>
      <c r="Q19" s="8"/>
      <c r="R19" s="8"/>
      <c r="S19" s="8"/>
      <c r="V19" s="8"/>
      <c r="W19" s="8"/>
      <c r="X19" s="8"/>
      <c r="Y19" s="8"/>
      <c r="Z19" s="8"/>
      <c r="AA19" s="8"/>
      <c r="AB19" s="8"/>
      <c r="AC19" s="8"/>
      <c r="AD19" s="8"/>
      <c r="AE19" s="8"/>
      <c r="AF19" s="8"/>
    </row>
    <row r="20" spans="1:32" x14ac:dyDescent="0.4">
      <c r="A20">
        <v>1.75</v>
      </c>
      <c r="B20" s="1"/>
      <c r="C20" s="1"/>
      <c r="D20" s="1">
        <f t="shared" si="3"/>
        <v>0</v>
      </c>
      <c r="N20" s="8"/>
      <c r="O20" s="8" t="s">
        <v>2623</v>
      </c>
      <c r="P20" s="8"/>
      <c r="Q20" s="8"/>
      <c r="R20" s="8">
        <f>'Water Pro forma Rev Req'!P46</f>
        <v>933458.71470000001</v>
      </c>
      <c r="S20" s="8"/>
      <c r="T20" s="5">
        <f>T8</f>
        <v>7.2064745013622783E-2</v>
      </c>
      <c r="V20" s="8">
        <f t="shared" si="0"/>
        <v>67269.464255599552</v>
      </c>
      <c r="W20" s="8"/>
      <c r="X20" s="8">
        <f t="shared" si="1"/>
        <v>866189.25044440047</v>
      </c>
      <c r="Y20" s="8"/>
      <c r="Z20" s="8"/>
      <c r="AA20" s="8"/>
      <c r="AB20" s="8"/>
      <c r="AC20" s="8"/>
      <c r="AD20" s="8"/>
      <c r="AE20" s="8"/>
      <c r="AF20" s="8"/>
    </row>
    <row r="21" spans="1:32" x14ac:dyDescent="0.4">
      <c r="A21">
        <v>1.5</v>
      </c>
      <c r="B21" s="1"/>
      <c r="C21" s="1">
        <f t="shared" si="2"/>
        <v>0</v>
      </c>
      <c r="D21" s="1">
        <f t="shared" si="3"/>
        <v>0</v>
      </c>
      <c r="N21" s="8" t="s">
        <v>193</v>
      </c>
      <c r="O21" s="8"/>
      <c r="P21" s="8"/>
      <c r="Q21" s="8"/>
      <c r="R21" s="8"/>
      <c r="S21" s="8"/>
      <c r="V21" s="8"/>
      <c r="W21" s="8"/>
      <c r="X21" s="8"/>
      <c r="Y21" s="8"/>
      <c r="Z21" s="8"/>
      <c r="AA21" s="8"/>
      <c r="AB21" s="8"/>
      <c r="AC21" s="8"/>
      <c r="AD21" s="8"/>
      <c r="AE21" s="8"/>
      <c r="AF21" s="8"/>
    </row>
    <row r="22" spans="1:32" x14ac:dyDescent="0.4">
      <c r="A22">
        <v>1</v>
      </c>
      <c r="B22" s="60"/>
      <c r="C22" s="60">
        <f t="shared" si="2"/>
        <v>0</v>
      </c>
      <c r="D22" s="60">
        <f t="shared" si="3"/>
        <v>0</v>
      </c>
      <c r="F22" s="41"/>
      <c r="G22" s="41"/>
      <c r="N22" s="8"/>
      <c r="O22" s="8" t="s">
        <v>459</v>
      </c>
      <c r="P22" s="8"/>
      <c r="Q22" s="8"/>
      <c r="R22" s="8">
        <f>'Water Pro forma Rev Req'!R44</f>
        <v>85400.731199999995</v>
      </c>
      <c r="S22" s="8"/>
      <c r="T22" s="5">
        <f>T14</f>
        <v>7.2064745013622783E-2</v>
      </c>
      <c r="V22" s="8">
        <f t="shared" si="0"/>
        <v>6154.3819179049397</v>
      </c>
      <c r="W22" s="8"/>
      <c r="X22" s="8">
        <f t="shared" si="1"/>
        <v>79246.349282095049</v>
      </c>
      <c r="Y22" s="8"/>
      <c r="Z22" s="8"/>
      <c r="AA22" s="8"/>
      <c r="AB22" s="8"/>
      <c r="AC22" s="8"/>
      <c r="AD22" s="8"/>
      <c r="AE22" s="8"/>
      <c r="AF22" s="8"/>
    </row>
    <row r="23" spans="1:32" x14ac:dyDescent="0.4">
      <c r="N23" s="8"/>
      <c r="O23" s="8" t="s">
        <v>629</v>
      </c>
      <c r="P23" s="8"/>
      <c r="Q23" s="8"/>
      <c r="R23" s="8">
        <f>'Water Pro forma Rev Req'!T45</f>
        <v>1007159.5319000001</v>
      </c>
      <c r="S23" s="8"/>
      <c r="T23" s="5">
        <f>T15</f>
        <v>8.5123826949909578E-3</v>
      </c>
      <c r="V23" s="8">
        <f t="shared" si="0"/>
        <v>8573.3273704407547</v>
      </c>
      <c r="W23" s="8"/>
      <c r="X23" s="8">
        <f t="shared" si="1"/>
        <v>998586.20452955936</v>
      </c>
      <c r="Y23" s="8"/>
      <c r="Z23" s="8"/>
      <c r="AA23" s="8"/>
      <c r="AB23" s="8"/>
      <c r="AC23" s="8"/>
      <c r="AD23" s="8"/>
      <c r="AE23" s="8"/>
      <c r="AF23" s="8"/>
    </row>
    <row r="24" spans="1:32" ht="16.5" thickBot="1" x14ac:dyDescent="0.45">
      <c r="A24" t="s">
        <v>595</v>
      </c>
      <c r="B24" s="231">
        <f>SUM(B10:B23)</f>
        <v>0</v>
      </c>
      <c r="C24" s="231">
        <f>SUM(C10:C23)</f>
        <v>832.51</v>
      </c>
      <c r="D24" s="231">
        <f>SUM(D10:D23)</f>
        <v>4570.9599999999991</v>
      </c>
      <c r="F24" s="231">
        <f>SUM(F10:F23)</f>
        <v>58.47</v>
      </c>
      <c r="G24" s="231">
        <f>SUM(G10:G23)</f>
        <v>461.7</v>
      </c>
      <c r="N24" s="8"/>
      <c r="O24" s="8" t="s">
        <v>467</v>
      </c>
      <c r="P24" s="8"/>
      <c r="Q24" s="8"/>
      <c r="R24" s="8">
        <f>'Water Pro forma Rev Req'!Z43</f>
        <v>10786.706167141117</v>
      </c>
      <c r="S24" s="8"/>
      <c r="T24" s="5">
        <f>T18</f>
        <v>8.4274985495984112E-2</v>
      </c>
      <c r="V24" s="8">
        <f t="shared" si="0"/>
        <v>909.04950578526007</v>
      </c>
      <c r="W24" s="8"/>
      <c r="X24" s="8">
        <f t="shared" si="1"/>
        <v>9877.6566613558571</v>
      </c>
      <c r="Y24" s="8"/>
      <c r="Z24" s="8">
        <f>SUM(R22:R24)</f>
        <v>1103346.9692671413</v>
      </c>
      <c r="AA24" s="8"/>
      <c r="AB24" s="8"/>
      <c r="AC24" s="8"/>
      <c r="AD24" s="8"/>
      <c r="AE24" s="8"/>
      <c r="AF24" s="8"/>
    </row>
    <row r="25" spans="1:32" ht="16.5" thickTop="1" x14ac:dyDescent="0.4">
      <c r="N25" s="8" t="s">
        <v>194</v>
      </c>
      <c r="O25" s="8"/>
      <c r="P25" s="8"/>
      <c r="Q25" s="8"/>
      <c r="R25" s="8"/>
      <c r="S25" s="8"/>
      <c r="V25" s="8"/>
      <c r="W25" s="8"/>
      <c r="X25" s="8"/>
      <c r="Y25" s="8"/>
      <c r="Z25" s="8"/>
      <c r="AA25" s="8"/>
      <c r="AB25" s="8"/>
      <c r="AC25" s="8"/>
      <c r="AD25" s="8"/>
      <c r="AE25" s="8"/>
      <c r="AF25" s="8"/>
    </row>
    <row r="26" spans="1:32" x14ac:dyDescent="0.4">
      <c r="N26" s="8"/>
      <c r="O26" s="8" t="s">
        <v>459</v>
      </c>
      <c r="P26" s="8"/>
      <c r="Q26" s="8"/>
      <c r="R26" s="8">
        <f>'Water Pro forma Rev Req'!R47</f>
        <v>176503.65830000001</v>
      </c>
      <c r="S26" s="8"/>
      <c r="T26" s="5">
        <f>T22</f>
        <v>7.2064745013622783E-2</v>
      </c>
      <c r="V26" s="8">
        <f t="shared" si="0"/>
        <v>12719.691129361105</v>
      </c>
      <c r="W26" s="8"/>
      <c r="X26" s="8">
        <f t="shared" si="1"/>
        <v>163783.96717063891</v>
      </c>
      <c r="Y26" s="8"/>
      <c r="Z26" s="8"/>
      <c r="AA26" s="8"/>
      <c r="AB26" s="8"/>
      <c r="AC26" s="8"/>
      <c r="AD26" s="8"/>
      <c r="AE26" s="8"/>
      <c r="AF26" s="8"/>
    </row>
    <row r="27" spans="1:32" x14ac:dyDescent="0.4">
      <c r="A27" s="410" t="s">
        <v>596</v>
      </c>
      <c r="B27" s="410"/>
      <c r="C27" s="410"/>
      <c r="D27" s="410"/>
      <c r="E27" s="410"/>
      <c r="F27" s="410"/>
      <c r="G27" s="410"/>
      <c r="N27" s="8" t="s">
        <v>195</v>
      </c>
      <c r="O27" s="8"/>
      <c r="P27" s="8"/>
      <c r="Q27" s="8"/>
      <c r="R27" s="8"/>
      <c r="S27" s="8"/>
      <c r="V27" s="8"/>
      <c r="W27" s="8"/>
      <c r="X27" s="8"/>
      <c r="Y27" s="8"/>
      <c r="Z27" s="8"/>
      <c r="AA27" s="8"/>
      <c r="AB27" s="8"/>
      <c r="AC27" s="8"/>
      <c r="AD27" s="8"/>
      <c r="AE27" s="8"/>
      <c r="AF27" s="8"/>
    </row>
    <row r="28" spans="1:32" x14ac:dyDescent="0.4">
      <c r="N28" s="8"/>
      <c r="O28" s="8" t="s">
        <v>459</v>
      </c>
      <c r="P28" s="8"/>
      <c r="Q28" s="8"/>
      <c r="R28" s="8">
        <f>'Water Pro forma Rev Req'!R48</f>
        <v>124215.00586680617</v>
      </c>
      <c r="S28" s="8"/>
      <c r="T28" s="5">
        <f>T22</f>
        <v>7.2064745013622783E-2</v>
      </c>
      <c r="V28" s="8">
        <f t="shared" si="0"/>
        <v>8951.5227246570448</v>
      </c>
      <c r="W28" s="8"/>
      <c r="X28" s="8">
        <f t="shared" si="1"/>
        <v>115263.48314214913</v>
      </c>
      <c r="Y28" s="8"/>
      <c r="Z28" s="8"/>
      <c r="AA28" s="8"/>
      <c r="AB28" s="8"/>
      <c r="AC28" s="8"/>
      <c r="AD28" s="8"/>
      <c r="AE28" s="8"/>
      <c r="AF28" s="8"/>
    </row>
    <row r="29" spans="1:32" x14ac:dyDescent="0.4">
      <c r="F29" s="49" t="s">
        <v>597</v>
      </c>
      <c r="G29" s="49" t="s">
        <v>537</v>
      </c>
      <c r="N29" s="8"/>
      <c r="O29" s="8" t="s">
        <v>629</v>
      </c>
      <c r="P29" s="8"/>
      <c r="Q29" s="8"/>
      <c r="R29" s="8">
        <f>'Water Pro forma Rev Req'!T48</f>
        <v>931854.07128066127</v>
      </c>
      <c r="S29" s="8"/>
      <c r="T29" s="5">
        <f>T23</f>
        <v>8.5123826949909578E-3</v>
      </c>
      <c r="V29" s="8">
        <f t="shared" si="0"/>
        <v>7932.2984706263715</v>
      </c>
      <c r="W29" s="8"/>
      <c r="X29" s="8">
        <f t="shared" si="1"/>
        <v>923921.77281003492</v>
      </c>
      <c r="Y29" s="8"/>
      <c r="Z29" s="8"/>
      <c r="AA29" s="8"/>
      <c r="AB29" s="8"/>
      <c r="AC29" s="8"/>
      <c r="AD29" s="8"/>
      <c r="AE29" s="8"/>
      <c r="AF29" s="8"/>
    </row>
    <row r="30" spans="1:32" x14ac:dyDescent="0.4">
      <c r="N30" s="8"/>
      <c r="O30" s="8" t="s">
        <v>460</v>
      </c>
      <c r="P30" s="8"/>
      <c r="Q30" s="8"/>
      <c r="R30" s="8">
        <f>'Water Pro forma Rev Req'!V48</f>
        <v>131689.75285253246</v>
      </c>
      <c r="S30" s="8"/>
      <c r="V30" s="8">
        <f t="shared" si="0"/>
        <v>0</v>
      </c>
      <c r="W30" s="8"/>
      <c r="X30" s="8">
        <f t="shared" si="1"/>
        <v>131689.75285253246</v>
      </c>
      <c r="Y30" s="8"/>
      <c r="Z30" s="8">
        <f>SUM(R28:R30)</f>
        <v>1187758.83</v>
      </c>
      <c r="AA30" s="8"/>
      <c r="AB30" s="8"/>
      <c r="AC30" s="8"/>
      <c r="AD30" s="8"/>
      <c r="AE30" s="8"/>
      <c r="AF30" s="8"/>
    </row>
    <row r="31" spans="1:32" x14ac:dyDescent="0.4">
      <c r="A31" t="s">
        <v>598</v>
      </c>
      <c r="F31" s="1">
        <v>780171</v>
      </c>
      <c r="N31" s="8" t="s">
        <v>631</v>
      </c>
      <c r="O31" s="8"/>
      <c r="P31" s="8"/>
      <c r="Q31" s="8"/>
      <c r="R31" s="8"/>
      <c r="S31" s="8"/>
      <c r="V31" s="8"/>
      <c r="W31" s="8"/>
      <c r="X31" s="8"/>
      <c r="Y31" s="8"/>
      <c r="Z31" s="8"/>
      <c r="AA31" s="8"/>
      <c r="AB31" s="8"/>
      <c r="AC31" s="8"/>
      <c r="AD31" s="8"/>
      <c r="AE31" s="8"/>
      <c r="AF31" s="8"/>
    </row>
    <row r="32" spans="1:32" x14ac:dyDescent="0.4">
      <c r="A32" t="s">
        <v>3284</v>
      </c>
      <c r="F32" s="60">
        <v>539570</v>
      </c>
      <c r="N32" s="8"/>
      <c r="O32" s="8" t="s">
        <v>459</v>
      </c>
      <c r="P32" s="8"/>
      <c r="Q32" s="8"/>
      <c r="R32" s="8">
        <f>SUM('Water Pro forma Rev Req'!R52:R53)</f>
        <v>68528.01516502611</v>
      </c>
      <c r="S32" s="8"/>
      <c r="T32" s="5">
        <f>T28</f>
        <v>7.2064745013622783E-2</v>
      </c>
      <c r="V32" s="8">
        <f t="shared" si="0"/>
        <v>4938.4539391572816</v>
      </c>
      <c r="W32" s="8"/>
      <c r="X32" s="8">
        <f t="shared" si="1"/>
        <v>63589.561225868827</v>
      </c>
      <c r="Y32" s="8"/>
      <c r="Z32" s="8"/>
      <c r="AA32" s="8"/>
      <c r="AB32" s="8"/>
      <c r="AC32" s="8"/>
      <c r="AD32" s="8"/>
      <c r="AE32" s="8"/>
      <c r="AF32" s="8"/>
    </row>
    <row r="33" spans="1:32" x14ac:dyDescent="0.4">
      <c r="F33" s="1"/>
      <c r="N33" s="8"/>
      <c r="O33" s="8" t="s">
        <v>629</v>
      </c>
      <c r="P33" s="8"/>
      <c r="Q33" s="8"/>
      <c r="R33" s="8">
        <f>SUM('Water Pro forma Rev Req'!T52:T53)</f>
        <v>37150.012891996063</v>
      </c>
      <c r="S33" s="8"/>
      <c r="T33" s="5">
        <f>T29</f>
        <v>8.5123826949909578E-3</v>
      </c>
      <c r="V33" s="8">
        <f t="shared" si="0"/>
        <v>316.23512686051828</v>
      </c>
      <c r="W33" s="8"/>
      <c r="X33" s="8">
        <f t="shared" si="1"/>
        <v>36833.777765135543</v>
      </c>
      <c r="Y33" s="8"/>
      <c r="Z33" s="8"/>
      <c r="AA33" s="8"/>
      <c r="AB33" s="8"/>
      <c r="AC33" s="8"/>
      <c r="AD33" s="8"/>
      <c r="AE33" s="8"/>
      <c r="AF33" s="8"/>
    </row>
    <row r="34" spans="1:32" x14ac:dyDescent="0.4">
      <c r="A34" t="s">
        <v>599</v>
      </c>
      <c r="F34" s="60">
        <f>SUM(F31:F33)</f>
        <v>1319741</v>
      </c>
      <c r="N34" s="8"/>
      <c r="O34" s="8" t="s">
        <v>460</v>
      </c>
      <c r="P34" s="8"/>
      <c r="Q34" s="8"/>
      <c r="R34" s="8">
        <f>'Water Pro forma Rev Req'!V53</f>
        <v>17301.11</v>
      </c>
      <c r="S34" s="8"/>
      <c r="V34" s="8">
        <f t="shared" si="0"/>
        <v>0</v>
      </c>
      <c r="W34" s="8"/>
      <c r="X34" s="8">
        <f t="shared" si="1"/>
        <v>17301.11</v>
      </c>
      <c r="Y34" s="8"/>
      <c r="Z34" s="8"/>
      <c r="AA34" s="8"/>
      <c r="AB34" s="8"/>
      <c r="AC34" s="8"/>
      <c r="AD34" s="8"/>
      <c r="AE34" s="8"/>
      <c r="AF34" s="8"/>
    </row>
    <row r="35" spans="1:32" x14ac:dyDescent="0.4">
      <c r="M35" s="24">
        <f>SUM(R32:R36)</f>
        <v>248229.65320258934</v>
      </c>
      <c r="O35" s="8" t="s">
        <v>2667</v>
      </c>
      <c r="R35" s="8">
        <f>'Water Pro forma Rev Req'!X53</f>
        <v>13576.928556338029</v>
      </c>
      <c r="S35" s="8"/>
      <c r="V35" s="8">
        <f t="shared" si="0"/>
        <v>0</v>
      </c>
      <c r="W35" s="8"/>
      <c r="X35" s="8">
        <f t="shared" si="1"/>
        <v>13576.928556338029</v>
      </c>
      <c r="AA35" s="8"/>
      <c r="AB35" s="8"/>
      <c r="AC35" s="8"/>
      <c r="AD35" s="8"/>
      <c r="AE35" s="8"/>
      <c r="AF35" s="8"/>
    </row>
    <row r="36" spans="1:32" x14ac:dyDescent="0.4">
      <c r="J36" t="s">
        <v>3288</v>
      </c>
      <c r="N36" s="8"/>
      <c r="O36" s="8" t="s">
        <v>467</v>
      </c>
      <c r="P36" s="8"/>
      <c r="Q36" s="8"/>
      <c r="R36" s="8">
        <f>SUM('Water Pro forma Rev Req'!Z50:Z53)</f>
        <v>111673.58658922915</v>
      </c>
      <c r="S36" s="8"/>
      <c r="T36" s="5">
        <f>T24</f>
        <v>8.4274985495984112E-2</v>
      </c>
      <c r="V36" s="8">
        <f>R36*T36</f>
        <v>9411.2898900918117</v>
      </c>
      <c r="W36" s="8"/>
      <c r="X36" s="8">
        <f>R36-V36</f>
        <v>102262.29669913734</v>
      </c>
      <c r="Y36" s="8"/>
      <c r="Z36" s="8">
        <f>SUM(R32:R36)</f>
        <v>248229.65320258934</v>
      </c>
      <c r="AA36" s="8"/>
      <c r="AB36" s="8"/>
      <c r="AC36" s="8"/>
      <c r="AD36" s="8"/>
      <c r="AE36" s="8"/>
      <c r="AF36" s="8"/>
    </row>
    <row r="37" spans="1:32" x14ac:dyDescent="0.4">
      <c r="A37" t="s">
        <v>600</v>
      </c>
      <c r="J37" t="s">
        <v>31</v>
      </c>
      <c r="N37" s="8" t="s">
        <v>196</v>
      </c>
      <c r="O37" s="8"/>
      <c r="P37" s="8"/>
      <c r="Q37" s="8"/>
      <c r="R37" s="8"/>
      <c r="S37" s="8"/>
      <c r="V37" s="8"/>
      <c r="W37" s="8"/>
      <c r="X37" s="8"/>
      <c r="Y37" s="8"/>
      <c r="Z37" s="8"/>
      <c r="AA37" s="8"/>
      <c r="AB37" s="8"/>
      <c r="AC37" s="8"/>
      <c r="AD37" s="8"/>
      <c r="AE37" s="8"/>
      <c r="AF37" s="8"/>
    </row>
    <row r="38" spans="1:32" x14ac:dyDescent="0.4">
      <c r="A38" t="s">
        <v>601</v>
      </c>
      <c r="F38" s="8">
        <v>688182</v>
      </c>
      <c r="J38">
        <v>687512.96</v>
      </c>
      <c r="N38" s="8"/>
      <c r="O38" s="8" t="s">
        <v>459</v>
      </c>
      <c r="P38" s="8"/>
      <c r="Q38" s="8"/>
      <c r="R38" s="8">
        <f>'Water Pro forma Rev Req'!R54</f>
        <v>10448.396234325015</v>
      </c>
      <c r="S38" s="8"/>
      <c r="T38" s="5">
        <f>T32</f>
        <v>7.2064745013622783E-2</v>
      </c>
      <c r="V38" s="8">
        <f>R38*T38</f>
        <v>752.96101042792873</v>
      </c>
      <c r="W38" s="8"/>
      <c r="X38" s="8">
        <f>R38-V38</f>
        <v>9695.435223897086</v>
      </c>
      <c r="Y38" s="8"/>
      <c r="AA38" s="8"/>
      <c r="AB38" s="8"/>
      <c r="AC38" s="8"/>
      <c r="AD38" s="8"/>
      <c r="AE38" s="8"/>
      <c r="AF38" s="8"/>
    </row>
    <row r="39" spans="1:32" x14ac:dyDescent="0.4">
      <c r="A39" t="s">
        <v>3285</v>
      </c>
      <c r="F39" s="10">
        <v>63334</v>
      </c>
      <c r="J39">
        <v>63453.4</v>
      </c>
      <c r="N39" s="8"/>
      <c r="O39" s="8" t="s">
        <v>629</v>
      </c>
      <c r="P39" s="8"/>
      <c r="Q39" s="8"/>
      <c r="R39" s="8">
        <f>'Water Pro forma Rev Req'!T54</f>
        <v>112015.87154136662</v>
      </c>
      <c r="S39" s="8"/>
      <c r="T39" s="5">
        <f>T33</f>
        <v>8.5123826949909578E-3</v>
      </c>
      <c r="V39" s="8">
        <f>R39*T39</f>
        <v>953.52196647305936</v>
      </c>
      <c r="W39" s="8"/>
      <c r="X39" s="8">
        <f>R39-V39</f>
        <v>111062.34957489357</v>
      </c>
      <c r="Y39" s="8"/>
      <c r="Z39" s="8"/>
      <c r="AA39" s="8"/>
      <c r="AB39" s="8"/>
      <c r="AC39" s="8"/>
      <c r="AD39" s="8"/>
      <c r="AE39" s="8"/>
      <c r="AF39" s="8"/>
    </row>
    <row r="40" spans="1:32" x14ac:dyDescent="0.4">
      <c r="F40" s="1"/>
      <c r="N40" s="8"/>
      <c r="O40" s="8" t="s">
        <v>460</v>
      </c>
      <c r="P40" s="8"/>
      <c r="Q40" s="8"/>
      <c r="R40" s="8">
        <f>'Water Pro forma Rev Req'!V54</f>
        <v>36388.038180441676</v>
      </c>
      <c r="S40" s="8"/>
      <c r="V40" s="8">
        <f>R40*T40</f>
        <v>0</v>
      </c>
      <c r="W40" s="8"/>
      <c r="X40" s="8">
        <f>R40-V40</f>
        <v>36388.038180441676</v>
      </c>
      <c r="Y40" s="8"/>
      <c r="Z40" s="8"/>
      <c r="AA40" s="8"/>
      <c r="AB40" s="8"/>
      <c r="AC40" s="8"/>
      <c r="AD40" s="8"/>
      <c r="AE40" s="8"/>
      <c r="AF40" s="8"/>
    </row>
    <row r="41" spans="1:32" x14ac:dyDescent="0.4">
      <c r="A41" t="s">
        <v>602</v>
      </c>
      <c r="F41" s="1">
        <f>SUM(F38:F40)</f>
        <v>751516</v>
      </c>
      <c r="N41" s="8"/>
      <c r="O41" s="8" t="s">
        <v>467</v>
      </c>
      <c r="P41" s="8"/>
      <c r="Q41" s="8"/>
      <c r="R41" s="8">
        <f>'Water Pro forma Rev Req'!Z54</f>
        <v>7583.8220152773092</v>
      </c>
      <c r="S41" s="8"/>
      <c r="T41" s="5">
        <f>T36</f>
        <v>8.4274985495984112E-2</v>
      </c>
      <c r="V41" s="8">
        <f>R41*T41</f>
        <v>639.12649034162018</v>
      </c>
      <c r="W41" s="8"/>
      <c r="X41" s="8">
        <f>R41-V41</f>
        <v>6944.6955249356888</v>
      </c>
      <c r="Y41" s="8"/>
      <c r="Z41" s="8">
        <f>SUM(R38:R41)</f>
        <v>166436.12797141063</v>
      </c>
      <c r="AA41" s="8"/>
      <c r="AB41" s="8"/>
      <c r="AC41" s="8"/>
      <c r="AD41" s="8"/>
      <c r="AE41" s="8"/>
      <c r="AF41" s="8"/>
    </row>
    <row r="42" spans="1:32" x14ac:dyDescent="0.4">
      <c r="A42" t="s">
        <v>603</v>
      </c>
      <c r="F42" s="1">
        <v>71428</v>
      </c>
      <c r="G42" s="232">
        <f>F42/F34</f>
        <v>5.4122740749889563E-2</v>
      </c>
      <c r="N42" s="8" t="s">
        <v>197</v>
      </c>
      <c r="O42" s="8"/>
      <c r="P42" s="8"/>
      <c r="Q42" s="8"/>
      <c r="R42" s="8"/>
      <c r="S42" s="8"/>
      <c r="V42" s="8"/>
      <c r="W42" s="8"/>
      <c r="X42" s="8"/>
      <c r="Y42" s="8"/>
      <c r="Z42" s="8"/>
      <c r="AA42" s="8"/>
      <c r="AB42" s="8"/>
      <c r="AC42" s="8"/>
      <c r="AD42" s="8"/>
      <c r="AE42" s="8"/>
      <c r="AF42" s="8"/>
    </row>
    <row r="43" spans="1:32" x14ac:dyDescent="0.4">
      <c r="A43" t="s">
        <v>604</v>
      </c>
      <c r="F43" s="1">
        <v>82305</v>
      </c>
      <c r="G43" s="232"/>
      <c r="O43" s="8" t="s">
        <v>459</v>
      </c>
      <c r="P43" s="8"/>
      <c r="Q43" s="8"/>
      <c r="R43" s="8">
        <f>'Water Pro forma Rev Req'!R55</f>
        <v>11992.420306264825</v>
      </c>
      <c r="S43" s="8"/>
      <c r="T43" s="5">
        <f>T38</f>
        <v>7.2064745013622783E-2</v>
      </c>
      <c r="V43" s="8">
        <f>R43*T43</f>
        <v>864.23071146716666</v>
      </c>
      <c r="W43" s="8"/>
      <c r="X43" s="8">
        <f>R43-V43</f>
        <v>11128.189594797659</v>
      </c>
      <c r="Y43" s="8"/>
      <c r="AA43" s="8"/>
      <c r="AB43" s="8"/>
      <c r="AC43" s="8"/>
      <c r="AD43" s="8"/>
      <c r="AE43" s="8"/>
      <c r="AF43" s="8"/>
    </row>
    <row r="44" spans="1:32" x14ac:dyDescent="0.4">
      <c r="A44" t="s">
        <v>3286</v>
      </c>
      <c r="F44">
        <v>794</v>
      </c>
      <c r="O44" s="8" t="s">
        <v>629</v>
      </c>
      <c r="R44" s="8">
        <f>'Water Pro forma Rev Req'!T55</f>
        <v>103499.16181858879</v>
      </c>
      <c r="S44" s="8"/>
      <c r="T44" s="5">
        <f>T39</f>
        <v>8.5123826949909578E-3</v>
      </c>
      <c r="V44" s="8">
        <f>R44*T44</f>
        <v>881.02447401062409</v>
      </c>
      <c r="W44" s="8"/>
      <c r="X44" s="8">
        <f>R44-V44</f>
        <v>102618.13734457816</v>
      </c>
      <c r="Y44" s="8"/>
      <c r="Z44" s="8"/>
      <c r="AA44" s="8"/>
      <c r="AB44" s="8"/>
      <c r="AC44" s="8"/>
      <c r="AD44" s="8"/>
      <c r="AE44" s="8"/>
      <c r="AF44" s="8"/>
    </row>
    <row r="45" spans="1:32" x14ac:dyDescent="0.4">
      <c r="A45" t="s">
        <v>3287</v>
      </c>
      <c r="F45" s="1">
        <v>36387</v>
      </c>
      <c r="O45" s="8" t="s">
        <v>460</v>
      </c>
      <c r="R45" s="8">
        <f>'Water Pro forma Rev Req'!V55</f>
        <v>17760.809665746121</v>
      </c>
      <c r="S45" s="8"/>
      <c r="V45" s="8">
        <f>R45*T45</f>
        <v>0</v>
      </c>
      <c r="W45" s="8"/>
      <c r="X45" s="8">
        <f>R45-V45</f>
        <v>17760.809665746121</v>
      </c>
      <c r="Y45" s="8"/>
      <c r="Z45" s="8"/>
      <c r="AA45" s="8"/>
      <c r="AB45" s="8"/>
      <c r="AC45" s="8"/>
      <c r="AD45" s="8"/>
      <c r="AE45" s="8"/>
      <c r="AF45" s="8"/>
    </row>
    <row r="46" spans="1:32" x14ac:dyDescent="0.4">
      <c r="A46" t="s">
        <v>605</v>
      </c>
      <c r="F46" s="35">
        <f>F34-F41-F42-F43-F44-F45</f>
        <v>377311</v>
      </c>
      <c r="G46" s="232">
        <f>F46/F34</f>
        <v>0.28589776327324828</v>
      </c>
      <c r="O46" s="8" t="s">
        <v>2667</v>
      </c>
      <c r="R46" s="8">
        <f>'Water Pro forma Rev Req'!X55</f>
        <v>56.752069812842507</v>
      </c>
      <c r="S46" s="8"/>
      <c r="V46" s="8">
        <f>R46*T46</f>
        <v>0</v>
      </c>
      <c r="W46" s="8"/>
      <c r="X46" s="8">
        <f>R46-V46</f>
        <v>56.752069812842507</v>
      </c>
      <c r="AE46" s="8"/>
      <c r="AF46" s="8"/>
    </row>
    <row r="47" spans="1:32" x14ac:dyDescent="0.4">
      <c r="O47" s="8" t="s">
        <v>467</v>
      </c>
      <c r="R47" s="8">
        <f>'Water Pro forma Rev Req'!Z55</f>
        <v>899.68612902774282</v>
      </c>
      <c r="S47" s="8"/>
      <c r="T47" s="5">
        <f>T41</f>
        <v>8.4274985495984112E-2</v>
      </c>
      <c r="V47" s="8">
        <f>R47*T47</f>
        <v>75.821035474751113</v>
      </c>
      <c r="W47" s="8"/>
      <c r="X47" s="8">
        <f>R47-V47</f>
        <v>823.86509355299177</v>
      </c>
      <c r="Z47" s="24">
        <f>SUM(R43:R47)</f>
        <v>134208.82998944033</v>
      </c>
      <c r="AE47" s="8"/>
      <c r="AF47" s="8"/>
    </row>
    <row r="48" spans="1:32" x14ac:dyDescent="0.4">
      <c r="N48" t="s">
        <v>3305</v>
      </c>
      <c r="V48" s="8"/>
      <c r="W48" s="8"/>
      <c r="X48" s="8"/>
      <c r="AE48" s="8"/>
      <c r="AF48" s="8"/>
    </row>
    <row r="49" spans="1:32" x14ac:dyDescent="0.4">
      <c r="A49" s="407" t="s">
        <v>3480</v>
      </c>
      <c r="B49" s="407"/>
      <c r="C49" s="407"/>
      <c r="D49" s="407"/>
      <c r="E49" s="407"/>
      <c r="F49" s="407"/>
      <c r="G49" s="407"/>
      <c r="H49" s="407"/>
      <c r="O49" s="8" t="s">
        <v>459</v>
      </c>
      <c r="R49" s="8">
        <f>'Water Pro forma Rev Req'!R56</f>
        <v>6346.8472462944146</v>
      </c>
      <c r="S49" s="8"/>
      <c r="T49" s="5">
        <f>T38</f>
        <v>7.2064745013622783E-2</v>
      </c>
      <c r="V49" s="8">
        <f>R49*T49</f>
        <v>457.38392844462089</v>
      </c>
      <c r="W49" s="8"/>
      <c r="X49" s="8">
        <f>R49-V49</f>
        <v>5889.4633178497934</v>
      </c>
      <c r="AA49" s="8"/>
      <c r="AB49" s="8"/>
      <c r="AC49" s="8"/>
      <c r="AD49" s="8"/>
      <c r="AE49" s="8"/>
      <c r="AF49" s="8"/>
    </row>
    <row r="50" spans="1:32" x14ac:dyDescent="0.4">
      <c r="A50" s="407" t="s">
        <v>606</v>
      </c>
      <c r="B50" s="407"/>
      <c r="C50" s="407"/>
      <c r="D50" s="407"/>
      <c r="E50" s="407"/>
      <c r="F50" s="407"/>
      <c r="G50" s="407"/>
      <c r="H50" s="407"/>
      <c r="O50" s="8" t="s">
        <v>629</v>
      </c>
      <c r="R50" s="8">
        <f>'Water Pro forma Rev Req'!T56</f>
        <v>26006.769887349554</v>
      </c>
      <c r="S50" s="8"/>
      <c r="T50" s="5">
        <f>T39</f>
        <v>8.5123826949909578E-3</v>
      </c>
      <c r="V50" s="8">
        <f>R50*T50</f>
        <v>221.37957794168628</v>
      </c>
      <c r="W50" s="8"/>
      <c r="X50" s="8">
        <f>R50-V50</f>
        <v>25785.390309407867</v>
      </c>
      <c r="AA50" s="8"/>
      <c r="AB50" s="8"/>
      <c r="AC50" s="8"/>
      <c r="AD50" s="8"/>
      <c r="AE50" s="8"/>
      <c r="AF50" s="8"/>
    </row>
    <row r="51" spans="1:32" x14ac:dyDescent="0.4">
      <c r="A51" s="407" t="str">
        <f>A3</f>
        <v>Mountain Water District, Water Operations, Test Year Ended December 31, 2024</v>
      </c>
      <c r="B51" s="407"/>
      <c r="C51" s="407"/>
      <c r="D51" s="407"/>
      <c r="E51" s="407"/>
      <c r="F51" s="407"/>
      <c r="G51" s="407"/>
      <c r="H51" s="407"/>
      <c r="O51" s="8" t="s">
        <v>460</v>
      </c>
      <c r="R51" s="8">
        <f>'Water Pro forma Rev Req'!V56</f>
        <v>4289.8900095368317</v>
      </c>
      <c r="S51" s="8"/>
      <c r="V51" s="8">
        <f>R51*T51</f>
        <v>0</v>
      </c>
      <c r="W51" s="8"/>
      <c r="X51" s="8">
        <f>R51-V51</f>
        <v>4289.8900095368317</v>
      </c>
      <c r="AA51" s="8"/>
      <c r="AB51" s="8"/>
      <c r="AC51" s="8"/>
      <c r="AD51" s="8"/>
      <c r="AE51" s="8"/>
      <c r="AF51" s="8"/>
    </row>
    <row r="52" spans="1:32" x14ac:dyDescent="0.4">
      <c r="O52" s="8" t="s">
        <v>2667</v>
      </c>
      <c r="R52" s="8">
        <f>'Water Pro forma Rev Req'!X56</f>
        <v>3349.7208831275552</v>
      </c>
      <c r="S52" s="8"/>
      <c r="V52" s="8">
        <f>R52*T52</f>
        <v>0</v>
      </c>
      <c r="W52" s="8"/>
      <c r="X52" s="8">
        <f>R52-V52</f>
        <v>3349.7208831275552</v>
      </c>
      <c r="AA52" s="8"/>
      <c r="AB52" s="8"/>
      <c r="AC52" s="8"/>
      <c r="AD52" s="8"/>
      <c r="AE52" s="8"/>
      <c r="AF52" s="8"/>
    </row>
    <row r="53" spans="1:32" x14ac:dyDescent="0.4">
      <c r="H53" s="21" t="s">
        <v>575</v>
      </c>
      <c r="O53" s="8" t="s">
        <v>467</v>
      </c>
      <c r="R53" s="8">
        <f>'Water Pro forma Rev Req'!Z56</f>
        <v>8848.9549239112912</v>
      </c>
      <c r="S53" s="8"/>
      <c r="T53" s="5">
        <f>T41</f>
        <v>8.4274985495984112E-2</v>
      </c>
      <c r="V53" s="8">
        <f>R53*T53</f>
        <v>745.74554786724127</v>
      </c>
      <c r="W53" s="8"/>
      <c r="X53" s="8">
        <f>R53-V53</f>
        <v>8103.2093760440503</v>
      </c>
      <c r="Z53" s="24">
        <f>SUM(R49:R53)</f>
        <v>48842.182950219649</v>
      </c>
      <c r="AA53" s="8"/>
      <c r="AB53" s="8"/>
      <c r="AC53" s="8"/>
      <c r="AD53" s="8"/>
      <c r="AE53" s="8"/>
      <c r="AF53" s="8"/>
    </row>
    <row r="54" spans="1:32" x14ac:dyDescent="0.4">
      <c r="A54" t="s">
        <v>3295</v>
      </c>
      <c r="H54" s="4">
        <v>0.15</v>
      </c>
      <c r="N54" t="s">
        <v>3308</v>
      </c>
      <c r="R54" s="8">
        <f>'Water Pro forma Rev Req'!Z58</f>
        <v>79012.821879619849</v>
      </c>
      <c r="S54" s="8"/>
      <c r="T54" s="5">
        <f>T53</f>
        <v>8.4274985495984112E-2</v>
      </c>
      <c r="V54" s="8">
        <f t="shared" ref="V54" si="5">R54*T54</f>
        <v>6658.8044179017388</v>
      </c>
      <c r="W54" s="8"/>
      <c r="X54" s="8">
        <f t="shared" ref="X54" si="6">R54-V54</f>
        <v>72354.017461718104</v>
      </c>
      <c r="AA54" s="8" t="s">
        <v>632</v>
      </c>
      <c r="AB54" s="8"/>
      <c r="AC54" s="8"/>
      <c r="AD54" s="8"/>
      <c r="AE54" s="8"/>
      <c r="AF54" s="8"/>
    </row>
    <row r="55" spans="1:32" x14ac:dyDescent="0.4">
      <c r="A55" t="s">
        <v>607</v>
      </c>
      <c r="H55" s="4">
        <f>G42</f>
        <v>5.4122740749889563E-2</v>
      </c>
      <c r="N55" s="8" t="s">
        <v>3306</v>
      </c>
      <c r="O55" s="8"/>
      <c r="P55" s="8"/>
      <c r="Q55" s="8"/>
      <c r="R55" s="8">
        <f>'Water Pro forma Rev Req'!Z59</f>
        <v>3268</v>
      </c>
      <c r="S55" s="8"/>
      <c r="T55" s="5">
        <f>T53</f>
        <v>8.4274985495984112E-2</v>
      </c>
      <c r="V55" s="8">
        <f>R55*T55</f>
        <v>275.41065260087606</v>
      </c>
      <c r="W55" s="8"/>
      <c r="X55" s="8">
        <f>R55-V55</f>
        <v>2992.5893473991241</v>
      </c>
      <c r="AA55" s="8"/>
      <c r="AB55" s="8"/>
      <c r="AC55" s="8"/>
      <c r="AD55" s="8"/>
      <c r="AE55" s="8"/>
      <c r="AF55" s="8"/>
    </row>
    <row r="56" spans="1:32" x14ac:dyDescent="0.4">
      <c r="A56" t="s">
        <v>608</v>
      </c>
      <c r="H56" s="335">
        <f>+H54+H55</f>
        <v>0.20412274074988956</v>
      </c>
      <c r="N56" s="8" t="s">
        <v>3307</v>
      </c>
      <c r="O56" s="8"/>
      <c r="P56" s="8"/>
      <c r="Q56" s="8"/>
      <c r="R56" s="8">
        <f>'Water Pro forma Rev Req'!X60</f>
        <v>28942.359950780174</v>
      </c>
      <c r="S56" s="8"/>
      <c r="V56" s="8">
        <f>R56*T56</f>
        <v>0</v>
      </c>
      <c r="W56" s="8"/>
      <c r="X56" s="8">
        <f>R56-V56</f>
        <v>28942.359950780174</v>
      </c>
      <c r="AA56" s="8"/>
      <c r="AB56" s="8"/>
      <c r="AC56" s="8"/>
      <c r="AD56" s="8"/>
      <c r="AE56" s="8"/>
      <c r="AF56" s="8"/>
    </row>
    <row r="57" spans="1:32" x14ac:dyDescent="0.4">
      <c r="A57" t="s">
        <v>609</v>
      </c>
      <c r="H57" s="35">
        <f>G24</f>
        <v>461.7</v>
      </c>
      <c r="N57" s="8" t="s">
        <v>200</v>
      </c>
      <c r="O57" s="8"/>
      <c r="P57" s="8"/>
      <c r="Q57" s="8"/>
      <c r="R57" s="8"/>
      <c r="S57" s="8"/>
      <c r="V57" s="8"/>
      <c r="W57" s="8"/>
      <c r="X57" s="8"/>
      <c r="Y57" s="8"/>
      <c r="Z57" s="8"/>
      <c r="AA57" s="8"/>
      <c r="AB57" s="8"/>
      <c r="AC57" s="8"/>
      <c r="AD57" s="8"/>
      <c r="AE57" s="8"/>
      <c r="AF57" s="8"/>
    </row>
    <row r="58" spans="1:32" x14ac:dyDescent="0.4">
      <c r="A58" t="s">
        <v>610</v>
      </c>
      <c r="H58" s="35">
        <f>D24</f>
        <v>4570.9599999999991</v>
      </c>
      <c r="N58" s="8"/>
      <c r="O58" s="8" t="s">
        <v>629</v>
      </c>
      <c r="P58" s="8"/>
      <c r="Q58" s="8"/>
      <c r="R58" s="8">
        <f>'Water Pro forma Rev Req'!T63</f>
        <v>22721.27</v>
      </c>
      <c r="S58" s="8"/>
      <c r="T58" s="5">
        <f>T50</f>
        <v>8.5123826949909578E-3</v>
      </c>
      <c r="V58" s="8">
        <f>R58*T58</f>
        <v>193.41214555621721</v>
      </c>
      <c r="W58" s="8"/>
      <c r="X58" s="8">
        <f>R58-V58</f>
        <v>22527.857854443784</v>
      </c>
      <c r="Y58" s="8"/>
      <c r="Z58" s="8"/>
      <c r="AA58" s="8"/>
      <c r="AB58" s="8"/>
      <c r="AC58" s="8"/>
      <c r="AD58" s="8"/>
      <c r="AE58" s="8"/>
      <c r="AF58" s="8"/>
    </row>
    <row r="59" spans="1:32" x14ac:dyDescent="0.4">
      <c r="A59" t="s">
        <v>3291</v>
      </c>
      <c r="H59" s="24">
        <f>F39</f>
        <v>63334</v>
      </c>
      <c r="N59" s="8"/>
      <c r="O59" s="8" t="s">
        <v>2667</v>
      </c>
      <c r="R59" s="8">
        <f>'Water Pro forma Rev Req'!X63</f>
        <v>255034.02956705386</v>
      </c>
      <c r="S59" s="8"/>
      <c r="V59" s="8">
        <f>R59*T59</f>
        <v>0</v>
      </c>
      <c r="W59" s="8"/>
      <c r="X59" s="8">
        <f>R59-V59</f>
        <v>255034.02956705386</v>
      </c>
      <c r="Y59" s="8"/>
      <c r="Z59" s="8"/>
      <c r="AA59" s="8"/>
      <c r="AB59" s="8"/>
      <c r="AC59" s="8"/>
      <c r="AD59" s="8"/>
      <c r="AE59" s="8"/>
      <c r="AF59" s="8"/>
    </row>
    <row r="60" spans="1:32" x14ac:dyDescent="0.4">
      <c r="A60" t="s">
        <v>3292</v>
      </c>
      <c r="H60" s="24">
        <f>F41</f>
        <v>751516</v>
      </c>
      <c r="N60" s="8"/>
      <c r="O60" s="8" t="s">
        <v>467</v>
      </c>
      <c r="P60" s="8"/>
      <c r="Q60" s="8"/>
      <c r="R60" s="10">
        <f>'Water Pro forma Rev Req'!Z63</f>
        <v>108795.60163314347</v>
      </c>
      <c r="S60" s="26"/>
      <c r="T60" s="105">
        <f>T55</f>
        <v>8.4274985495984112E-2</v>
      </c>
      <c r="U60" s="105"/>
      <c r="V60" s="10">
        <f>R60*T60</f>
        <v>9168.7477496600313</v>
      </c>
      <c r="W60" s="10"/>
      <c r="X60" s="10">
        <f>R60-V60</f>
        <v>99626.853883483433</v>
      </c>
      <c r="Y60" s="8"/>
      <c r="Z60" s="8"/>
      <c r="AA60" s="8"/>
      <c r="AB60" s="8"/>
      <c r="AC60" s="8"/>
      <c r="AD60" s="8"/>
      <c r="AE60" s="8"/>
      <c r="AF60" s="8"/>
    </row>
    <row r="61" spans="1:32" ht="6" customHeight="1" x14ac:dyDescent="0.4">
      <c r="N61" s="8"/>
      <c r="O61" s="8"/>
      <c r="P61" s="8"/>
      <c r="Q61" s="8"/>
      <c r="R61" s="8"/>
      <c r="S61" s="8"/>
      <c r="V61" s="8"/>
      <c r="W61" s="8"/>
      <c r="X61" s="8"/>
      <c r="Y61" s="8"/>
      <c r="Z61" s="8"/>
      <c r="AA61" s="8"/>
      <c r="AB61" s="8"/>
      <c r="AC61" s="8"/>
      <c r="AD61" s="8"/>
      <c r="AE61" s="8"/>
      <c r="AF61" s="8"/>
    </row>
    <row r="62" spans="1:32" x14ac:dyDescent="0.4">
      <c r="N62" s="241" t="s">
        <v>633</v>
      </c>
      <c r="O62" s="8"/>
      <c r="P62" s="8"/>
      <c r="Q62" s="8"/>
      <c r="R62" s="8">
        <f>SUM(R8:R61)</f>
        <v>8455935.6141230147</v>
      </c>
      <c r="S62" s="8"/>
      <c r="V62" s="8">
        <f>SUM(V8:V61)</f>
        <v>267269.88567055762</v>
      </c>
      <c r="W62" s="8"/>
      <c r="X62" s="8">
        <f>SUM(X8:X61)</f>
        <v>8188665.728452458</v>
      </c>
      <c r="Y62" s="8"/>
      <c r="Z62" s="8">
        <f>V62+X62</f>
        <v>8455935.6141230166</v>
      </c>
      <c r="AA62" s="8"/>
      <c r="AB62" s="8"/>
      <c r="AC62" s="8"/>
      <c r="AD62" s="8"/>
      <c r="AE62" s="8"/>
      <c r="AF62" s="8"/>
    </row>
    <row r="63" spans="1:32" x14ac:dyDescent="0.4">
      <c r="A63" t="s">
        <v>611</v>
      </c>
      <c r="E63" s="254"/>
      <c r="F63" s="258">
        <v>1</v>
      </c>
      <c r="G63" t="s">
        <v>612</v>
      </c>
      <c r="H63" s="35">
        <f>1/(1-H56)</f>
        <v>1.2564751516360921</v>
      </c>
      <c r="AD63" s="8"/>
      <c r="AE63" s="8"/>
      <c r="AF63" s="8"/>
    </row>
    <row r="64" spans="1:32" x14ac:dyDescent="0.4">
      <c r="E64" s="30" t="s">
        <v>3293</v>
      </c>
      <c r="F64" s="334">
        <f>H56</f>
        <v>0.20412274074988956</v>
      </c>
      <c r="AD64" s="8"/>
      <c r="AE64" s="8"/>
      <c r="AF64" s="8"/>
    </row>
    <row r="65" spans="1:32" x14ac:dyDescent="0.4">
      <c r="AD65" s="8"/>
      <c r="AE65" s="8"/>
      <c r="AF65" s="8"/>
    </row>
    <row r="66" spans="1:32" x14ac:dyDescent="0.4">
      <c r="A66" t="s">
        <v>613</v>
      </c>
      <c r="E66" s="233">
        <f>H57</f>
        <v>461.7</v>
      </c>
      <c r="F66" s="30"/>
      <c r="G66" t="s">
        <v>612</v>
      </c>
      <c r="H66">
        <f>H57/H58</f>
        <v>0.10100722824089471</v>
      </c>
      <c r="AD66" s="8"/>
      <c r="AE66" s="8"/>
      <c r="AF66" s="8"/>
    </row>
    <row r="67" spans="1:32" x14ac:dyDescent="0.4">
      <c r="E67" s="35">
        <f>H58</f>
        <v>4570.9599999999991</v>
      </c>
      <c r="N67" s="408" t="s">
        <v>3484</v>
      </c>
      <c r="O67" s="408"/>
      <c r="P67" s="408"/>
      <c r="Q67" s="408"/>
      <c r="R67" s="408"/>
      <c r="S67" s="408"/>
      <c r="T67" s="408"/>
      <c r="U67" s="408"/>
      <c r="V67" s="408"/>
      <c r="W67" s="408"/>
      <c r="X67" s="408"/>
      <c r="Y67" s="8"/>
      <c r="Z67" s="8"/>
      <c r="AA67" s="8"/>
      <c r="AB67" s="8"/>
      <c r="AC67" s="8"/>
      <c r="AD67" s="8"/>
      <c r="AE67" s="8"/>
      <c r="AF67" s="8"/>
    </row>
    <row r="68" spans="1:32" x14ac:dyDescent="0.4">
      <c r="N68" s="409" t="s">
        <v>622</v>
      </c>
      <c r="O68" s="409"/>
      <c r="P68" s="409"/>
      <c r="Q68" s="409"/>
      <c r="R68" s="409"/>
      <c r="S68" s="409"/>
      <c r="T68" s="409"/>
      <c r="U68" s="409"/>
      <c r="V68" s="409"/>
      <c r="W68" s="409"/>
      <c r="X68" s="409"/>
      <c r="Y68" s="8"/>
      <c r="Z68" s="8"/>
      <c r="AA68" s="8"/>
      <c r="AB68" s="8"/>
      <c r="AC68" s="8"/>
      <c r="AD68" s="8"/>
      <c r="AE68" s="8"/>
      <c r="AF68" s="8"/>
    </row>
    <row r="69" spans="1:32" x14ac:dyDescent="0.4">
      <c r="N69" s="409" t="str">
        <f>A3</f>
        <v>Mountain Water District, Water Operations, Test Year Ended December 31, 2024</v>
      </c>
      <c r="O69" s="409"/>
      <c r="P69" s="409"/>
      <c r="Q69" s="409"/>
      <c r="R69" s="409"/>
      <c r="S69" s="409"/>
      <c r="T69" s="409"/>
      <c r="U69" s="409"/>
      <c r="V69" s="409"/>
      <c r="W69" s="409"/>
      <c r="X69" s="409"/>
      <c r="Y69" s="8"/>
      <c r="Z69" s="8"/>
      <c r="AA69" s="8"/>
      <c r="AB69" s="8"/>
      <c r="AC69" s="8"/>
      <c r="AD69" s="8"/>
      <c r="AE69" s="8"/>
      <c r="AF69" s="8"/>
    </row>
    <row r="70" spans="1:32" x14ac:dyDescent="0.4">
      <c r="A70" t="s">
        <v>614</v>
      </c>
      <c r="D70" s="4">
        <f>H54</f>
        <v>0.15</v>
      </c>
      <c r="E70" s="30" t="s">
        <v>615</v>
      </c>
      <c r="F70" s="234">
        <f>H66</f>
        <v>0.10100722824089471</v>
      </c>
      <c r="G70" t="s">
        <v>612</v>
      </c>
      <c r="H70" s="235">
        <f>D70*F70</f>
        <v>1.5151084236134206E-2</v>
      </c>
      <c r="N70" s="229"/>
      <c r="O70" s="229"/>
      <c r="P70" s="229"/>
      <c r="Q70" s="229"/>
      <c r="Y70" s="8"/>
      <c r="Z70" s="8"/>
      <c r="AA70" s="8"/>
      <c r="AB70" s="8"/>
      <c r="AC70" s="8"/>
      <c r="AD70" s="8"/>
      <c r="AE70" s="8"/>
      <c r="AF70" s="8"/>
    </row>
    <row r="71" spans="1:32" x14ac:dyDescent="0.4">
      <c r="R71" s="23" t="s">
        <v>623</v>
      </c>
      <c r="S71" s="23"/>
      <c r="T71" s="340" t="s">
        <v>624</v>
      </c>
      <c r="U71" s="340"/>
      <c r="V71" s="402" t="s">
        <v>625</v>
      </c>
      <c r="W71" s="402"/>
      <c r="X71" s="402"/>
      <c r="AF71" s="8"/>
    </row>
    <row r="72" spans="1:32" ht="17" x14ac:dyDescent="0.5">
      <c r="R72" s="368" t="s">
        <v>626</v>
      </c>
      <c r="S72" s="239"/>
      <c r="T72" s="369" t="s">
        <v>575</v>
      </c>
      <c r="U72" s="341"/>
      <c r="V72" s="368" t="s">
        <v>225</v>
      </c>
      <c r="W72" s="240"/>
      <c r="X72" s="368" t="s">
        <v>224</v>
      </c>
      <c r="AF72" s="8"/>
    </row>
    <row r="73" spans="1:32" x14ac:dyDescent="0.4">
      <c r="N73" s="8" t="s">
        <v>202</v>
      </c>
      <c r="O73" s="8"/>
      <c r="P73" s="8"/>
      <c r="Q73" s="8"/>
      <c r="Y73" s="8"/>
      <c r="AF73" s="8"/>
    </row>
    <row r="74" spans="1:32" x14ac:dyDescent="0.4">
      <c r="A74" t="s">
        <v>616</v>
      </c>
      <c r="D74" s="236">
        <f>H70</f>
        <v>1.5151084236134206E-2</v>
      </c>
      <c r="E74" s="30" t="s">
        <v>617</v>
      </c>
      <c r="F74" s="236">
        <f>H55</f>
        <v>5.4122740749889563E-2</v>
      </c>
      <c r="G74" t="s">
        <v>612</v>
      </c>
      <c r="H74" s="235">
        <f>D74+F74</f>
        <v>6.9273824986023774E-2</v>
      </c>
      <c r="N74" s="8"/>
      <c r="O74" s="8" t="s">
        <v>459</v>
      </c>
      <c r="P74" s="8"/>
      <c r="R74" s="9">
        <f>'Water Pro forma Rev Req'!R72</f>
        <v>265561.18956382904</v>
      </c>
      <c r="S74" s="9"/>
      <c r="T74" s="5">
        <f>T49</f>
        <v>7.2064745013622783E-2</v>
      </c>
      <c r="V74" s="9">
        <f t="shared" ref="V74" si="7">R74*T74</f>
        <v>19137.599411431685</v>
      </c>
      <c r="W74" s="9"/>
      <c r="X74" s="9">
        <f t="shared" ref="X74" si="8">R74-V74</f>
        <v>246423.59015239734</v>
      </c>
      <c r="Y74" s="8"/>
      <c r="Z74" s="8"/>
      <c r="AA74" s="8"/>
      <c r="AB74" s="8"/>
      <c r="AC74" s="8"/>
      <c r="AD74" s="8"/>
      <c r="AE74" s="8"/>
      <c r="AF74" s="8"/>
    </row>
    <row r="75" spans="1:32" x14ac:dyDescent="0.4">
      <c r="N75" s="8"/>
      <c r="O75" s="8" t="s">
        <v>629</v>
      </c>
      <c r="P75" s="8"/>
      <c r="R75" s="8">
        <f>'Water Pro forma Rev Req'!T72-R76</f>
        <v>1779754.6608237429</v>
      </c>
      <c r="S75" s="8"/>
      <c r="T75" s="5">
        <f>T58</f>
        <v>8.5123826949909578E-3</v>
      </c>
      <c r="V75" s="8">
        <f t="shared" ref="V75:V85" si="9">R75*T75</f>
        <v>15149.95277612553</v>
      </c>
      <c r="W75" s="8"/>
      <c r="X75" s="8">
        <f t="shared" ref="X75:X85" si="10">R75-V75</f>
        <v>1764604.7080476172</v>
      </c>
      <c r="Y75" s="8"/>
      <c r="Z75" s="8"/>
      <c r="AA75" s="8"/>
      <c r="AB75" s="8"/>
      <c r="AC75" s="8"/>
      <c r="AD75" s="8"/>
      <c r="AE75" s="8"/>
      <c r="AF75" s="8"/>
    </row>
    <row r="76" spans="1:32" x14ac:dyDescent="0.4">
      <c r="N76" s="8"/>
      <c r="O76" s="8" t="s">
        <v>634</v>
      </c>
      <c r="P76" s="8"/>
      <c r="R76" s="8">
        <f>'Depreciation Water'!L7</f>
        <v>269527.79283333337</v>
      </c>
      <c r="S76" s="8"/>
      <c r="T76" s="5">
        <f>T75</f>
        <v>8.5123826949909578E-3</v>
      </c>
      <c r="V76" s="8">
        <f t="shared" si="9"/>
        <v>2294.3237195335751</v>
      </c>
      <c r="W76" s="8"/>
      <c r="X76" s="8">
        <f t="shared" si="10"/>
        <v>267233.4691137998</v>
      </c>
      <c r="Y76" s="8"/>
      <c r="Z76" s="8"/>
      <c r="AA76" s="8"/>
      <c r="AB76" s="8"/>
      <c r="AC76" s="8"/>
      <c r="AD76" s="8"/>
      <c r="AE76" s="8"/>
      <c r="AF76" s="8"/>
    </row>
    <row r="77" spans="1:32" x14ac:dyDescent="0.4">
      <c r="A77" t="s">
        <v>618</v>
      </c>
      <c r="E77" s="254"/>
      <c r="F77" s="258">
        <v>1</v>
      </c>
      <c r="G77" t="s">
        <v>612</v>
      </c>
      <c r="H77" s="236">
        <f>1/(1-H74)</f>
        <v>1.0744298665340357</v>
      </c>
      <c r="N77" s="8"/>
      <c r="O77" s="8" t="s">
        <v>3386</v>
      </c>
      <c r="P77" s="8"/>
      <c r="R77" s="8">
        <f>'Water Pro forma Rev Req'!V72</f>
        <v>531264.16884129564</v>
      </c>
      <c r="S77" s="8"/>
      <c r="V77" s="8">
        <f t="shared" si="9"/>
        <v>0</v>
      </c>
      <c r="W77" s="8"/>
      <c r="X77" s="8">
        <f t="shared" si="10"/>
        <v>531264.16884129564</v>
      </c>
      <c r="Y77" s="8"/>
      <c r="Z77" s="8"/>
      <c r="AA77" s="8"/>
      <c r="AB77" s="8"/>
      <c r="AC77" s="8"/>
      <c r="AD77" s="8"/>
      <c r="AE77" s="8"/>
      <c r="AF77" s="8"/>
    </row>
    <row r="78" spans="1:32" x14ac:dyDescent="0.4">
      <c r="E78" s="30" t="s">
        <v>3294</v>
      </c>
      <c r="F78" s="336">
        <f>H74</f>
        <v>6.9273824986023774E-2</v>
      </c>
      <c r="O78" s="8" t="s">
        <v>2667</v>
      </c>
      <c r="R78" s="8">
        <f>'Water Pro forma Rev Req'!X72</f>
        <v>8857.4076114044346</v>
      </c>
      <c r="S78" s="8"/>
      <c r="V78" s="8">
        <f t="shared" si="9"/>
        <v>0</v>
      </c>
      <c r="W78" s="8"/>
      <c r="X78" s="8">
        <f t="shared" si="10"/>
        <v>8857.4076114044346</v>
      </c>
      <c r="Z78" s="8"/>
      <c r="AA78" s="8"/>
      <c r="AB78" s="8"/>
      <c r="AC78" s="8"/>
      <c r="AD78" s="8"/>
      <c r="AE78" s="8"/>
      <c r="AF78" s="8"/>
    </row>
    <row r="79" spans="1:32" x14ac:dyDescent="0.4">
      <c r="N79" s="8"/>
      <c r="O79" s="8" t="s">
        <v>467</v>
      </c>
      <c r="P79" s="8"/>
      <c r="R79" s="8">
        <f>'Water Pro forma Rev Req'!Z72</f>
        <v>20342.888532449204</v>
      </c>
      <c r="S79" s="8"/>
      <c r="T79" s="5">
        <f>T60</f>
        <v>8.4274985495984112E-2</v>
      </c>
      <c r="V79" s="8">
        <f t="shared" si="9"/>
        <v>1714.3966360185782</v>
      </c>
      <c r="W79" s="8"/>
      <c r="X79" s="8">
        <f t="shared" si="10"/>
        <v>18628.491896430627</v>
      </c>
      <c r="Y79" s="8"/>
      <c r="Z79" s="24">
        <f>SUM(R74:R79)</f>
        <v>2875308.1082060547</v>
      </c>
      <c r="AE79" s="8"/>
      <c r="AF79" s="8"/>
    </row>
    <row r="80" spans="1:32" x14ac:dyDescent="0.4">
      <c r="N80" s="8" t="s">
        <v>203</v>
      </c>
      <c r="O80" s="8"/>
      <c r="P80" s="8"/>
      <c r="R80" s="8"/>
      <c r="S80" s="8"/>
      <c r="V80" s="8"/>
      <c r="W80" s="8"/>
      <c r="X80" s="8"/>
      <c r="Y80" s="8"/>
      <c r="Z80" s="8"/>
      <c r="AA80" s="8">
        <f>SUM(T74:T79)</f>
        <v>0.1733644958995888</v>
      </c>
      <c r="AB80" s="8"/>
      <c r="AC80" s="8"/>
      <c r="AD80" s="8"/>
      <c r="AE80" s="8"/>
      <c r="AF80" s="8"/>
    </row>
    <row r="81" spans="1:32" x14ac:dyDescent="0.4">
      <c r="A81" s="237" t="s">
        <v>619</v>
      </c>
      <c r="D81" s="238">
        <f>H77</f>
        <v>1.0744298665340357</v>
      </c>
      <c r="E81" s="2" t="s">
        <v>615</v>
      </c>
      <c r="F81" s="233">
        <f>H59</f>
        <v>63334</v>
      </c>
      <c r="G81" t="s">
        <v>612</v>
      </c>
      <c r="H81" s="232">
        <f>(D81/D82)*(F81/F82)</f>
        <v>7.2064745013622783E-2</v>
      </c>
      <c r="N81" s="8"/>
      <c r="O81" s="8" t="s">
        <v>459</v>
      </c>
      <c r="P81" s="8"/>
      <c r="R81" s="8">
        <f>'Water Pro forma Rev Req'!R73</f>
        <v>27488.975593674251</v>
      </c>
      <c r="S81" s="8"/>
      <c r="T81" s="5">
        <f>T74</f>
        <v>7.2064745013622783E-2</v>
      </c>
      <c r="V81" s="8">
        <f t="shared" si="9"/>
        <v>1980.9860168438349</v>
      </c>
      <c r="W81" s="8"/>
      <c r="X81" s="8">
        <f t="shared" si="10"/>
        <v>25507.989576830416</v>
      </c>
      <c r="Y81" s="8"/>
      <c r="Z81" s="8"/>
      <c r="AA81" s="8"/>
      <c r="AB81" s="8" t="s">
        <v>436</v>
      </c>
      <c r="AC81" s="8"/>
      <c r="AD81" s="8" t="s">
        <v>635</v>
      </c>
      <c r="AE81" s="8"/>
      <c r="AF81" s="8"/>
    </row>
    <row r="82" spans="1:32" x14ac:dyDescent="0.4">
      <c r="D82" s="35">
        <f>H63</f>
        <v>1.2564751516360921</v>
      </c>
      <c r="F82" s="35">
        <f>H60</f>
        <v>751516</v>
      </c>
      <c r="H82" s="232"/>
      <c r="N82" s="8"/>
      <c r="O82" s="8" t="s">
        <v>629</v>
      </c>
      <c r="P82" s="8"/>
      <c r="R82" s="8">
        <f>'Water Pro forma Rev Req'!T73</f>
        <v>112638.51719781755</v>
      </c>
      <c r="S82" s="8"/>
      <c r="T82" s="5">
        <f>T75</f>
        <v>8.5123826949909578E-3</v>
      </c>
      <c r="V82" s="8">
        <f t="shared" si="9"/>
        <v>958.82216458414348</v>
      </c>
      <c r="W82" s="8"/>
      <c r="X82" s="8">
        <f t="shared" si="10"/>
        <v>111679.69503323341</v>
      </c>
      <c r="Y82" s="8"/>
      <c r="Z82" s="8"/>
      <c r="AA82" s="8"/>
      <c r="AB82" s="8">
        <f>R8</f>
        <v>359333.01429639547</v>
      </c>
      <c r="AC82" s="12" t="e">
        <f>AB82/$K$77</f>
        <v>#DIV/0!</v>
      </c>
      <c r="AD82" s="8" t="e">
        <f>AC82*$M$81</f>
        <v>#DIV/0!</v>
      </c>
      <c r="AE82" s="8"/>
      <c r="AF82" s="8"/>
    </row>
    <row r="83" spans="1:32" x14ac:dyDescent="0.4">
      <c r="H83" s="232"/>
      <c r="N83" s="8"/>
      <c r="O83" s="8" t="s">
        <v>460</v>
      </c>
      <c r="P83" s="8"/>
      <c r="R83" s="8">
        <f>'Water Pro forma Rev Req'!V73</f>
        <v>18580.040955067085</v>
      </c>
      <c r="S83" s="8"/>
      <c r="V83" s="8">
        <f t="shared" si="9"/>
        <v>0</v>
      </c>
      <c r="W83" s="8"/>
      <c r="X83" s="8">
        <f t="shared" si="10"/>
        <v>18580.040955067085</v>
      </c>
      <c r="Y83" s="8"/>
      <c r="Z83" s="8"/>
      <c r="AA83" s="8"/>
      <c r="AB83" s="8">
        <f>R9</f>
        <v>1423993.0371256422</v>
      </c>
      <c r="AC83" s="12" t="e">
        <f t="shared" ref="AC83:AC86" si="11">AB83/$K$77</f>
        <v>#DIV/0!</v>
      </c>
      <c r="AD83" s="8" t="e">
        <f>AC83*$M$81</f>
        <v>#DIV/0!</v>
      </c>
      <c r="AE83" s="8"/>
      <c r="AF83" s="8"/>
    </row>
    <row r="84" spans="1:32" x14ac:dyDescent="0.4">
      <c r="H84" s="232"/>
      <c r="N84" s="8"/>
      <c r="O84" s="8" t="s">
        <v>2667</v>
      </c>
      <c r="P84" s="8"/>
      <c r="R84" s="8">
        <f>'Water Pro forma Rev Req'!X73</f>
        <v>14508.052900702023</v>
      </c>
      <c r="S84" s="8"/>
      <c r="V84" s="8">
        <f t="shared" si="9"/>
        <v>0</v>
      </c>
      <c r="W84" s="8"/>
      <c r="X84" s="8">
        <f t="shared" si="10"/>
        <v>14508.052900702023</v>
      </c>
      <c r="Y84" s="8"/>
      <c r="Z84" s="8"/>
      <c r="AA84" s="8"/>
      <c r="AB84" s="8">
        <f>R10</f>
        <v>242876.3523538181</v>
      </c>
      <c r="AC84" s="12" t="e">
        <f t="shared" si="11"/>
        <v>#DIV/0!</v>
      </c>
      <c r="AD84" s="8" t="e">
        <f>AC84*$M$81</f>
        <v>#DIV/0!</v>
      </c>
      <c r="AE84" s="8"/>
      <c r="AF84" s="8"/>
    </row>
    <row r="85" spans="1:32" x14ac:dyDescent="0.4">
      <c r="H85" s="232"/>
      <c r="N85" s="8"/>
      <c r="O85" s="8" t="s">
        <v>467</v>
      </c>
      <c r="P85" s="8"/>
      <c r="R85" s="10">
        <f>'Water Pro forma Rev Req'!Z73</f>
        <v>38325.911510623017</v>
      </c>
      <c r="S85" s="26"/>
      <c r="T85" s="5">
        <f>T79</f>
        <v>8.4274985495984112E-2</v>
      </c>
      <c r="V85" s="10">
        <f t="shared" si="9"/>
        <v>3229.9156366781253</v>
      </c>
      <c r="W85" s="10"/>
      <c r="X85" s="10">
        <f t="shared" si="10"/>
        <v>35095.995873944892</v>
      </c>
      <c r="Y85" s="8"/>
      <c r="Z85" s="8">
        <f>SUM(R81:R85)</f>
        <v>211541.49815788394</v>
      </c>
      <c r="AA85" s="8"/>
      <c r="AB85" s="8">
        <f>R11</f>
        <v>189647.75033597415</v>
      </c>
      <c r="AC85" s="12" t="e">
        <f t="shared" si="11"/>
        <v>#DIV/0!</v>
      </c>
      <c r="AD85" s="8" t="e">
        <f>AC85*$M$81</f>
        <v>#DIV/0!</v>
      </c>
      <c r="AE85" s="8"/>
      <c r="AF85" s="8"/>
    </row>
    <row r="86" spans="1:32" x14ac:dyDescent="0.4">
      <c r="A86" s="237" t="s">
        <v>620</v>
      </c>
      <c r="D86" s="233">
        <f>F81</f>
        <v>63334</v>
      </c>
      <c r="E86" s="2" t="s">
        <v>615</v>
      </c>
      <c r="F86" s="234">
        <f>H66</f>
        <v>0.10100722824089471</v>
      </c>
      <c r="G86" t="s">
        <v>612</v>
      </c>
      <c r="H86" s="232">
        <f>(D86/D87)*F86</f>
        <v>8.5123826949909578E-3</v>
      </c>
      <c r="N86" s="8"/>
      <c r="O86" s="8"/>
      <c r="P86" s="8"/>
      <c r="R86" s="8"/>
      <c r="S86" s="8"/>
      <c r="T86" s="8"/>
      <c r="U86" s="8"/>
      <c r="V86" s="5"/>
      <c r="W86" s="5"/>
      <c r="X86" s="8"/>
      <c r="Y86" s="8"/>
      <c r="Z86" s="8"/>
      <c r="AA86" s="8"/>
      <c r="AB86" s="8">
        <f>R12</f>
        <v>527412.58187961986</v>
      </c>
      <c r="AC86" s="12" t="e">
        <f t="shared" si="11"/>
        <v>#DIV/0!</v>
      </c>
      <c r="AD86" s="8" t="e">
        <f>AC86*$M$81</f>
        <v>#DIV/0!</v>
      </c>
      <c r="AE86" s="8"/>
      <c r="AF86" s="8"/>
    </row>
    <row r="87" spans="1:32" x14ac:dyDescent="0.4">
      <c r="D87" s="35">
        <f>F82</f>
        <v>751516</v>
      </c>
      <c r="H87" s="232"/>
      <c r="N87" s="241" t="s">
        <v>204</v>
      </c>
      <c r="O87" s="8"/>
      <c r="P87" s="8"/>
      <c r="R87" s="10">
        <f>SUM(R62:R86)</f>
        <v>11542785.22048695</v>
      </c>
      <c r="S87" s="26"/>
      <c r="T87" s="8"/>
      <c r="U87" s="8"/>
      <c r="V87" s="10">
        <f>SUM(V62:V86)</f>
        <v>311735.88203177304</v>
      </c>
      <c r="W87" s="10"/>
      <c r="X87" s="10">
        <f>SUM(X62:X86)</f>
        <v>11231049.338455178</v>
      </c>
      <c r="Y87" s="8"/>
      <c r="Z87" s="8">
        <f>V87+X87</f>
        <v>11542785.22048695</v>
      </c>
      <c r="AA87" s="8"/>
      <c r="AB87" s="8"/>
      <c r="AC87" s="8"/>
      <c r="AD87" s="8"/>
      <c r="AE87" s="8"/>
      <c r="AF87" s="8"/>
    </row>
    <row r="88" spans="1:32" x14ac:dyDescent="0.4">
      <c r="H88" s="232"/>
      <c r="N88" s="8"/>
      <c r="O88" s="8"/>
      <c r="P88" s="8"/>
      <c r="R88" s="8"/>
      <c r="S88" s="8"/>
      <c r="T88" s="8"/>
      <c r="U88" s="8"/>
      <c r="V88" s="5"/>
      <c r="W88" s="5"/>
      <c r="X88" s="8"/>
      <c r="Y88" s="8"/>
      <c r="Z88" s="8"/>
      <c r="AA88" s="8">
        <f>SUM(X88:Z88)</f>
        <v>0</v>
      </c>
      <c r="AB88" s="8">
        <f>SUM(AB82:AB87)</f>
        <v>2743262.7359914496</v>
      </c>
      <c r="AC88" s="8"/>
      <c r="AD88" s="8">
        <f>'[1]A-Pro forma Water'!X52</f>
        <v>13361.447935999999</v>
      </c>
      <c r="AE88" s="8"/>
      <c r="AF88" s="8"/>
    </row>
    <row r="89" spans="1:32" x14ac:dyDescent="0.4">
      <c r="H89" s="232"/>
      <c r="N89" s="8" t="s">
        <v>636</v>
      </c>
      <c r="O89" s="8"/>
      <c r="P89" s="8"/>
      <c r="R89" s="8"/>
      <c r="S89" s="8"/>
      <c r="T89" s="8"/>
      <c r="U89" s="8"/>
      <c r="V89" s="5"/>
      <c r="W89" s="5"/>
      <c r="X89" s="8"/>
      <c r="Y89" s="8"/>
      <c r="Z89" s="8"/>
      <c r="AA89" s="8"/>
      <c r="AB89" s="8"/>
      <c r="AC89" s="8"/>
      <c r="AD89" s="8"/>
      <c r="AE89" s="8"/>
      <c r="AF89" s="8"/>
    </row>
    <row r="90" spans="1:32" x14ac:dyDescent="0.4">
      <c r="A90" s="237" t="s">
        <v>621</v>
      </c>
      <c r="E90" s="217">
        <f>D86</f>
        <v>63334</v>
      </c>
      <c r="G90" t="s">
        <v>612</v>
      </c>
      <c r="H90" s="232">
        <f>E90/E91</f>
        <v>8.4274985495984112E-2</v>
      </c>
      <c r="N90" s="8"/>
      <c r="O90" s="8" t="s">
        <v>3309</v>
      </c>
      <c r="P90" s="8"/>
      <c r="R90" s="8">
        <f>'Allocation of Debt'!E14</f>
        <v>66309.587194697233</v>
      </c>
      <c r="S90" s="8"/>
      <c r="T90" s="5">
        <f>T81</f>
        <v>7.2064745013622783E-2</v>
      </c>
      <c r="V90" s="8">
        <f t="shared" ref="V90" si="12">R90*T90</f>
        <v>4778.5834931444424</v>
      </c>
      <c r="W90" s="8"/>
      <c r="X90" s="8">
        <f t="shared" ref="X90" si="13">R90-V90</f>
        <v>61531.003701552792</v>
      </c>
      <c r="Y90" s="8"/>
      <c r="Z90" s="8"/>
      <c r="AA90" s="8"/>
      <c r="AB90" s="8"/>
      <c r="AC90" s="8"/>
      <c r="AD90" s="8"/>
      <c r="AE90" s="8"/>
      <c r="AF90" s="8"/>
    </row>
    <row r="91" spans="1:32" x14ac:dyDescent="0.4">
      <c r="E91" s="24">
        <f>D87</f>
        <v>751516</v>
      </c>
      <c r="N91" s="8"/>
      <c r="O91" s="8" t="s">
        <v>629</v>
      </c>
      <c r="P91" s="8"/>
      <c r="R91" s="8">
        <f>'Allocation of Debt'!G14</f>
        <v>572277.03165161551</v>
      </c>
      <c r="S91" s="8"/>
      <c r="T91" s="5">
        <f>T82</f>
        <v>8.5123826949909578E-3</v>
      </c>
      <c r="V91" s="8">
        <f t="shared" ref="V91:V94" si="14">R91*T91</f>
        <v>4871.4411009720043</v>
      </c>
      <c r="W91" s="8"/>
      <c r="X91" s="8">
        <f t="shared" ref="X91:X94" si="15">R91-V91</f>
        <v>567405.59055064351</v>
      </c>
      <c r="Y91" s="8"/>
      <c r="Z91" s="8"/>
      <c r="AA91" s="8"/>
      <c r="AB91" s="8"/>
      <c r="AC91" s="8"/>
      <c r="AD91" s="8"/>
      <c r="AE91" s="8"/>
      <c r="AF91" s="8"/>
    </row>
    <row r="92" spans="1:32" x14ac:dyDescent="0.4">
      <c r="N92" s="8"/>
      <c r="O92" s="8" t="s">
        <v>3386</v>
      </c>
      <c r="P92" s="8"/>
      <c r="R92" s="8">
        <f>'Allocation of Debt'!I14</f>
        <v>98204.693223100141</v>
      </c>
      <c r="S92" s="8"/>
      <c r="V92" s="8">
        <f t="shared" si="14"/>
        <v>0</v>
      </c>
      <c r="W92" s="8"/>
      <c r="X92" s="8">
        <f t="shared" si="15"/>
        <v>98204.693223100141</v>
      </c>
      <c r="Y92" s="8"/>
      <c r="Z92" s="8"/>
      <c r="AA92" s="8"/>
      <c r="AB92" s="8"/>
      <c r="AC92" s="8"/>
      <c r="AD92" s="8"/>
      <c r="AE92" s="8"/>
      <c r="AF92" s="8"/>
    </row>
    <row r="93" spans="1:32" x14ac:dyDescent="0.4">
      <c r="N93" s="8"/>
      <c r="O93" s="8" t="s">
        <v>416</v>
      </c>
      <c r="P93" s="8"/>
      <c r="R93" s="8">
        <f>'Allocation of Debt'!K14</f>
        <v>313.79873500333628</v>
      </c>
      <c r="S93" s="8"/>
      <c r="V93" s="8">
        <f t="shared" si="14"/>
        <v>0</v>
      </c>
      <c r="W93" s="8"/>
      <c r="X93" s="8">
        <f t="shared" si="15"/>
        <v>313.79873500333628</v>
      </c>
      <c r="Y93" s="8"/>
      <c r="Z93" s="8"/>
      <c r="AA93" s="8"/>
      <c r="AB93" s="8"/>
      <c r="AC93" s="8"/>
      <c r="AD93" s="8"/>
      <c r="AE93" s="8"/>
      <c r="AF93" s="8"/>
    </row>
    <row r="94" spans="1:32" x14ac:dyDescent="0.4">
      <c r="N94" s="8"/>
      <c r="O94" s="8" t="s">
        <v>467</v>
      </c>
      <c r="P94" s="8"/>
      <c r="R94" s="10">
        <f>'Allocation of Debt'!M14</f>
        <v>4974.6268307040218</v>
      </c>
      <c r="S94" s="26"/>
      <c r="T94" s="105">
        <f>T85</f>
        <v>8.4274985495984112E-2</v>
      </c>
      <c r="U94" s="105"/>
      <c r="V94" s="10">
        <f t="shared" si="14"/>
        <v>419.23660400551483</v>
      </c>
      <c r="W94" s="10"/>
      <c r="X94" s="10">
        <f t="shared" si="15"/>
        <v>4555.3902266985069</v>
      </c>
      <c r="Y94" s="26"/>
      <c r="Z94" s="8"/>
      <c r="AA94" s="8"/>
      <c r="AB94" s="8"/>
      <c r="AC94" s="8"/>
      <c r="AD94" s="8"/>
      <c r="AE94" s="8"/>
      <c r="AF94" s="8"/>
    </row>
    <row r="95" spans="1:32" x14ac:dyDescent="0.4">
      <c r="N95" s="8"/>
      <c r="O95" s="8"/>
      <c r="P95" s="8"/>
      <c r="R95" s="8"/>
      <c r="S95" s="8"/>
      <c r="T95" s="8"/>
      <c r="U95" s="8"/>
      <c r="V95" s="5"/>
      <c r="W95" s="5"/>
      <c r="X95" s="8"/>
      <c r="Y95" s="8"/>
      <c r="Z95" s="8"/>
      <c r="AA95" s="8"/>
      <c r="AB95" s="8"/>
      <c r="AC95" s="8"/>
      <c r="AD95" s="8"/>
      <c r="AE95" s="8"/>
      <c r="AF95" s="8"/>
    </row>
    <row r="96" spans="1:32" x14ac:dyDescent="0.4">
      <c r="N96" s="270" t="s">
        <v>3264</v>
      </c>
      <c r="R96" s="217">
        <f>SUM(R90:R95)</f>
        <v>742079.73763512028</v>
      </c>
      <c r="S96" s="24"/>
      <c r="V96" s="217">
        <f>SUM(V90:V95)</f>
        <v>10069.261198121962</v>
      </c>
      <c r="W96" s="217"/>
      <c r="X96" s="217">
        <f>SUM(X90:X95)</f>
        <v>732010.47643699823</v>
      </c>
      <c r="Y96" s="8"/>
      <c r="Z96" s="8"/>
      <c r="AA96" s="8"/>
      <c r="AB96" s="8"/>
      <c r="AC96" s="8"/>
      <c r="AD96" s="8"/>
      <c r="AE96" s="8"/>
      <c r="AF96" s="8"/>
    </row>
    <row r="97" spans="14:31" x14ac:dyDescent="0.4">
      <c r="Y97" s="8"/>
      <c r="Z97" s="8"/>
      <c r="AA97" s="8"/>
      <c r="AB97" s="8"/>
      <c r="AC97" s="8"/>
      <c r="AD97" s="8"/>
      <c r="AE97" s="8"/>
    </row>
    <row r="98" spans="14:31" ht="16.5" thickBot="1" x14ac:dyDescent="0.45">
      <c r="N98" s="8" t="s">
        <v>637</v>
      </c>
      <c r="O98" s="8"/>
      <c r="P98" s="8"/>
      <c r="R98" s="11">
        <f>SUM(R87+R96)</f>
        <v>12284864.958122071</v>
      </c>
      <c r="S98" s="26"/>
      <c r="T98" s="8"/>
      <c r="U98" s="8"/>
      <c r="V98" s="268">
        <f>V87+V96</f>
        <v>321805.14322989498</v>
      </c>
      <c r="W98" s="268"/>
      <c r="X98" s="344">
        <f>X87+X96</f>
        <v>11963059.814892177</v>
      </c>
      <c r="Y98" s="8">
        <f>SUM(V98:X98)</f>
        <v>12284864.958122071</v>
      </c>
      <c r="Z98" s="8"/>
      <c r="AA98" s="8"/>
      <c r="AB98" s="8"/>
      <c r="AC98" s="8"/>
      <c r="AD98" s="8"/>
      <c r="AE98" s="8"/>
    </row>
    <row r="99" spans="14:31" ht="16.5" thickTop="1" x14ac:dyDescent="0.4">
      <c r="N99" s="8" t="s">
        <v>3311</v>
      </c>
      <c r="O99" s="8"/>
      <c r="P99" s="8"/>
      <c r="R99" s="8"/>
      <c r="S99" s="8"/>
      <c r="V99" s="8">
        <f>-'Acct.RateCase,PSCFees,IntIn,Bad'!AA52</f>
        <v>-2488.2209765009698</v>
      </c>
      <c r="W99" s="8"/>
      <c r="X99" s="8"/>
      <c r="Y99" s="8"/>
      <c r="Z99" s="8"/>
      <c r="AA99" s="8"/>
      <c r="AB99" s="8"/>
      <c r="AC99" s="8"/>
      <c r="AD99" s="8"/>
      <c r="AE99" s="8"/>
    </row>
    <row r="100" spans="14:31" x14ac:dyDescent="0.4">
      <c r="N100" s="8" t="s">
        <v>3368</v>
      </c>
      <c r="V100" s="217">
        <f>'Water Retail Rate Calc'!AC53</f>
        <v>6469.92</v>
      </c>
      <c r="W100" s="24"/>
      <c r="X100" s="26"/>
      <c r="Y100" s="8"/>
      <c r="Z100" s="8"/>
      <c r="AA100" s="8"/>
      <c r="AB100" s="8"/>
      <c r="AC100" s="8"/>
      <c r="AD100" s="8"/>
      <c r="AE100" s="8"/>
    </row>
    <row r="101" spans="14:31" x14ac:dyDescent="0.4">
      <c r="X101" s="26"/>
      <c r="Y101" s="8"/>
      <c r="Z101" s="8"/>
      <c r="AA101" s="8"/>
      <c r="AB101" s="8"/>
      <c r="AC101" s="8"/>
      <c r="AD101" s="8"/>
      <c r="AE101" s="8"/>
    </row>
    <row r="102" spans="14:31" x14ac:dyDescent="0.4">
      <c r="N102" t="s">
        <v>3310</v>
      </c>
      <c r="V102" s="24">
        <f>V98+V99+V100</f>
        <v>325786.84225339402</v>
      </c>
      <c r="W102" s="24"/>
      <c r="X102" s="342"/>
      <c r="Y102" s="8"/>
      <c r="Z102" s="8"/>
      <c r="AA102" s="8"/>
      <c r="AB102" s="8"/>
      <c r="AC102" s="8"/>
      <c r="AD102" s="8"/>
      <c r="AE102" s="8"/>
    </row>
    <row r="103" spans="14:31" x14ac:dyDescent="0.4">
      <c r="N103" s="8" t="s">
        <v>638</v>
      </c>
      <c r="O103" s="8"/>
      <c r="P103" s="8"/>
      <c r="R103" s="8"/>
      <c r="S103" s="8"/>
      <c r="T103" s="8"/>
      <c r="U103" s="8"/>
      <c r="V103" s="352">
        <v>63453400</v>
      </c>
      <c r="W103" s="365"/>
      <c r="X103" s="38"/>
      <c r="Y103" s="8"/>
      <c r="Z103" s="8"/>
      <c r="AA103" s="8"/>
      <c r="AB103" s="8"/>
      <c r="AC103" s="8"/>
      <c r="AD103" s="8"/>
    </row>
    <row r="104" spans="14:31" x14ac:dyDescent="0.4">
      <c r="X104" s="26"/>
      <c r="Y104" s="8"/>
      <c r="Z104" s="8"/>
      <c r="AA104" s="8"/>
      <c r="AB104" s="8"/>
      <c r="AC104" s="8"/>
      <c r="AD104" s="8"/>
    </row>
    <row r="105" spans="14:31" x14ac:dyDescent="0.4">
      <c r="N105" s="8" t="s">
        <v>3554</v>
      </c>
      <c r="O105" s="8"/>
      <c r="P105" s="8"/>
      <c r="R105" s="8"/>
      <c r="S105" s="8"/>
      <c r="T105" s="8"/>
      <c r="U105" s="8"/>
      <c r="V105" s="343">
        <f>ROUND(V102/V103,5)</f>
        <v>5.13E-3</v>
      </c>
      <c r="W105" s="343"/>
      <c r="X105" s="275"/>
      <c r="Y105" s="8"/>
      <c r="Z105" s="8"/>
      <c r="AA105" s="8"/>
      <c r="AB105" s="8"/>
      <c r="AC105" s="8"/>
      <c r="AD105" s="8"/>
    </row>
    <row r="106" spans="14:31" x14ac:dyDescent="0.4">
      <c r="N106" s="8" t="s">
        <v>639</v>
      </c>
      <c r="O106" s="8"/>
      <c r="P106" s="8"/>
      <c r="R106" s="8"/>
      <c r="S106" s="8"/>
      <c r="T106" s="8"/>
      <c r="U106" s="8"/>
      <c r="V106" s="353">
        <v>-4.5199999999999997E-3</v>
      </c>
      <c r="W106" s="366"/>
      <c r="X106" s="105"/>
      <c r="Z106" s="8"/>
      <c r="AA106" s="8"/>
      <c r="AB106" s="8"/>
      <c r="AC106" s="8"/>
      <c r="AD106" s="8"/>
    </row>
    <row r="107" spans="14:31" x14ac:dyDescent="0.4">
      <c r="N107" s="8"/>
      <c r="O107" s="8"/>
      <c r="P107" s="8"/>
      <c r="R107" s="8"/>
      <c r="S107" s="8"/>
      <c r="T107" s="8"/>
      <c r="U107" s="8"/>
      <c r="V107" s="5"/>
      <c r="W107" s="5"/>
      <c r="X107" s="8"/>
    </row>
    <row r="108" spans="14:31" ht="16.5" thickBot="1" x14ac:dyDescent="0.45">
      <c r="N108" s="8" t="s">
        <v>640</v>
      </c>
      <c r="O108" s="8"/>
      <c r="P108" s="8"/>
      <c r="R108" s="8"/>
      <c r="S108" s="8"/>
      <c r="T108" s="8"/>
      <c r="U108" s="8"/>
      <c r="V108" s="354">
        <f>V105+V106</f>
        <v>6.100000000000003E-4</v>
      </c>
      <c r="W108" s="367"/>
    </row>
    <row r="109" spans="14:31" ht="17" thickTop="1" thickBot="1" x14ac:dyDescent="0.45">
      <c r="N109" s="8" t="s">
        <v>641</v>
      </c>
      <c r="O109" s="8"/>
      <c r="P109" s="8"/>
      <c r="R109" s="8"/>
      <c r="S109" s="8"/>
      <c r="T109" s="8"/>
      <c r="U109" s="8"/>
      <c r="V109" s="106">
        <f>V108/V106*-1</f>
        <v>0.13495575221238945</v>
      </c>
      <c r="W109" s="105"/>
    </row>
    <row r="110" spans="14:31" ht="16.5" thickTop="1" x14ac:dyDescent="0.4"/>
  </sheetData>
  <mergeCells count="18">
    <mergeCell ref="N67:X67"/>
    <mergeCell ref="N68:X68"/>
    <mergeCell ref="N69:X69"/>
    <mergeCell ref="V71:X71"/>
    <mergeCell ref="B6:D6"/>
    <mergeCell ref="F6:G6"/>
    <mergeCell ref="A27:G27"/>
    <mergeCell ref="A49:H49"/>
    <mergeCell ref="A50:H50"/>
    <mergeCell ref="A51:H51"/>
    <mergeCell ref="N1:X1"/>
    <mergeCell ref="N2:X2"/>
    <mergeCell ref="N3:X3"/>
    <mergeCell ref="V5:X5"/>
    <mergeCell ref="A1:G1"/>
    <mergeCell ref="A2:G2"/>
    <mergeCell ref="A3:G3"/>
    <mergeCell ref="A5:G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921DC-A9D1-4106-B5DB-2848627CDCF7}">
  <dimension ref="A1:S53"/>
  <sheetViews>
    <sheetView showGridLines="0" topLeftCell="A16" workbookViewId="0">
      <selection activeCell="P53" sqref="P53"/>
    </sheetView>
  </sheetViews>
  <sheetFormatPr defaultRowHeight="16" x14ac:dyDescent="0.4"/>
  <cols>
    <col min="3" max="3" width="15.1640625" customWidth="1"/>
    <col min="5" max="5" width="13.6640625" bestFit="1" customWidth="1"/>
    <col min="6" max="6" width="0.9140625" customWidth="1"/>
    <col min="7" max="7" width="12.6640625" bestFit="1" customWidth="1"/>
    <col min="8" max="8" width="0.9140625" customWidth="1"/>
    <col min="9" max="9" width="12.58203125" bestFit="1" customWidth="1"/>
    <col min="10" max="10" width="0.9140625" customWidth="1"/>
    <col min="11" max="11" width="13.83203125" bestFit="1" customWidth="1"/>
    <col min="12" max="12" width="0.9140625" customWidth="1"/>
    <col min="13" max="13" width="12.58203125" bestFit="1" customWidth="1"/>
    <col min="14" max="14" width="0.9140625" customWidth="1"/>
    <col min="15" max="15" width="12.08203125" bestFit="1" customWidth="1"/>
    <col min="16" max="16" width="0.9140625" customWidth="1"/>
    <col min="17" max="17" width="12.08203125" bestFit="1" customWidth="1"/>
    <col min="19" max="19" width="11.08203125" bestFit="1" customWidth="1"/>
  </cols>
  <sheetData>
    <row r="1" spans="1:17" x14ac:dyDescent="0.4">
      <c r="A1" s="407" t="s">
        <v>3485</v>
      </c>
      <c r="B1" s="407"/>
      <c r="C1" s="407"/>
      <c r="D1" s="407"/>
      <c r="E1" s="407"/>
      <c r="F1" s="407"/>
      <c r="G1" s="407"/>
      <c r="H1" s="407"/>
      <c r="I1" s="407"/>
      <c r="J1" s="407"/>
      <c r="K1" s="407"/>
      <c r="L1" s="407"/>
      <c r="M1" s="407"/>
      <c r="N1" s="407"/>
      <c r="O1" s="407"/>
      <c r="P1" s="407"/>
      <c r="Q1" s="407"/>
    </row>
    <row r="2" spans="1:17" x14ac:dyDescent="0.4">
      <c r="A2" s="407" t="s">
        <v>3315</v>
      </c>
      <c r="B2" s="407"/>
      <c r="C2" s="407"/>
      <c r="D2" s="407"/>
      <c r="E2" s="407"/>
      <c r="F2" s="407"/>
      <c r="G2" s="407"/>
      <c r="H2" s="407"/>
      <c r="I2" s="407"/>
      <c r="J2" s="407"/>
      <c r="K2" s="407"/>
      <c r="L2" s="407"/>
      <c r="M2" s="407"/>
      <c r="N2" s="407"/>
      <c r="O2" s="407"/>
      <c r="P2" s="407"/>
      <c r="Q2" s="407"/>
    </row>
    <row r="3" spans="1:17" x14ac:dyDescent="0.4">
      <c r="A3" s="407" t="s">
        <v>3479</v>
      </c>
      <c r="B3" s="407"/>
      <c r="C3" s="407"/>
      <c r="D3" s="407"/>
      <c r="E3" s="407"/>
      <c r="F3" s="407"/>
      <c r="G3" s="407"/>
      <c r="H3" s="407"/>
      <c r="I3" s="407"/>
      <c r="J3" s="407"/>
      <c r="K3" s="407"/>
      <c r="L3" s="407"/>
      <c r="M3" s="407"/>
      <c r="N3" s="407"/>
      <c r="O3" s="407"/>
      <c r="P3" s="407"/>
      <c r="Q3" s="407"/>
    </row>
    <row r="4" spans="1:17" ht="3.65" customHeight="1" x14ac:dyDescent="0.4"/>
    <row r="5" spans="1:17" x14ac:dyDescent="0.4">
      <c r="I5" s="400" t="s">
        <v>3316</v>
      </c>
      <c r="J5" s="400"/>
      <c r="K5" s="400"/>
    </row>
    <row r="6" spans="1:17" x14ac:dyDescent="0.4">
      <c r="E6" s="2" t="s">
        <v>25</v>
      </c>
      <c r="F6" s="2"/>
      <c r="G6" s="2"/>
      <c r="H6" s="2"/>
      <c r="I6" s="2" t="s">
        <v>459</v>
      </c>
      <c r="J6" s="2"/>
      <c r="K6" s="2" t="s">
        <v>3317</v>
      </c>
      <c r="L6" s="2"/>
      <c r="N6" s="2"/>
      <c r="O6" s="2" t="s">
        <v>461</v>
      </c>
      <c r="Q6" s="2"/>
    </row>
    <row r="7" spans="1:17" x14ac:dyDescent="0.4">
      <c r="E7" s="327" t="s">
        <v>3320</v>
      </c>
      <c r="F7" s="2"/>
      <c r="G7" s="327" t="s">
        <v>3321</v>
      </c>
      <c r="H7" s="2"/>
      <c r="I7" s="327" t="s">
        <v>3322</v>
      </c>
      <c r="J7" s="2"/>
      <c r="K7" s="327" t="s">
        <v>3323</v>
      </c>
      <c r="L7" s="2"/>
      <c r="M7" s="21" t="s">
        <v>460</v>
      </c>
      <c r="N7" s="2"/>
      <c r="O7" s="327" t="s">
        <v>466</v>
      </c>
      <c r="Q7" s="327" t="s">
        <v>2826</v>
      </c>
    </row>
    <row r="8" spans="1:17" ht="4.75" customHeight="1" x14ac:dyDescent="0.4"/>
    <row r="9" spans="1:17" x14ac:dyDescent="0.4">
      <c r="A9" s="8" t="s">
        <v>628</v>
      </c>
      <c r="E9" s="9">
        <f>SUM(F9:Q9)</f>
        <v>2660798.2325658826</v>
      </c>
      <c r="F9" s="9"/>
      <c r="G9" s="9"/>
      <c r="H9" s="9"/>
      <c r="I9" s="9">
        <f>'Sys Info, Allo Facts, Whole Rat'!X8</f>
        <v>333437.77224614925</v>
      </c>
      <c r="J9" s="9"/>
      <c r="K9" s="9">
        <f>'Sys Info, Allo Facts, Whole Rat'!X9</f>
        <v>1411871.4634386261</v>
      </c>
      <c r="L9" s="9"/>
      <c r="M9" s="9">
        <f>'Sys Info, Allo Facts, Whole Rat'!X10</f>
        <v>242876.3523538181</v>
      </c>
      <c r="N9" s="9"/>
      <c r="O9" s="9">
        <f>'Sys Info, Allo Facts, Whole Rat'!X11</f>
        <v>189647.75033597415</v>
      </c>
      <c r="P9" s="9"/>
      <c r="Q9" s="9">
        <f>'Sys Info, Allo Facts, Whole Rat'!X12</f>
        <v>482964.89419131534</v>
      </c>
    </row>
    <row r="10" spans="1:17" x14ac:dyDescent="0.4">
      <c r="A10" s="8" t="s">
        <v>192</v>
      </c>
      <c r="E10" s="8">
        <f>SUM(F10:Q10)</f>
        <v>1180371.73051383</v>
      </c>
      <c r="F10" s="8"/>
      <c r="G10" s="8"/>
      <c r="H10" s="8"/>
      <c r="I10" s="8">
        <f>'Sys Info, Allo Facts, Whole Rat'!X14</f>
        <v>148112.71876457887</v>
      </c>
      <c r="J10" s="8"/>
      <c r="K10" s="8">
        <f>'Sys Info, Allo Facts, Whole Rat'!X15</f>
        <v>636088.31716427475</v>
      </c>
      <c r="L10" s="8"/>
      <c r="M10" s="8">
        <f>'Sys Info, Allo Facts, Whole Rat'!X16</f>
        <v>107885.4283017219</v>
      </c>
      <c r="N10" s="8"/>
      <c r="O10" s="8">
        <f>'Sys Info, Allo Facts, Whole Rat'!X17</f>
        <v>84241.337508430966</v>
      </c>
      <c r="P10" s="8"/>
      <c r="Q10" s="8">
        <f>'Sys Info, Allo Facts, Whole Rat'!X18</f>
        <v>204043.92877482358</v>
      </c>
    </row>
    <row r="11" spans="1:17" x14ac:dyDescent="0.4">
      <c r="A11" s="8" t="s">
        <v>214</v>
      </c>
      <c r="E11" s="8">
        <f t="shared" ref="E11:E22" si="0">SUM(F11:Q11)</f>
        <v>866189.25044440047</v>
      </c>
      <c r="F11" s="8"/>
      <c r="G11" s="9">
        <f>'Sys Info, Allo Facts, Whole Rat'!X20</f>
        <v>866189.25044440047</v>
      </c>
      <c r="H11" s="8"/>
      <c r="I11" s="8"/>
      <c r="J11" s="8"/>
      <c r="K11" s="8"/>
      <c r="L11" s="8"/>
      <c r="M11" s="8"/>
      <c r="N11" s="8"/>
      <c r="O11" s="8"/>
      <c r="P11" s="8"/>
      <c r="Q11" s="8"/>
    </row>
    <row r="12" spans="1:17" x14ac:dyDescent="0.4">
      <c r="A12" s="8" t="s">
        <v>193</v>
      </c>
      <c r="E12" s="8">
        <f t="shared" si="0"/>
        <v>1087710.2104730103</v>
      </c>
      <c r="F12" s="8"/>
      <c r="G12" s="8"/>
      <c r="H12" s="8"/>
      <c r="I12" s="8">
        <f>'Sys Info, Allo Facts, Whole Rat'!X22</f>
        <v>79246.349282095049</v>
      </c>
      <c r="J12" s="8"/>
      <c r="K12" s="8">
        <f>'Sys Info, Allo Facts, Whole Rat'!X23</f>
        <v>998586.20452955936</v>
      </c>
      <c r="L12" s="8"/>
      <c r="M12" s="8"/>
      <c r="N12" s="8"/>
      <c r="O12" s="8"/>
      <c r="P12" s="8"/>
      <c r="Q12" s="8">
        <f>'Sys Info, Allo Facts, Whole Rat'!X24</f>
        <v>9877.6566613558571</v>
      </c>
    </row>
    <row r="13" spans="1:17" x14ac:dyDescent="0.4">
      <c r="A13" s="8" t="s">
        <v>194</v>
      </c>
      <c r="E13" s="8">
        <f t="shared" si="0"/>
        <v>163783.96717063891</v>
      </c>
      <c r="F13" s="8"/>
      <c r="G13" s="8">
        <f>'Sys Info, Allo Facts, Whole Rat'!X26</f>
        <v>163783.96717063891</v>
      </c>
      <c r="H13" s="8"/>
      <c r="I13" s="8"/>
      <c r="J13" s="8"/>
      <c r="K13" s="8"/>
      <c r="L13" s="8"/>
      <c r="M13" s="8"/>
      <c r="N13" s="8"/>
      <c r="O13" s="8"/>
      <c r="P13" s="8"/>
      <c r="Q13" s="8"/>
    </row>
    <row r="14" spans="1:17" x14ac:dyDescent="0.4">
      <c r="A14" s="8" t="s">
        <v>195</v>
      </c>
      <c r="E14" s="8">
        <f t="shared" si="0"/>
        <v>1170875.0088047166</v>
      </c>
      <c r="F14" s="8"/>
      <c r="G14" s="8"/>
      <c r="H14" s="8"/>
      <c r="I14" s="8">
        <f>'Sys Info, Allo Facts, Whole Rat'!X28</f>
        <v>115263.48314214913</v>
      </c>
      <c r="J14" s="8"/>
      <c r="K14" s="8">
        <f>'Sys Info, Allo Facts, Whole Rat'!X29</f>
        <v>923921.77281003492</v>
      </c>
      <c r="L14" s="8"/>
      <c r="M14" s="8">
        <f>'Sys Info, Allo Facts, Whole Rat'!X30</f>
        <v>131689.75285253246</v>
      </c>
      <c r="N14" s="8"/>
      <c r="O14" s="8"/>
      <c r="P14" s="8"/>
      <c r="Q14" s="8"/>
    </row>
    <row r="15" spans="1:17" x14ac:dyDescent="0.4">
      <c r="A15" s="8" t="s">
        <v>631</v>
      </c>
      <c r="E15" s="8">
        <f t="shared" si="0"/>
        <v>233563.67424647973</v>
      </c>
      <c r="F15" s="8"/>
      <c r="G15" s="8"/>
      <c r="H15" s="8"/>
      <c r="I15" s="8">
        <f>'Sys Info, Allo Facts, Whole Rat'!X32</f>
        <v>63589.561225868827</v>
      </c>
      <c r="J15" s="8"/>
      <c r="K15" s="8">
        <f>'Sys Info, Allo Facts, Whole Rat'!X33</f>
        <v>36833.777765135543</v>
      </c>
      <c r="L15" s="8"/>
      <c r="M15" s="8">
        <f>'Sys Info, Allo Facts, Whole Rat'!X34</f>
        <v>17301.11</v>
      </c>
      <c r="N15" s="8"/>
      <c r="O15" s="8">
        <f>'Sys Info, Allo Facts, Whole Rat'!X35</f>
        <v>13576.928556338029</v>
      </c>
      <c r="P15" s="8"/>
      <c r="Q15" s="8">
        <f>'Sys Info, Allo Facts, Whole Rat'!X36</f>
        <v>102262.29669913734</v>
      </c>
    </row>
    <row r="16" spans="1:17" x14ac:dyDescent="0.4">
      <c r="A16" s="8" t="s">
        <v>196</v>
      </c>
      <c r="E16" s="8">
        <f t="shared" si="0"/>
        <v>164090.51850416802</v>
      </c>
      <c r="F16" s="8"/>
      <c r="G16" s="8"/>
      <c r="H16" s="8"/>
      <c r="I16" s="8">
        <f>'Sys Info, Allo Facts, Whole Rat'!X38</f>
        <v>9695.435223897086</v>
      </c>
      <c r="J16" s="8"/>
      <c r="K16" s="8">
        <f>'Sys Info, Allo Facts, Whole Rat'!X39</f>
        <v>111062.34957489357</v>
      </c>
      <c r="L16" s="8"/>
      <c r="M16" s="8">
        <f>'Sys Info, Allo Facts, Whole Rat'!X40</f>
        <v>36388.038180441676</v>
      </c>
      <c r="N16" s="8"/>
      <c r="O16" s="8"/>
      <c r="P16" s="8"/>
      <c r="Q16" s="8">
        <f>'Sys Info, Allo Facts, Whole Rat'!X41</f>
        <v>6944.6955249356888</v>
      </c>
    </row>
    <row r="17" spans="1:19" x14ac:dyDescent="0.4">
      <c r="A17" s="8" t="s">
        <v>197</v>
      </c>
      <c r="E17" s="8">
        <f t="shared" si="0"/>
        <v>132387.7537684878</v>
      </c>
      <c r="F17" s="8"/>
      <c r="G17" s="8"/>
      <c r="H17" s="8"/>
      <c r="I17" s="8">
        <f>'Sys Info, Allo Facts, Whole Rat'!X43</f>
        <v>11128.189594797659</v>
      </c>
      <c r="J17" s="8"/>
      <c r="K17" s="8">
        <f>'Sys Info, Allo Facts, Whole Rat'!X44</f>
        <v>102618.13734457816</v>
      </c>
      <c r="L17" s="8"/>
      <c r="M17" s="8">
        <f>'Sys Info, Allo Facts, Whole Rat'!X45</f>
        <v>17760.809665746121</v>
      </c>
      <c r="N17" s="8"/>
      <c r="O17" s="8">
        <f>'Sys Info, Allo Facts, Whole Rat'!X46</f>
        <v>56.752069812842507</v>
      </c>
      <c r="P17" s="8"/>
      <c r="Q17" s="8">
        <f>'Sys Info, Allo Facts, Whole Rat'!X47</f>
        <v>823.86509355299177</v>
      </c>
    </row>
    <row r="18" spans="1:19" x14ac:dyDescent="0.4">
      <c r="A18" s="8" t="s">
        <v>3350</v>
      </c>
      <c r="E18" s="8">
        <f t="shared" si="0"/>
        <v>47417.673895966094</v>
      </c>
      <c r="F18" s="8"/>
      <c r="G18" s="8"/>
      <c r="H18" s="8"/>
      <c r="I18" s="8">
        <f>'Sys Info, Allo Facts, Whole Rat'!X49</f>
        <v>5889.4633178497934</v>
      </c>
      <c r="J18" s="8"/>
      <c r="K18" s="8">
        <f>'Sys Info, Allo Facts, Whole Rat'!X50</f>
        <v>25785.390309407867</v>
      </c>
      <c r="L18" s="8"/>
      <c r="M18" s="8">
        <f>'Sys Info, Allo Facts, Whole Rat'!X51</f>
        <v>4289.8900095368317</v>
      </c>
      <c r="N18" s="8"/>
      <c r="O18" s="8">
        <f>'Sys Info, Allo Facts, Whole Rat'!X52</f>
        <v>3349.7208831275552</v>
      </c>
      <c r="P18" s="8"/>
      <c r="Q18" s="8">
        <f>'Sys Info, Allo Facts, Whole Rat'!X53</f>
        <v>8103.2093760440503</v>
      </c>
    </row>
    <row r="19" spans="1:19" x14ac:dyDescent="0.4">
      <c r="A19" s="8" t="s">
        <v>3351</v>
      </c>
      <c r="E19" s="8">
        <f t="shared" si="0"/>
        <v>72354.017461718104</v>
      </c>
      <c r="F19" s="8"/>
      <c r="G19" s="8"/>
      <c r="H19" s="8"/>
      <c r="I19" s="8"/>
      <c r="J19" s="8"/>
      <c r="K19" s="8"/>
      <c r="L19" s="8"/>
      <c r="M19" s="8"/>
      <c r="N19" s="8"/>
      <c r="O19" s="8"/>
      <c r="P19" s="8"/>
      <c r="Q19" s="8">
        <f>'Sys Info, Allo Facts, Whole Rat'!X54</f>
        <v>72354.017461718104</v>
      </c>
    </row>
    <row r="20" spans="1:19" x14ac:dyDescent="0.4">
      <c r="A20" s="8" t="s">
        <v>198</v>
      </c>
      <c r="E20" s="8">
        <f t="shared" si="0"/>
        <v>2992.5893473991241</v>
      </c>
      <c r="F20" s="8"/>
      <c r="G20" s="8"/>
      <c r="H20" s="8"/>
      <c r="I20" s="8"/>
      <c r="J20" s="8"/>
      <c r="K20" s="8"/>
      <c r="L20" s="8"/>
      <c r="M20" s="8"/>
      <c r="N20" s="8"/>
      <c r="O20" s="8"/>
      <c r="P20" s="8"/>
      <c r="Q20" s="8">
        <f>'Sys Info, Allo Facts, Whole Rat'!X55</f>
        <v>2992.5893473991241</v>
      </c>
    </row>
    <row r="21" spans="1:19" x14ac:dyDescent="0.4">
      <c r="A21" s="8" t="s">
        <v>199</v>
      </c>
      <c r="E21" s="8">
        <f t="shared" si="0"/>
        <v>28942.359950780174</v>
      </c>
      <c r="F21" s="8"/>
      <c r="G21" s="8"/>
      <c r="H21" s="8"/>
      <c r="I21" s="8"/>
      <c r="J21" s="8"/>
      <c r="K21" s="8"/>
      <c r="L21" s="8"/>
      <c r="M21" s="8"/>
      <c r="N21" s="8"/>
      <c r="O21" s="8">
        <f>'Sys Info, Allo Facts, Whole Rat'!X56</f>
        <v>28942.359950780174</v>
      </c>
      <c r="P21" s="8"/>
      <c r="Q21" s="8"/>
    </row>
    <row r="22" spans="1:19" x14ac:dyDescent="0.4">
      <c r="A22" s="8" t="s">
        <v>200</v>
      </c>
      <c r="E22" s="10">
        <f t="shared" si="0"/>
        <v>377188.74130498111</v>
      </c>
      <c r="F22" s="8"/>
      <c r="G22" s="10"/>
      <c r="H22" s="8"/>
      <c r="I22" s="10"/>
      <c r="J22" s="8"/>
      <c r="K22" s="10">
        <f>'Sys Info, Allo Facts, Whole Rat'!X58</f>
        <v>22527.857854443784</v>
      </c>
      <c r="L22" s="8"/>
      <c r="M22" s="10"/>
      <c r="N22" s="8"/>
      <c r="O22" s="10">
        <f>'Sys Info, Allo Facts, Whole Rat'!X59</f>
        <v>255034.02956705386</v>
      </c>
      <c r="P22" s="8"/>
      <c r="Q22" s="10">
        <f>'Sys Info, Allo Facts, Whole Rat'!X60</f>
        <v>99626.853883483433</v>
      </c>
    </row>
    <row r="23" spans="1:19" ht="6" customHeight="1" x14ac:dyDescent="0.4">
      <c r="E23" s="8"/>
      <c r="F23" s="8"/>
      <c r="G23" s="8"/>
      <c r="H23" s="8"/>
      <c r="I23" s="8"/>
      <c r="J23" s="8"/>
      <c r="K23" s="8"/>
      <c r="L23" s="8"/>
      <c r="M23" s="8"/>
      <c r="N23" s="8"/>
      <c r="O23" s="8"/>
      <c r="P23" s="8"/>
      <c r="Q23" s="8"/>
    </row>
    <row r="24" spans="1:19" x14ac:dyDescent="0.4">
      <c r="A24" s="8" t="s">
        <v>633</v>
      </c>
      <c r="E24" s="8">
        <f>SUM(E9:E23)</f>
        <v>8188665.728452458</v>
      </c>
      <c r="F24" s="8"/>
      <c r="G24" s="8">
        <f>SUM(G9:G23)</f>
        <v>1029973.2176150393</v>
      </c>
      <c r="H24" s="8"/>
      <c r="I24" s="8">
        <f>SUM(I9:I23)</f>
        <v>766362.97279738577</v>
      </c>
      <c r="J24" s="8"/>
      <c r="K24" s="8">
        <f>SUM(K9:K23)</f>
        <v>4269295.2707909541</v>
      </c>
      <c r="L24" s="8"/>
      <c r="M24" s="8">
        <f>SUM(M9:M23)</f>
        <v>558191.38136379723</v>
      </c>
      <c r="N24" s="8"/>
      <c r="O24" s="8">
        <f>SUM(O9:O23)</f>
        <v>574848.87887151749</v>
      </c>
      <c r="P24" s="8"/>
      <c r="Q24" s="8">
        <f>SUM(Q9:Q23)</f>
        <v>989994.00701376551</v>
      </c>
      <c r="S24" s="24">
        <f>SUM(G24:R24)</f>
        <v>8188665.728452459</v>
      </c>
    </row>
    <row r="25" spans="1:19" x14ac:dyDescent="0.4">
      <c r="A25" s="8" t="s">
        <v>3252</v>
      </c>
      <c r="E25" s="8">
        <f>SUM(F25:Q25)</f>
        <v>2837011.8356629447</v>
      </c>
      <c r="F25" s="8"/>
      <c r="G25" s="8"/>
      <c r="H25" s="8"/>
      <c r="I25" s="8">
        <f>'Sys Info, Allo Facts, Whole Rat'!X74</f>
        <v>246423.59015239734</v>
      </c>
      <c r="J25" s="8"/>
      <c r="K25" s="8">
        <f>'Sys Info, Allo Facts, Whole Rat'!X75+'Sys Info, Allo Facts, Whole Rat'!X76</f>
        <v>2031838.177161417</v>
      </c>
      <c r="L25" s="8"/>
      <c r="M25" s="8">
        <f>'Sys Info, Allo Facts, Whole Rat'!X77</f>
        <v>531264.16884129564</v>
      </c>
      <c r="N25" s="8"/>
      <c r="O25" s="8">
        <f>'Sys Info, Allo Facts, Whole Rat'!X78</f>
        <v>8857.4076114044346</v>
      </c>
      <c r="P25" s="8"/>
      <c r="Q25" s="8">
        <f>'Sys Info, Allo Facts, Whole Rat'!X79</f>
        <v>18628.491896430627</v>
      </c>
    </row>
    <row r="26" spans="1:19" x14ac:dyDescent="0.4">
      <c r="A26" s="8" t="s">
        <v>3324</v>
      </c>
      <c r="E26" s="10">
        <f>SUM(F26:Q26)</f>
        <v>205371.77433977782</v>
      </c>
      <c r="F26" s="8"/>
      <c r="G26" s="10"/>
      <c r="H26" s="8"/>
      <c r="I26" s="10">
        <f>'Sys Info, Allo Facts, Whole Rat'!X81</f>
        <v>25507.989576830416</v>
      </c>
      <c r="J26" s="8"/>
      <c r="K26" s="10">
        <f>'Sys Info, Allo Facts, Whole Rat'!X82</f>
        <v>111679.69503323341</v>
      </c>
      <c r="L26" s="8"/>
      <c r="M26" s="10">
        <f>'Sys Info, Allo Facts, Whole Rat'!X83</f>
        <v>18580.040955067085</v>
      </c>
      <c r="N26" s="8"/>
      <c r="O26" s="10">
        <f>'Sys Info, Allo Facts, Whole Rat'!X84</f>
        <v>14508.052900702023</v>
      </c>
      <c r="P26" s="8"/>
      <c r="Q26" s="10">
        <f>'Sys Info, Allo Facts, Whole Rat'!X85</f>
        <v>35095.995873944892</v>
      </c>
    </row>
    <row r="27" spans="1:19" ht="4.75" customHeight="1" x14ac:dyDescent="0.4">
      <c r="E27" s="8"/>
      <c r="F27" s="8"/>
      <c r="G27" s="8"/>
      <c r="H27" s="8"/>
      <c r="I27" s="8"/>
      <c r="J27" s="8"/>
      <c r="K27" s="8"/>
      <c r="L27" s="8"/>
      <c r="M27" s="8"/>
      <c r="N27" s="8"/>
      <c r="O27" s="8"/>
      <c r="P27" s="8"/>
      <c r="Q27" s="8"/>
    </row>
    <row r="28" spans="1:19" x14ac:dyDescent="0.4">
      <c r="A28" s="370" t="s">
        <v>204</v>
      </c>
      <c r="E28" s="8">
        <f>SUM(E24:E26)</f>
        <v>11231049.338455182</v>
      </c>
      <c r="F28" s="8"/>
      <c r="G28" s="8">
        <f>SUM(G24:G26)</f>
        <v>1029973.2176150393</v>
      </c>
      <c r="H28" s="8"/>
      <c r="I28" s="8">
        <f>SUM(I24:I26)</f>
        <v>1038294.5525266136</v>
      </c>
      <c r="J28" s="8"/>
      <c r="K28" s="8">
        <f>SUM(K24:K26)</f>
        <v>6412813.1429856047</v>
      </c>
      <c r="L28" s="8"/>
      <c r="M28" s="8">
        <f>SUM(M24:M26)</f>
        <v>1108035.59116016</v>
      </c>
      <c r="N28" s="8"/>
      <c r="O28" s="8">
        <f>SUM(O24:O26)</f>
        <v>598214.33938362391</v>
      </c>
      <c r="P28" s="8"/>
      <c r="Q28" s="8">
        <f>SUM(Q24:Q26)</f>
        <v>1043718.494784141</v>
      </c>
      <c r="S28" s="24">
        <f>SUM(G28:Q28)</f>
        <v>11231049.338455183</v>
      </c>
    </row>
    <row r="29" spans="1:19" x14ac:dyDescent="0.4">
      <c r="A29" s="370" t="s">
        <v>3352</v>
      </c>
      <c r="E29" s="10">
        <f>SUM(G29:Q29)</f>
        <v>732010.47643699823</v>
      </c>
      <c r="F29" s="8"/>
      <c r="G29" s="10"/>
      <c r="H29" s="8"/>
      <c r="I29" s="10">
        <f>'Sys Info, Allo Facts, Whole Rat'!X90</f>
        <v>61531.003701552792</v>
      </c>
      <c r="J29" s="8"/>
      <c r="K29" s="10">
        <f>'Sys Info, Allo Facts, Whole Rat'!X91</f>
        <v>567405.59055064351</v>
      </c>
      <c r="L29" s="8"/>
      <c r="M29" s="10">
        <f>'Sys Info, Allo Facts, Whole Rat'!X92</f>
        <v>98204.693223100141</v>
      </c>
      <c r="N29" s="8"/>
      <c r="O29" s="10">
        <f>'Sys Info, Allo Facts, Whole Rat'!X93</f>
        <v>313.79873500333628</v>
      </c>
      <c r="P29" s="8"/>
      <c r="Q29" s="10">
        <f>'Sys Info, Allo Facts, Whole Rat'!X94</f>
        <v>4555.3902266985069</v>
      </c>
    </row>
    <row r="30" spans="1:19" ht="6" customHeight="1" x14ac:dyDescent="0.4">
      <c r="A30" s="370"/>
      <c r="E30" s="8"/>
      <c r="F30" s="8"/>
      <c r="G30" s="8"/>
      <c r="H30" s="8"/>
      <c r="I30" s="8"/>
      <c r="J30" s="8"/>
      <c r="K30" s="8"/>
      <c r="L30" s="8"/>
      <c r="M30" s="8"/>
      <c r="N30" s="8"/>
      <c r="O30" s="8"/>
      <c r="P30" s="8"/>
      <c r="Q30" s="8"/>
    </row>
    <row r="31" spans="1:19" x14ac:dyDescent="0.4">
      <c r="A31" s="370" t="s">
        <v>25</v>
      </c>
      <c r="E31" s="8">
        <f>SUM(E28:E30)</f>
        <v>11963059.81489218</v>
      </c>
      <c r="F31" s="8"/>
      <c r="G31" s="8">
        <f>SUM(G28:G29)</f>
        <v>1029973.2176150393</v>
      </c>
      <c r="H31" s="8"/>
      <c r="I31" s="8">
        <f>SUM(I28:I29)</f>
        <v>1099825.5562281664</v>
      </c>
      <c r="J31" s="8"/>
      <c r="K31" s="8">
        <f>SUM(K28:K29)</f>
        <v>6980218.7335362481</v>
      </c>
      <c r="L31" s="8"/>
      <c r="M31" s="8">
        <f>SUM(M28:M29)</f>
        <v>1206240.2843832602</v>
      </c>
      <c r="N31" s="8"/>
      <c r="O31" s="8">
        <f>SUM(O28:O29)</f>
        <v>598528.13811862725</v>
      </c>
      <c r="P31" s="8"/>
      <c r="Q31" s="8">
        <f>SUM(Q28:Q29)</f>
        <v>1048273.8850108394</v>
      </c>
      <c r="S31" s="24">
        <f>SUM(G31:Q31)</f>
        <v>11963059.81489218</v>
      </c>
    </row>
    <row r="32" spans="1:19" x14ac:dyDescent="0.4">
      <c r="A32" s="370" t="s">
        <v>3325</v>
      </c>
      <c r="E32" s="10">
        <f>-Q31</f>
        <v>-1048273.8850108394</v>
      </c>
      <c r="F32" s="8"/>
      <c r="G32" s="8"/>
      <c r="H32" s="8"/>
      <c r="I32" s="8"/>
      <c r="J32" s="8"/>
      <c r="K32" s="8"/>
      <c r="L32" s="8"/>
      <c r="M32" s="8"/>
      <c r="N32" s="8"/>
      <c r="O32" s="8"/>
      <c r="P32" s="8"/>
      <c r="Q32" s="8"/>
    </row>
    <row r="33" spans="1:19" ht="4.75" customHeight="1" x14ac:dyDescent="0.4">
      <c r="A33" s="371"/>
      <c r="E33" s="8"/>
      <c r="F33" s="8"/>
      <c r="G33" s="8"/>
      <c r="H33" s="8"/>
      <c r="I33" s="8"/>
      <c r="J33" s="8"/>
      <c r="K33" s="8"/>
      <c r="L33" s="8"/>
      <c r="M33" s="8"/>
      <c r="N33" s="8"/>
      <c r="O33" s="8"/>
      <c r="P33" s="8"/>
      <c r="Q33" s="8"/>
    </row>
    <row r="34" spans="1:19" x14ac:dyDescent="0.4">
      <c r="A34" s="370" t="s">
        <v>3326</v>
      </c>
      <c r="E34" s="8">
        <f>E31+E32</f>
        <v>10914785.929881342</v>
      </c>
      <c r="F34" s="8"/>
      <c r="G34" s="8"/>
      <c r="H34" s="8"/>
      <c r="I34" s="8"/>
      <c r="J34" s="8"/>
      <c r="K34" s="8"/>
      <c r="L34" s="8"/>
      <c r="M34" s="8"/>
      <c r="N34" s="8"/>
      <c r="O34" s="8"/>
      <c r="P34" s="8"/>
      <c r="Q34" s="8"/>
    </row>
    <row r="35" spans="1:19" ht="4.75" customHeight="1" x14ac:dyDescent="0.4">
      <c r="A35" s="371"/>
      <c r="E35" s="8"/>
      <c r="F35" s="8"/>
      <c r="G35" s="8"/>
      <c r="H35" s="8"/>
      <c r="I35" s="8"/>
      <c r="J35" s="8"/>
      <c r="K35" s="8"/>
      <c r="L35" s="8"/>
      <c r="M35" s="8"/>
      <c r="N35" s="8"/>
      <c r="O35" s="8"/>
      <c r="P35" s="8"/>
      <c r="Q35" s="8"/>
    </row>
    <row r="36" spans="1:19" x14ac:dyDescent="0.4">
      <c r="A36" s="8" t="s">
        <v>3327</v>
      </c>
      <c r="E36" s="12">
        <f>SUM(G36:O36)</f>
        <v>1</v>
      </c>
      <c r="F36" s="8"/>
      <c r="G36" s="5">
        <f>G31/$E$34</f>
        <v>9.4364948999621515E-2</v>
      </c>
      <c r="H36" s="8"/>
      <c r="I36" s="5">
        <f>I31/$E$34</f>
        <v>0.10076473906988692</v>
      </c>
      <c r="J36" s="8"/>
      <c r="K36" s="5">
        <f>K31/$E$34</f>
        <v>0.63951952684903757</v>
      </c>
      <c r="L36" s="8"/>
      <c r="M36" s="5">
        <f>M31/$E$34</f>
        <v>0.11051433277137791</v>
      </c>
      <c r="N36" s="8"/>
      <c r="O36" s="5">
        <f>O31/$E$34</f>
        <v>5.4836452310076049E-2</v>
      </c>
      <c r="P36" s="8"/>
      <c r="Q36" s="8"/>
    </row>
    <row r="37" spans="1:19" x14ac:dyDescent="0.4">
      <c r="A37" s="8" t="s">
        <v>3328</v>
      </c>
      <c r="E37" s="10">
        <f>SUM(G37:O37)</f>
        <v>1048273.8850108393</v>
      </c>
      <c r="F37" s="8"/>
      <c r="G37" s="10">
        <f>G36*$Q$31</f>
        <v>98920.311696682969</v>
      </c>
      <c r="H37" s="8"/>
      <c r="I37" s="10">
        <f>I36*$Q$31</f>
        <v>105629.04449689388</v>
      </c>
      <c r="J37" s="8"/>
      <c r="K37" s="10">
        <f>K36*$Q$31</f>
        <v>670391.61895033449</v>
      </c>
      <c r="L37" s="8"/>
      <c r="M37" s="10">
        <f>M36*$Q$31</f>
        <v>115849.28896363305</v>
      </c>
      <c r="N37" s="8"/>
      <c r="O37" s="10">
        <f>O36*$Q$31</f>
        <v>57483.620903295043</v>
      </c>
      <c r="P37" s="8"/>
      <c r="Q37" s="8"/>
    </row>
    <row r="38" spans="1:19" ht="4.75" customHeight="1" x14ac:dyDescent="0.4">
      <c r="A38" s="241"/>
      <c r="E38" s="8"/>
      <c r="F38" s="8"/>
      <c r="G38" s="8"/>
      <c r="H38" s="8"/>
      <c r="I38" s="8"/>
      <c r="J38" s="8"/>
      <c r="K38" s="8"/>
      <c r="L38" s="8"/>
      <c r="M38" s="8"/>
      <c r="N38" s="8"/>
      <c r="O38" s="8"/>
      <c r="P38" s="8"/>
      <c r="Q38" s="8"/>
    </row>
    <row r="39" spans="1:19" x14ac:dyDescent="0.4">
      <c r="A39" s="8" t="s">
        <v>3486</v>
      </c>
      <c r="E39" s="8">
        <f>SUM(G39:O39)</f>
        <v>11963059.81489218</v>
      </c>
      <c r="F39" s="8"/>
      <c r="G39" s="8">
        <f>G31+G37</f>
        <v>1128893.5293117224</v>
      </c>
      <c r="H39" s="8"/>
      <c r="I39" s="8">
        <f>I31+I37</f>
        <v>1205454.6007250603</v>
      </c>
      <c r="J39" s="8"/>
      <c r="K39" s="8">
        <f>K31+K37</f>
        <v>7650610.3524865825</v>
      </c>
      <c r="L39" s="8"/>
      <c r="M39" s="8">
        <f>M31+M37</f>
        <v>1322089.5733468933</v>
      </c>
      <c r="N39" s="8"/>
      <c r="O39" s="8">
        <f>O31+O37</f>
        <v>656011.75902192225</v>
      </c>
      <c r="P39" s="8"/>
      <c r="Q39" s="26"/>
      <c r="S39" s="24">
        <f>SUM(G39:R39)</f>
        <v>11963059.81489218</v>
      </c>
    </row>
    <row r="40" spans="1:19" x14ac:dyDescent="0.4">
      <c r="A40" s="8" t="s">
        <v>3353</v>
      </c>
      <c r="E40" s="26"/>
      <c r="F40" s="26"/>
      <c r="G40" s="26"/>
      <c r="H40" s="8"/>
      <c r="P40" s="8"/>
      <c r="Q40" s="26"/>
    </row>
    <row r="41" spans="1:19" x14ac:dyDescent="0.4">
      <c r="A41" s="8" t="s">
        <v>3487</v>
      </c>
      <c r="E41" s="8">
        <f>-'Water Pro forma Rev Req'!L30</f>
        <v>-295029.5082643216</v>
      </c>
      <c r="F41" s="8"/>
      <c r="G41" s="8">
        <f>G36*$E$41</f>
        <v>-27840.444500746122</v>
      </c>
      <c r="H41" s="8"/>
      <c r="I41" s="8">
        <f>I36*$E$41</f>
        <v>-29728.571418171414</v>
      </c>
      <c r="J41" s="8"/>
      <c r="K41" s="8">
        <f>K36*$E$41</f>
        <v>-188677.13153170317</v>
      </c>
      <c r="L41" s="8"/>
      <c r="M41" s="8">
        <f>M36*$E$41</f>
        <v>-32604.989253699227</v>
      </c>
      <c r="N41" s="8"/>
      <c r="O41" s="8">
        <f>O36*$E$41</f>
        <v>-16178.371560001659</v>
      </c>
      <c r="P41" s="8"/>
      <c r="Q41" s="26"/>
      <c r="S41" s="24">
        <f t="shared" ref="S41:S44" si="1">SUM(G41:R41)</f>
        <v>-295029.5082643216</v>
      </c>
    </row>
    <row r="42" spans="1:19" x14ac:dyDescent="0.4">
      <c r="A42" s="8" t="s">
        <v>3488</v>
      </c>
      <c r="E42" s="10">
        <f>-'Water Pro forma Rev Req'!L80-'Sys Info, Allo Facts, Whole Rat'!V99</f>
        <v>-84298.731061119412</v>
      </c>
      <c r="F42" s="8"/>
      <c r="G42" s="10">
        <f>G36*$E$42</f>
        <v>-7954.8454573153431</v>
      </c>
      <c r="H42" s="8"/>
      <c r="I42" s="10">
        <f>I36*$E$42</f>
        <v>-8494.3396392962695</v>
      </c>
      <c r="J42" s="8"/>
      <c r="K42" s="10">
        <f>K36*$E$42</f>
        <v>-53910.684602181354</v>
      </c>
      <c r="L42" s="8"/>
      <c r="M42" s="10">
        <f>M36*$E$42</f>
        <v>-9316.2180166934413</v>
      </c>
      <c r="N42" s="8"/>
      <c r="O42" s="10">
        <f>O36*$E$42</f>
        <v>-4622.6433456330014</v>
      </c>
      <c r="P42" s="8"/>
      <c r="Q42" s="26"/>
      <c r="S42" s="24">
        <f t="shared" si="1"/>
        <v>-84298.731061119397</v>
      </c>
    </row>
    <row r="43" spans="1:19" ht="4.75" customHeight="1" x14ac:dyDescent="0.4">
      <c r="E43" s="8"/>
      <c r="F43" s="8"/>
      <c r="G43" s="8"/>
      <c r="H43" s="8"/>
      <c r="I43" s="8"/>
      <c r="J43" s="8"/>
      <c r="K43" s="8"/>
      <c r="L43" s="8"/>
      <c r="M43" s="8"/>
      <c r="N43" s="8"/>
      <c r="O43" s="8"/>
      <c r="P43" s="8"/>
      <c r="Q43" s="26"/>
      <c r="S43" s="24"/>
    </row>
    <row r="44" spans="1:19" x14ac:dyDescent="0.4">
      <c r="A44" t="s">
        <v>25</v>
      </c>
      <c r="E44" s="26">
        <f>SUM(E39:E43)</f>
        <v>11583731.575566739</v>
      </c>
      <c r="F44" s="26"/>
      <c r="G44" s="26">
        <f>SUM(G39:G43)</f>
        <v>1093098.2393536607</v>
      </c>
      <c r="H44" s="26"/>
      <c r="I44" s="26">
        <f>SUM(I39:I43)</f>
        <v>1167231.6896675925</v>
      </c>
      <c r="J44" s="26"/>
      <c r="K44" s="26">
        <f>SUM(K39:K43)</f>
        <v>7408022.5363526978</v>
      </c>
      <c r="M44" s="26">
        <f>SUM(M39:M43)</f>
        <v>1280168.3660765006</v>
      </c>
      <c r="O44" s="26">
        <f>SUM(O39:O43)</f>
        <v>635210.74411628756</v>
      </c>
      <c r="Q44" s="25"/>
      <c r="S44" s="24">
        <f t="shared" si="1"/>
        <v>11583731.575566741</v>
      </c>
    </row>
    <row r="45" spans="1:19" x14ac:dyDescent="0.4">
      <c r="A45" t="s">
        <v>3384</v>
      </c>
      <c r="E45" s="10">
        <f>SUM(G45:O45)</f>
        <v>-6469.9199999999992</v>
      </c>
      <c r="G45" s="41"/>
      <c r="I45" s="41"/>
      <c r="K45" s="41"/>
      <c r="M45" s="217">
        <v>-6355.44</v>
      </c>
      <c r="N45" s="24"/>
      <c r="O45" s="217">
        <v>-114.48</v>
      </c>
      <c r="S45" s="35">
        <f>M45+O45</f>
        <v>-6469.9199999999992</v>
      </c>
    </row>
    <row r="46" spans="1:19" ht="6.65" customHeight="1" x14ac:dyDescent="0.4"/>
    <row r="47" spans="1:19" ht="16.75" customHeight="1" thickBot="1" x14ac:dyDescent="0.45">
      <c r="A47" t="s">
        <v>3329</v>
      </c>
      <c r="E47" s="31">
        <f>E44+E45</f>
        <v>11577261.655566739</v>
      </c>
      <c r="G47" s="31">
        <f>G44+G45</f>
        <v>1093098.2393536607</v>
      </c>
      <c r="I47" s="31">
        <f>I44+I45</f>
        <v>1167231.6896675925</v>
      </c>
      <c r="K47" s="31">
        <f>K44+K45</f>
        <v>7408022.5363526978</v>
      </c>
      <c r="M47" s="31">
        <f>M44+M45</f>
        <v>1273812.9260765007</v>
      </c>
      <c r="O47" s="31">
        <f>O44+O45</f>
        <v>635096.26411628758</v>
      </c>
    </row>
    <row r="48" spans="1:19" ht="12.65" customHeight="1" thickTop="1" x14ac:dyDescent="0.4">
      <c r="E48" s="2"/>
      <c r="F48" s="2"/>
      <c r="G48" s="2"/>
      <c r="H48" s="2"/>
      <c r="I48" s="2"/>
      <c r="J48" s="2"/>
      <c r="K48" s="2"/>
    </row>
    <row r="49" spans="5:19" x14ac:dyDescent="0.4">
      <c r="E49" s="2"/>
      <c r="F49" s="2"/>
      <c r="G49" s="332"/>
      <c r="H49" s="332"/>
      <c r="I49" s="2"/>
      <c r="J49" s="332"/>
      <c r="K49" s="2"/>
    </row>
    <row r="50" spans="5:19" x14ac:dyDescent="0.4">
      <c r="E50" s="25"/>
      <c r="F50" s="25"/>
      <c r="G50" s="25"/>
      <c r="H50" s="25"/>
      <c r="I50" s="25" t="s">
        <v>3375</v>
      </c>
      <c r="J50" s="25"/>
      <c r="K50" s="25"/>
      <c r="M50" s="35">
        <f>-'Water Retail Rate Calc'!AA53</f>
        <v>-6355.4400000000005</v>
      </c>
      <c r="O50" s="35">
        <f>-'Water Retail Rate Calc'!V53</f>
        <v>-114.48000000000002</v>
      </c>
      <c r="S50" s="35">
        <f>M50+O50</f>
        <v>-6469.92</v>
      </c>
    </row>
    <row r="51" spans="5:19" x14ac:dyDescent="0.4">
      <c r="E51" s="348"/>
      <c r="F51" s="348"/>
      <c r="G51" s="348"/>
      <c r="H51" s="348"/>
      <c r="I51" s="348"/>
      <c r="J51" s="348"/>
      <c r="K51" s="348"/>
    </row>
    <row r="52" spans="5:19" x14ac:dyDescent="0.4">
      <c r="E52" s="24"/>
      <c r="G52" s="24"/>
      <c r="H52" s="24"/>
      <c r="I52" s="24"/>
      <c r="J52" s="24"/>
      <c r="K52" s="24"/>
    </row>
    <row r="53" spans="5:19" x14ac:dyDescent="0.4">
      <c r="E53" s="25"/>
      <c r="G53" s="50"/>
      <c r="I53" s="50"/>
      <c r="K53" s="50"/>
    </row>
  </sheetData>
  <mergeCells count="4">
    <mergeCell ref="A1:Q1"/>
    <mergeCell ref="A2:Q2"/>
    <mergeCell ref="A3:Q3"/>
    <mergeCell ref="I5:K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C328-A7DD-47C3-A997-768FEE515E9E}">
  <dimension ref="A1:AI83"/>
  <sheetViews>
    <sheetView showGridLines="0" topLeftCell="A45" workbookViewId="0">
      <selection activeCell="N43" sqref="N43"/>
    </sheetView>
  </sheetViews>
  <sheetFormatPr defaultRowHeight="16" x14ac:dyDescent="0.4"/>
  <cols>
    <col min="5" max="5" width="11.08203125" bestFit="1" customWidth="1"/>
    <col min="6" max="6" width="0.9140625" customWidth="1"/>
    <col min="7" max="7" width="11.58203125" bestFit="1" customWidth="1"/>
    <col min="8" max="9" width="0.9140625" customWidth="1"/>
    <col min="10" max="10" width="13" customWidth="1"/>
    <col min="12" max="12" width="14.6640625" bestFit="1" customWidth="1"/>
    <col min="13" max="15" width="11.08203125" customWidth="1"/>
    <col min="16" max="16" width="9.08203125" bestFit="1" customWidth="1"/>
    <col min="21" max="21" width="3.83203125" customWidth="1"/>
    <col min="22" max="22" width="9.58203125" bestFit="1" customWidth="1"/>
    <col min="23" max="23" width="0.9140625" customWidth="1"/>
    <col min="24" max="24" width="11.5" bestFit="1" customWidth="1"/>
    <col min="25" max="26" width="0.9140625" customWidth="1"/>
    <col min="27" max="27" width="12.5" customWidth="1"/>
    <col min="28" max="28" width="4.08203125" customWidth="1"/>
    <col min="29" max="29" width="12.58203125" customWidth="1"/>
    <col min="31" max="31" width="11.6640625" bestFit="1" customWidth="1"/>
    <col min="33" max="33" width="11.6640625" bestFit="1" customWidth="1"/>
    <col min="34" max="34" width="13.08203125" customWidth="1"/>
    <col min="35" max="35" width="11.6640625" bestFit="1" customWidth="1"/>
  </cols>
  <sheetData>
    <row r="1" spans="1:34" x14ac:dyDescent="0.4">
      <c r="A1" s="414" t="s">
        <v>212</v>
      </c>
      <c r="B1" s="414"/>
      <c r="C1" s="414"/>
      <c r="D1" s="414"/>
      <c r="E1" s="414"/>
      <c r="F1" s="414"/>
      <c r="G1" s="414"/>
      <c r="H1" s="414"/>
      <c r="I1" s="414"/>
      <c r="J1" s="414"/>
      <c r="K1" s="414"/>
      <c r="L1" s="414"/>
      <c r="M1" s="349"/>
      <c r="N1" s="349"/>
      <c r="O1" s="349"/>
      <c r="P1" s="349"/>
      <c r="R1" s="407" t="s">
        <v>3489</v>
      </c>
      <c r="S1" s="407"/>
      <c r="T1" s="407"/>
      <c r="U1" s="407"/>
      <c r="V1" s="407"/>
      <c r="W1" s="407"/>
      <c r="X1" s="407"/>
      <c r="Y1" s="407"/>
      <c r="Z1" s="407"/>
      <c r="AA1" s="407"/>
      <c r="AB1" s="407"/>
      <c r="AC1" s="407"/>
      <c r="AF1" t="s">
        <v>3356</v>
      </c>
    </row>
    <row r="2" spans="1:34" x14ac:dyDescent="0.4">
      <c r="A2" s="407" t="s">
        <v>3330</v>
      </c>
      <c r="B2" s="407"/>
      <c r="C2" s="407"/>
      <c r="D2" s="407"/>
      <c r="E2" s="407"/>
      <c r="F2" s="407"/>
      <c r="G2" s="407"/>
      <c r="H2" s="407"/>
      <c r="I2" s="407"/>
      <c r="J2" s="407"/>
      <c r="K2" s="407"/>
      <c r="L2" s="407"/>
      <c r="M2" s="237"/>
      <c r="N2" s="237"/>
      <c r="O2" s="237"/>
      <c r="P2" s="237"/>
      <c r="R2" s="407" t="s">
        <v>3330</v>
      </c>
      <c r="S2" s="407"/>
      <c r="T2" s="407"/>
      <c r="U2" s="407"/>
      <c r="V2" s="407"/>
      <c r="W2" s="407"/>
      <c r="X2" s="407"/>
      <c r="Y2" s="407"/>
      <c r="Z2" s="407"/>
      <c r="AA2" s="407"/>
      <c r="AB2" s="407"/>
      <c r="AC2" s="407"/>
      <c r="AF2" t="s">
        <v>3357</v>
      </c>
    </row>
    <row r="3" spans="1:34" x14ac:dyDescent="0.4">
      <c r="A3" s="407" t="s">
        <v>583</v>
      </c>
      <c r="B3" s="407"/>
      <c r="C3" s="407"/>
      <c r="D3" s="407"/>
      <c r="E3" s="407"/>
      <c r="F3" s="407"/>
      <c r="G3" s="407"/>
      <c r="H3" s="407"/>
      <c r="I3" s="407"/>
      <c r="J3" s="407"/>
      <c r="K3" s="407"/>
      <c r="L3" s="407"/>
      <c r="M3" s="237"/>
      <c r="N3" s="237"/>
      <c r="O3" s="237"/>
      <c r="P3" s="237"/>
      <c r="R3" s="407" t="s">
        <v>3479</v>
      </c>
      <c r="S3" s="407"/>
      <c r="T3" s="407"/>
      <c r="U3" s="407"/>
      <c r="V3" s="407"/>
      <c r="W3" s="407"/>
      <c r="X3" s="407"/>
      <c r="Y3" s="407"/>
      <c r="Z3" s="407"/>
      <c r="AA3" s="407"/>
      <c r="AB3" s="407"/>
      <c r="AC3" s="407"/>
      <c r="AF3">
        <v>2</v>
      </c>
      <c r="AG3">
        <v>1803</v>
      </c>
      <c r="AH3">
        <f>AF3*AG3</f>
        <v>3606</v>
      </c>
    </row>
    <row r="4" spans="1:34" x14ac:dyDescent="0.4">
      <c r="AF4">
        <v>3</v>
      </c>
      <c r="AG4">
        <v>204</v>
      </c>
      <c r="AH4">
        <f t="shared" ref="AH4:AH7" si="0">AF4*AG4</f>
        <v>612</v>
      </c>
    </row>
    <row r="5" spans="1:34" x14ac:dyDescent="0.4">
      <c r="A5" s="410" t="s">
        <v>3331</v>
      </c>
      <c r="B5" s="410"/>
      <c r="C5" s="410"/>
      <c r="D5" s="410"/>
      <c r="E5" s="410"/>
      <c r="F5" s="410"/>
      <c r="G5" s="410"/>
      <c r="H5" s="237"/>
      <c r="I5" s="237"/>
      <c r="J5" s="237"/>
      <c r="K5" s="237"/>
      <c r="L5" s="237"/>
      <c r="M5" s="237"/>
      <c r="N5" s="237"/>
      <c r="O5" s="237"/>
      <c r="P5" s="237"/>
      <c r="R5" s="410" t="s">
        <v>3331</v>
      </c>
      <c r="S5" s="410"/>
      <c r="T5" s="410"/>
      <c r="U5" s="410"/>
      <c r="V5" s="410"/>
      <c r="W5" s="410"/>
      <c r="X5" s="410"/>
      <c r="AF5">
        <v>4</v>
      </c>
      <c r="AG5">
        <v>72</v>
      </c>
      <c r="AH5">
        <f t="shared" si="0"/>
        <v>288</v>
      </c>
    </row>
    <row r="6" spans="1:34" x14ac:dyDescent="0.4">
      <c r="B6" t="s">
        <v>3390</v>
      </c>
      <c r="E6" s="400"/>
      <c r="F6" s="400"/>
      <c r="G6" s="400"/>
      <c r="H6" s="2"/>
      <c r="R6" s="2"/>
      <c r="S6" s="2" t="s">
        <v>3389</v>
      </c>
      <c r="V6" s="412"/>
      <c r="W6" s="412"/>
      <c r="X6" s="412"/>
      <c r="AF6">
        <v>6</v>
      </c>
      <c r="AG6">
        <v>12</v>
      </c>
      <c r="AH6">
        <f t="shared" si="0"/>
        <v>72</v>
      </c>
    </row>
    <row r="7" spans="1:34" x14ac:dyDescent="0.4">
      <c r="A7" t="s">
        <v>278</v>
      </c>
      <c r="B7" s="2" t="s">
        <v>109</v>
      </c>
      <c r="E7" t="s">
        <v>2662</v>
      </c>
      <c r="G7" t="s">
        <v>3333</v>
      </c>
      <c r="J7" s="2"/>
      <c r="K7" s="2"/>
      <c r="L7" s="2"/>
      <c r="M7" s="2"/>
      <c r="N7" s="2"/>
      <c r="O7" s="2"/>
      <c r="P7" s="2"/>
      <c r="R7" s="2" t="s">
        <v>278</v>
      </c>
      <c r="S7" s="2" t="s">
        <v>109</v>
      </c>
      <c r="V7" s="2" t="s">
        <v>2662</v>
      </c>
      <c r="W7" s="2"/>
      <c r="X7" s="2" t="s">
        <v>3333</v>
      </c>
      <c r="AF7">
        <v>8</v>
      </c>
      <c r="AG7">
        <v>24</v>
      </c>
      <c r="AH7">
        <f t="shared" si="0"/>
        <v>192</v>
      </c>
    </row>
    <row r="8" spans="1:34" x14ac:dyDescent="0.4">
      <c r="A8" t="s">
        <v>451</v>
      </c>
      <c r="B8" s="2" t="s">
        <v>3332</v>
      </c>
      <c r="E8" s="345" t="s">
        <v>3334</v>
      </c>
      <c r="F8" s="345"/>
      <c r="G8" s="345" t="s">
        <v>3335</v>
      </c>
      <c r="H8" s="345"/>
      <c r="J8" s="230"/>
      <c r="K8" s="230"/>
      <c r="L8" s="230"/>
      <c r="M8" s="230"/>
      <c r="N8" s="230"/>
      <c r="O8" s="230"/>
      <c r="P8" s="230"/>
      <c r="R8" s="21" t="s">
        <v>451</v>
      </c>
      <c r="S8" s="21" t="s">
        <v>3332</v>
      </c>
      <c r="V8" s="230" t="s">
        <v>3334</v>
      </c>
      <c r="W8" s="230"/>
      <c r="X8" s="230" t="s">
        <v>3335</v>
      </c>
    </row>
    <row r="9" spans="1:34" x14ac:dyDescent="0.4">
      <c r="E9" s="345"/>
      <c r="F9" s="345"/>
      <c r="G9" s="345"/>
      <c r="H9" s="345"/>
      <c r="J9" s="230"/>
      <c r="K9" s="230"/>
      <c r="L9" s="230"/>
      <c r="M9" s="230"/>
      <c r="N9" s="230"/>
      <c r="O9" s="230"/>
      <c r="P9" s="230"/>
      <c r="V9" s="345"/>
      <c r="W9" s="345"/>
      <c r="X9" s="345"/>
      <c r="AF9" t="s">
        <v>25</v>
      </c>
      <c r="AG9">
        <f>SUM(AG3:AG8)</f>
        <v>2115</v>
      </c>
      <c r="AH9">
        <f>SUM(AH3:AH8)</f>
        <v>4770</v>
      </c>
    </row>
    <row r="10" spans="1:34" x14ac:dyDescent="0.4">
      <c r="A10" t="s">
        <v>3354</v>
      </c>
      <c r="B10">
        <v>1</v>
      </c>
      <c r="E10" s="8">
        <f>'Rev-Water'!L14+'Rev-Water'!L18+'Rev-Water'!L19</f>
        <v>195448</v>
      </c>
      <c r="F10" s="8"/>
      <c r="G10" s="8">
        <f t="shared" ref="G10:G15" si="1">+B10*E10</f>
        <v>195448</v>
      </c>
      <c r="H10" s="24"/>
      <c r="J10" s="24"/>
      <c r="K10" s="281"/>
      <c r="L10" s="24"/>
      <c r="M10" s="24"/>
      <c r="N10" s="24"/>
      <c r="O10" s="24"/>
      <c r="P10" s="24"/>
      <c r="R10" t="s">
        <v>3354</v>
      </c>
      <c r="S10">
        <v>1</v>
      </c>
      <c r="V10" s="8">
        <f>E10</f>
        <v>195448</v>
      </c>
      <c r="W10" s="8"/>
      <c r="X10" s="8">
        <f t="shared" ref="X10" si="2">+S10*V10</f>
        <v>195448</v>
      </c>
    </row>
    <row r="11" spans="1:34" x14ac:dyDescent="0.4">
      <c r="A11" t="s">
        <v>258</v>
      </c>
      <c r="B11">
        <v>1.4</v>
      </c>
      <c r="E11" s="8">
        <f>'Rev-Water'!L21</f>
        <v>883</v>
      </c>
      <c r="F11" s="8"/>
      <c r="G11" s="8">
        <f>+B11*E11</f>
        <v>1236.1999999999998</v>
      </c>
      <c r="H11" s="24"/>
      <c r="J11" s="413"/>
      <c r="K11" s="413"/>
      <c r="L11" s="413"/>
      <c r="M11" s="413"/>
      <c r="N11" s="413"/>
      <c r="O11" s="413"/>
      <c r="P11" s="413"/>
      <c r="R11" t="s">
        <v>258</v>
      </c>
      <c r="S11">
        <v>2.5</v>
      </c>
      <c r="V11" s="8">
        <f t="shared" ref="V11:V15" si="3">E11</f>
        <v>883</v>
      </c>
      <c r="W11" s="8"/>
      <c r="X11" s="8">
        <f>+S11*V11</f>
        <v>2207.5</v>
      </c>
    </row>
    <row r="12" spans="1:34" x14ac:dyDescent="0.4">
      <c r="A12" t="s">
        <v>452</v>
      </c>
      <c r="B12">
        <v>2.9</v>
      </c>
      <c r="E12" s="8">
        <f>'Rev-Water'!L27+'Rev-Water'!L29</f>
        <v>647</v>
      </c>
      <c r="F12" s="8"/>
      <c r="G12" s="8">
        <f t="shared" si="1"/>
        <v>1876.3</v>
      </c>
      <c r="H12" s="24"/>
      <c r="J12" s="24"/>
      <c r="K12" s="281"/>
      <c r="L12" s="24"/>
      <c r="M12" s="24"/>
      <c r="N12" s="24"/>
      <c r="O12" s="24"/>
      <c r="P12" s="24"/>
      <c r="R12" t="s">
        <v>452</v>
      </c>
      <c r="S12">
        <v>8</v>
      </c>
      <c r="V12" s="8">
        <f t="shared" si="3"/>
        <v>647</v>
      </c>
      <c r="W12" s="8"/>
      <c r="X12" s="8">
        <f t="shared" ref="X12:X15" si="4">+S12*V12</f>
        <v>5176</v>
      </c>
      <c r="AF12" t="s">
        <v>3358</v>
      </c>
    </row>
    <row r="13" spans="1:34" x14ac:dyDescent="0.4">
      <c r="A13" t="s">
        <v>3365</v>
      </c>
      <c r="B13">
        <v>11</v>
      </c>
      <c r="E13" s="8">
        <f>'Rev-Water'!L33+'Rev-Water'!L34+12</f>
        <v>120</v>
      </c>
      <c r="F13" s="8"/>
      <c r="G13" s="8">
        <f t="shared" si="1"/>
        <v>1320</v>
      </c>
      <c r="H13" s="24"/>
      <c r="J13" s="24"/>
      <c r="K13" s="281"/>
      <c r="L13" s="24"/>
      <c r="M13" s="24"/>
      <c r="N13" s="24"/>
      <c r="O13" s="24"/>
      <c r="P13" s="24"/>
      <c r="R13" t="s">
        <v>3365</v>
      </c>
      <c r="S13">
        <v>16</v>
      </c>
      <c r="V13" s="8">
        <f t="shared" si="3"/>
        <v>120</v>
      </c>
      <c r="W13" s="8"/>
      <c r="X13" s="8">
        <f t="shared" si="4"/>
        <v>1920</v>
      </c>
      <c r="AF13">
        <v>2</v>
      </c>
      <c r="AG13">
        <v>24</v>
      </c>
      <c r="AH13">
        <f>AF13*AG13</f>
        <v>48</v>
      </c>
    </row>
    <row r="14" spans="1:34" x14ac:dyDescent="0.4">
      <c r="A14" t="s">
        <v>3363</v>
      </c>
      <c r="B14">
        <v>14</v>
      </c>
      <c r="E14" s="8">
        <f>'Rev-Water'!L37+'Rev-Water'!L38+'Rev-Water'!L39+12</f>
        <v>108</v>
      </c>
      <c r="F14" s="8"/>
      <c r="G14" s="8">
        <f t="shared" si="1"/>
        <v>1512</v>
      </c>
      <c r="H14" s="24"/>
      <c r="J14" s="24"/>
      <c r="K14" s="281"/>
      <c r="L14" s="24"/>
      <c r="M14" s="24"/>
      <c r="N14" s="24"/>
      <c r="O14" s="24"/>
      <c r="P14" s="24"/>
      <c r="R14" t="s">
        <v>3363</v>
      </c>
      <c r="S14">
        <v>25</v>
      </c>
      <c r="V14" s="8">
        <f t="shared" si="3"/>
        <v>108</v>
      </c>
      <c r="W14" s="8"/>
      <c r="X14" s="8">
        <f t="shared" si="4"/>
        <v>2700</v>
      </c>
      <c r="AF14">
        <v>4</v>
      </c>
      <c r="AG14">
        <v>24</v>
      </c>
      <c r="AH14">
        <f t="shared" ref="AH14:AH15" si="5">AF14*AG14</f>
        <v>96</v>
      </c>
    </row>
    <row r="15" spans="1:34" x14ac:dyDescent="0.4">
      <c r="A15" t="s">
        <v>3364</v>
      </c>
      <c r="B15">
        <v>21</v>
      </c>
      <c r="E15" s="8">
        <f>'Rev-Water'!L41+'Rev-Water'!L43+'Rev-Water'!L44+12</f>
        <v>76</v>
      </c>
      <c r="F15" s="8"/>
      <c r="G15" s="8">
        <f t="shared" si="1"/>
        <v>1596</v>
      </c>
      <c r="H15" s="24"/>
      <c r="J15" s="24"/>
      <c r="K15" s="281"/>
      <c r="L15" s="24"/>
      <c r="M15" s="24"/>
      <c r="N15" s="24"/>
      <c r="O15" s="24"/>
      <c r="P15" s="24"/>
      <c r="R15" t="s">
        <v>3364</v>
      </c>
      <c r="S15">
        <v>50</v>
      </c>
      <c r="V15" s="8">
        <f t="shared" si="3"/>
        <v>76</v>
      </c>
      <c r="W15" s="8"/>
      <c r="X15" s="8">
        <f t="shared" si="4"/>
        <v>3800</v>
      </c>
      <c r="AF15">
        <v>5</v>
      </c>
      <c r="AG15">
        <v>12</v>
      </c>
      <c r="AH15">
        <f t="shared" si="5"/>
        <v>60</v>
      </c>
    </row>
    <row r="16" spans="1:34" x14ac:dyDescent="0.4">
      <c r="E16" s="8"/>
      <c r="F16" s="8"/>
      <c r="G16" s="8"/>
      <c r="H16" s="24"/>
      <c r="J16" s="24"/>
      <c r="K16" s="281"/>
      <c r="L16" s="24"/>
      <c r="M16" s="24"/>
      <c r="N16" s="24"/>
      <c r="O16" s="24"/>
      <c r="P16" s="24"/>
      <c r="V16" s="8"/>
      <c r="W16" s="8"/>
      <c r="X16" s="8"/>
    </row>
    <row r="17" spans="1:34" x14ac:dyDescent="0.4">
      <c r="A17" t="s">
        <v>3355</v>
      </c>
      <c r="E17" s="8"/>
      <c r="F17" s="8"/>
      <c r="G17" s="8"/>
      <c r="H17" s="24"/>
      <c r="J17" s="24"/>
      <c r="K17" s="281"/>
      <c r="L17" s="24"/>
      <c r="M17" s="24"/>
      <c r="N17" s="24"/>
      <c r="O17" s="24"/>
      <c r="P17" s="24"/>
      <c r="R17" t="s">
        <v>3396</v>
      </c>
      <c r="S17" s="356"/>
      <c r="T17" s="356"/>
      <c r="U17" s="356"/>
      <c r="V17" s="356"/>
      <c r="W17" s="356"/>
      <c r="X17" s="356"/>
      <c r="AF17" t="s">
        <v>25</v>
      </c>
      <c r="AG17">
        <f>SUM(AG13:AG16)</f>
        <v>60</v>
      </c>
      <c r="AH17">
        <f>SUM(AH13:AH16)</f>
        <v>204</v>
      </c>
    </row>
    <row r="18" spans="1:34" x14ac:dyDescent="0.4">
      <c r="H18" s="24"/>
      <c r="J18" s="24"/>
      <c r="K18" s="281"/>
      <c r="L18" s="24"/>
      <c r="M18" s="24"/>
      <c r="N18" s="24"/>
      <c r="O18" s="24"/>
      <c r="P18" s="24"/>
      <c r="R18" t="s">
        <v>3354</v>
      </c>
      <c r="V18" s="8">
        <f>E19</f>
        <v>2115</v>
      </c>
      <c r="W18" s="8"/>
      <c r="X18" s="8">
        <f>G19</f>
        <v>4770</v>
      </c>
    </row>
    <row r="19" spans="1:34" x14ac:dyDescent="0.4">
      <c r="A19" t="s">
        <v>3354</v>
      </c>
      <c r="B19">
        <v>1</v>
      </c>
      <c r="E19" s="8">
        <f>AG9</f>
        <v>2115</v>
      </c>
      <c r="F19" s="8"/>
      <c r="G19" s="8">
        <f>AH9</f>
        <v>4770</v>
      </c>
      <c r="H19" s="24"/>
      <c r="J19" s="24"/>
      <c r="K19" s="281"/>
      <c r="L19" s="24"/>
      <c r="M19" s="24"/>
      <c r="N19" s="24"/>
      <c r="O19" s="24"/>
      <c r="P19" s="24"/>
      <c r="R19" t="s">
        <v>258</v>
      </c>
      <c r="V19" s="8">
        <f>E20</f>
        <v>60</v>
      </c>
      <c r="W19" s="8"/>
      <c r="X19" s="8">
        <f>G20</f>
        <v>204</v>
      </c>
    </row>
    <row r="20" spans="1:34" x14ac:dyDescent="0.4">
      <c r="A20" t="s">
        <v>258</v>
      </c>
      <c r="B20">
        <v>1</v>
      </c>
      <c r="E20" s="8">
        <f>AG17</f>
        <v>60</v>
      </c>
      <c r="F20" s="8"/>
      <c r="G20" s="8">
        <f>AH17</f>
        <v>204</v>
      </c>
      <c r="H20" s="24"/>
      <c r="J20" s="24"/>
      <c r="K20" s="281"/>
      <c r="L20" s="24"/>
      <c r="M20" s="24"/>
      <c r="N20" s="24"/>
      <c r="O20" s="24"/>
      <c r="P20" s="24"/>
      <c r="R20" t="s">
        <v>452</v>
      </c>
      <c r="V20" s="8">
        <f>E21</f>
        <v>36</v>
      </c>
      <c r="W20" s="8"/>
      <c r="X20" s="8">
        <f>G21</f>
        <v>1632</v>
      </c>
      <c r="AF20" t="s">
        <v>3359</v>
      </c>
    </row>
    <row r="21" spans="1:34" x14ac:dyDescent="0.4">
      <c r="A21" t="s">
        <v>452</v>
      </c>
      <c r="B21">
        <v>1</v>
      </c>
      <c r="E21" s="8">
        <f>AG25</f>
        <v>36</v>
      </c>
      <c r="F21" s="8"/>
      <c r="G21" s="8">
        <f>AH25</f>
        <v>1632</v>
      </c>
      <c r="H21" s="24"/>
      <c r="J21" s="24"/>
      <c r="K21" s="281"/>
      <c r="L21" s="24"/>
      <c r="M21" s="24"/>
      <c r="N21" s="24"/>
      <c r="O21" s="24"/>
      <c r="P21" s="24"/>
      <c r="R21" t="s">
        <v>453</v>
      </c>
      <c r="V21" s="10">
        <f>E22</f>
        <v>12</v>
      </c>
      <c r="W21" s="8"/>
      <c r="X21" s="10">
        <f>G22</f>
        <v>1008</v>
      </c>
      <c r="AF21">
        <v>16</v>
      </c>
      <c r="AG21">
        <v>12</v>
      </c>
      <c r="AH21">
        <f>AF21*AG21</f>
        <v>192</v>
      </c>
    </row>
    <row r="22" spans="1:34" x14ac:dyDescent="0.4">
      <c r="A22" t="s">
        <v>453</v>
      </c>
      <c r="B22">
        <v>1</v>
      </c>
      <c r="E22" s="10">
        <f>AG29</f>
        <v>12</v>
      </c>
      <c r="F22" s="8"/>
      <c r="G22" s="10">
        <f>AH29</f>
        <v>1008</v>
      </c>
      <c r="L22" s="24"/>
      <c r="M22" s="24"/>
      <c r="N22" s="24"/>
      <c r="O22" s="24"/>
      <c r="AF22">
        <v>52</v>
      </c>
      <c r="AG22">
        <v>12</v>
      </c>
      <c r="AH22">
        <f t="shared" ref="AH22:AH23" si="6">AF22*AG22</f>
        <v>624</v>
      </c>
    </row>
    <row r="23" spans="1:34" ht="16.5" thickBot="1" x14ac:dyDescent="0.45">
      <c r="H23" s="24"/>
      <c r="J23" s="24"/>
      <c r="L23" s="24"/>
      <c r="M23" s="24"/>
      <c r="N23" s="24"/>
      <c r="O23" s="24"/>
      <c r="P23" s="24"/>
      <c r="V23" s="282">
        <f>SUM(V10:V22)</f>
        <v>199505</v>
      </c>
      <c r="W23" s="24"/>
      <c r="X23" s="282">
        <f>SUM(X10:X22)</f>
        <v>218865.5</v>
      </c>
      <c r="AF23">
        <v>68</v>
      </c>
      <c r="AG23">
        <v>12</v>
      </c>
      <c r="AH23">
        <f t="shared" si="6"/>
        <v>816</v>
      </c>
    </row>
    <row r="24" spans="1:34" ht="17" thickTop="1" thickBot="1" x14ac:dyDescent="0.45">
      <c r="E24" s="282">
        <f>SUM(E10:E23)</f>
        <v>199505</v>
      </c>
      <c r="F24" s="24"/>
      <c r="G24" s="282">
        <f>SUM(G10:G23)</f>
        <v>210602.5</v>
      </c>
    </row>
    <row r="25" spans="1:34" ht="16.5" thickTop="1" x14ac:dyDescent="0.4">
      <c r="A25" t="s">
        <v>3339</v>
      </c>
      <c r="R25" t="s">
        <v>3524</v>
      </c>
      <c r="AF25">
        <f>SUM(AF21:AF24)</f>
        <v>136</v>
      </c>
      <c r="AG25">
        <f t="shared" ref="AG25:AH25" si="7">SUM(AG21:AG24)</f>
        <v>36</v>
      </c>
      <c r="AH25">
        <f t="shared" si="7"/>
        <v>1632</v>
      </c>
    </row>
    <row r="26" spans="1:34" x14ac:dyDescent="0.4">
      <c r="R26" t="s">
        <v>3395</v>
      </c>
    </row>
    <row r="28" spans="1:34" x14ac:dyDescent="0.4">
      <c r="A28" s="410" t="s">
        <v>3340</v>
      </c>
      <c r="B28" s="410"/>
      <c r="C28" s="410"/>
      <c r="D28" s="410"/>
      <c r="E28" s="410"/>
      <c r="F28" s="410"/>
      <c r="G28" s="410"/>
      <c r="H28" s="410"/>
      <c r="I28" s="410"/>
      <c r="J28" s="410"/>
      <c r="K28" s="410"/>
      <c r="L28" s="410"/>
      <c r="M28" s="328"/>
      <c r="N28" s="328"/>
      <c r="O28" s="328"/>
      <c r="P28" s="237"/>
      <c r="R28" s="410" t="s">
        <v>3340</v>
      </c>
      <c r="S28" s="410"/>
      <c r="T28" s="410"/>
      <c r="U28" s="410"/>
      <c r="V28" s="410"/>
      <c r="W28" s="410"/>
      <c r="X28" s="410"/>
      <c r="Y28" s="410"/>
      <c r="Z28" s="410"/>
      <c r="AA28" s="410"/>
      <c r="AB28" s="410"/>
      <c r="AC28" s="410"/>
      <c r="AF28" t="s">
        <v>3360</v>
      </c>
    </row>
    <row r="29" spans="1:34" x14ac:dyDescent="0.4">
      <c r="A29" s="328"/>
      <c r="B29" s="328"/>
      <c r="C29" s="328"/>
      <c r="D29" s="328"/>
      <c r="E29" s="328"/>
      <c r="F29" s="328"/>
      <c r="G29" s="328"/>
      <c r="H29" s="328"/>
      <c r="I29" s="328"/>
      <c r="J29" s="328"/>
      <c r="K29" s="328"/>
      <c r="L29" s="328"/>
      <c r="M29" s="328"/>
      <c r="N29" s="328"/>
      <c r="O29" s="328"/>
      <c r="P29" s="328"/>
      <c r="R29" s="328"/>
      <c r="S29" s="328"/>
      <c r="T29" s="328"/>
      <c r="U29" s="328"/>
      <c r="V29" s="328"/>
      <c r="W29" s="328"/>
      <c r="X29" s="328"/>
      <c r="Y29" s="328"/>
      <c r="Z29" s="328"/>
      <c r="AA29" s="328"/>
      <c r="AB29" s="328"/>
      <c r="AC29" s="328"/>
      <c r="AF29">
        <v>84</v>
      </c>
      <c r="AG29">
        <v>12</v>
      </c>
      <c r="AH29">
        <f>AF29*AG29</f>
        <v>1008</v>
      </c>
    </row>
    <row r="30" spans="1:34" x14ac:dyDescent="0.4">
      <c r="E30" s="2" t="s">
        <v>3318</v>
      </c>
      <c r="F30" s="2"/>
      <c r="G30" s="2"/>
      <c r="H30" s="2"/>
      <c r="J30" s="2" t="s">
        <v>3319</v>
      </c>
      <c r="L30" s="2" t="s">
        <v>25</v>
      </c>
      <c r="M30" s="2"/>
      <c r="N30" s="2"/>
      <c r="O30" s="2"/>
      <c r="V30" s="2" t="s">
        <v>461</v>
      </c>
      <c r="W30" s="2"/>
      <c r="X30" s="2"/>
      <c r="Y30" s="2"/>
      <c r="AA30" s="2" t="s">
        <v>3319</v>
      </c>
      <c r="AC30" s="2" t="s">
        <v>25</v>
      </c>
    </row>
    <row r="31" spans="1:34" x14ac:dyDescent="0.4">
      <c r="E31" s="230" t="s">
        <v>2590</v>
      </c>
      <c r="F31" s="230"/>
      <c r="G31" s="2"/>
      <c r="H31" s="2"/>
      <c r="J31" s="230" t="s">
        <v>2590</v>
      </c>
      <c r="L31" s="230" t="s">
        <v>3341</v>
      </c>
      <c r="M31" s="230"/>
      <c r="N31" s="230"/>
      <c r="O31" s="230"/>
      <c r="V31" s="327" t="s">
        <v>2590</v>
      </c>
      <c r="W31" s="230"/>
      <c r="X31" s="2"/>
      <c r="Y31" s="2"/>
      <c r="AA31" s="327" t="s">
        <v>2590</v>
      </c>
      <c r="AC31" s="327" t="s">
        <v>3341</v>
      </c>
    </row>
    <row r="32" spans="1:34" x14ac:dyDescent="0.4">
      <c r="A32" s="237" t="s">
        <v>3342</v>
      </c>
      <c r="E32" s="230"/>
      <c r="F32" s="230"/>
      <c r="G32" s="2"/>
      <c r="H32" s="2"/>
      <c r="J32" s="230"/>
      <c r="L32" s="230"/>
      <c r="M32" s="230"/>
      <c r="N32" s="230"/>
      <c r="O32" s="230"/>
      <c r="R32" s="237" t="s">
        <v>3342</v>
      </c>
      <c r="V32" s="230"/>
      <c r="W32" s="230"/>
      <c r="X32" s="2"/>
      <c r="Y32" s="2"/>
      <c r="AA32" s="230"/>
      <c r="AC32" s="230"/>
    </row>
    <row r="33" spans="1:33" x14ac:dyDescent="0.4">
      <c r="A33" s="349" t="s">
        <v>3366</v>
      </c>
      <c r="E33" s="9">
        <f>'Allo to Retail Rate'!O47</f>
        <v>635096.26411628758</v>
      </c>
      <c r="F33" s="9"/>
      <c r="G33" s="346" t="s">
        <v>617</v>
      </c>
      <c r="H33" s="346"/>
      <c r="J33" s="9">
        <f>'Allo to Retail Rate'!M47</f>
        <v>1273812.9260765007</v>
      </c>
      <c r="K33" s="2" t="s">
        <v>612</v>
      </c>
      <c r="L33" s="50">
        <f>E33+J33</f>
        <v>1908909.1901927884</v>
      </c>
      <c r="M33" s="50"/>
      <c r="N33" s="50"/>
      <c r="O33" s="50"/>
      <c r="R33" s="237" t="s">
        <v>3490</v>
      </c>
      <c r="V33" s="9">
        <f>E33</f>
        <v>635096.26411628758</v>
      </c>
      <c r="W33" s="9"/>
      <c r="X33" s="346" t="s">
        <v>617</v>
      </c>
      <c r="Y33" s="346"/>
      <c r="AA33" s="9">
        <f>J33</f>
        <v>1273812.9260765007</v>
      </c>
      <c r="AB33" s="2" t="s">
        <v>612</v>
      </c>
      <c r="AC33" s="9">
        <f>V33+AA33</f>
        <v>1908909.1901927884</v>
      </c>
    </row>
    <row r="34" spans="1:33" x14ac:dyDescent="0.4">
      <c r="A34" t="s">
        <v>3343</v>
      </c>
      <c r="E34" s="9"/>
      <c r="F34" s="9"/>
      <c r="G34" s="346"/>
      <c r="H34" s="346"/>
      <c r="J34" s="9"/>
      <c r="K34" s="2"/>
      <c r="L34" s="50"/>
      <c r="M34" s="50"/>
      <c r="N34" s="50"/>
      <c r="O34" s="50"/>
      <c r="R34" t="s">
        <v>3343</v>
      </c>
      <c r="V34" s="9"/>
      <c r="W34" s="9"/>
      <c r="X34" s="346"/>
      <c r="Y34" s="346"/>
      <c r="AA34" s="9"/>
      <c r="AB34" s="2"/>
      <c r="AC34" s="50"/>
    </row>
    <row r="35" spans="1:33" x14ac:dyDescent="0.4">
      <c r="A35" t="s">
        <v>3344</v>
      </c>
      <c r="E35" s="217">
        <f>E24</f>
        <v>199505</v>
      </c>
      <c r="F35" s="24"/>
      <c r="J35" s="217">
        <f>G24</f>
        <v>210602.5</v>
      </c>
      <c r="R35" t="s">
        <v>3344</v>
      </c>
      <c r="V35" s="217">
        <f>V23</f>
        <v>199505</v>
      </c>
      <c r="W35" s="24"/>
      <c r="AA35" s="217">
        <f>X23</f>
        <v>218865.5</v>
      </c>
    </row>
    <row r="36" spans="1:33" x14ac:dyDescent="0.4">
      <c r="E36" s="24"/>
      <c r="F36" s="24"/>
      <c r="J36" s="24"/>
      <c r="V36" s="24"/>
      <c r="W36" s="24"/>
      <c r="AA36" s="24"/>
    </row>
    <row r="37" spans="1:33" ht="16.5" thickBot="1" x14ac:dyDescent="0.45">
      <c r="A37" t="s">
        <v>3345</v>
      </c>
      <c r="E37" s="347">
        <f>ROUND(E33/E35,2)</f>
        <v>3.18</v>
      </c>
      <c r="F37" s="275"/>
      <c r="G37" s="3"/>
      <c r="H37" s="3"/>
      <c r="J37" s="347">
        <f>ROUND(J33/J35,2)</f>
        <v>6.05</v>
      </c>
      <c r="R37" t="s">
        <v>3345</v>
      </c>
      <c r="V37" s="347">
        <f>ROUND(V33/V35,2)</f>
        <v>3.18</v>
      </c>
      <c r="W37" s="275"/>
      <c r="X37" s="360"/>
      <c r="Y37" s="3"/>
      <c r="AA37" s="347">
        <f>ROUND(AA33/AA35,2)</f>
        <v>5.82</v>
      </c>
      <c r="AB37" s="2"/>
      <c r="AC37" s="66"/>
    </row>
    <row r="38" spans="1:33" ht="16.5" thickTop="1" x14ac:dyDescent="0.4"/>
    <row r="39" spans="1:33" x14ac:dyDescent="0.4">
      <c r="A39" s="237" t="s">
        <v>3367</v>
      </c>
      <c r="E39" s="2" t="s">
        <v>3318</v>
      </c>
      <c r="F39" s="2"/>
      <c r="G39" s="2"/>
      <c r="H39" s="2"/>
      <c r="J39" s="2" t="s">
        <v>3346</v>
      </c>
      <c r="K39" s="2"/>
      <c r="L39" s="328" t="s">
        <v>3347</v>
      </c>
      <c r="M39" s="328"/>
      <c r="O39" s="328"/>
      <c r="R39" s="237" t="s">
        <v>3367</v>
      </c>
      <c r="V39" s="2" t="s">
        <v>3318</v>
      </c>
      <c r="W39" s="2"/>
      <c r="X39" s="2"/>
      <c r="Y39" s="2"/>
      <c r="AA39" s="2" t="s">
        <v>3346</v>
      </c>
      <c r="AB39" s="2"/>
      <c r="AC39" s="328" t="s">
        <v>3347</v>
      </c>
    </row>
    <row r="40" spans="1:33" x14ac:dyDescent="0.4">
      <c r="B40" s="345" t="s">
        <v>3348</v>
      </c>
      <c r="E40" s="21" t="s">
        <v>2590</v>
      </c>
      <c r="F40" s="2"/>
      <c r="G40" s="2" t="s">
        <v>617</v>
      </c>
      <c r="H40" s="2"/>
      <c r="J40" s="21" t="s">
        <v>3333</v>
      </c>
      <c r="K40" s="2" t="s">
        <v>612</v>
      </c>
      <c r="L40" s="337" t="s">
        <v>3349</v>
      </c>
      <c r="M40" s="328"/>
      <c r="N40" s="328"/>
      <c r="O40" s="350"/>
      <c r="S40" s="345" t="s">
        <v>3348</v>
      </c>
      <c r="V40" s="21" t="s">
        <v>2590</v>
      </c>
      <c r="W40" s="2"/>
      <c r="X40" s="2"/>
      <c r="Y40" s="2"/>
      <c r="AA40" s="21" t="s">
        <v>3333</v>
      </c>
      <c r="AB40" s="2"/>
      <c r="AC40" s="337" t="s">
        <v>3437</v>
      </c>
    </row>
    <row r="41" spans="1:33" x14ac:dyDescent="0.4">
      <c r="B41" t="s">
        <v>3336</v>
      </c>
      <c r="E41" s="3">
        <f>$E$37</f>
        <v>3.18</v>
      </c>
      <c r="F41" s="3"/>
      <c r="J41" s="3">
        <f t="shared" ref="J41:J46" si="8">$J$37*B10</f>
        <v>6.05</v>
      </c>
      <c r="L41" s="3">
        <f t="shared" ref="L41:L46" si="9">+E41+J41</f>
        <v>9.23</v>
      </c>
      <c r="M41" s="3"/>
      <c r="N41" s="3"/>
      <c r="O41" s="3"/>
      <c r="S41" t="s">
        <v>3336</v>
      </c>
      <c r="V41" s="3">
        <f>$E$37</f>
        <v>3.18</v>
      </c>
      <c r="W41" s="3"/>
      <c r="X41" s="2" t="s">
        <v>617</v>
      </c>
      <c r="AA41" s="3">
        <f t="shared" ref="AA41:AA45" si="10">$AA$37*S10</f>
        <v>5.82</v>
      </c>
      <c r="AB41" s="2" t="s">
        <v>612</v>
      </c>
      <c r="AC41" s="3">
        <f t="shared" ref="AC41:AC46" si="11">+V41+AA41</f>
        <v>9</v>
      </c>
    </row>
    <row r="42" spans="1:33" x14ac:dyDescent="0.4">
      <c r="B42" t="s">
        <v>258</v>
      </c>
      <c r="E42" s="1">
        <f t="shared" ref="E42:E46" si="12">$E$37</f>
        <v>3.18</v>
      </c>
      <c r="F42" s="1"/>
      <c r="G42" s="1"/>
      <c r="H42" s="1"/>
      <c r="J42" s="1">
        <f t="shared" si="8"/>
        <v>8.4699999999999989</v>
      </c>
      <c r="L42" s="1">
        <f t="shared" si="9"/>
        <v>11.649999999999999</v>
      </c>
      <c r="M42" s="1"/>
      <c r="N42" s="1"/>
      <c r="O42" s="1"/>
      <c r="S42" t="s">
        <v>258</v>
      </c>
      <c r="V42" s="1">
        <f t="shared" ref="V42:V46" si="13">$E$37</f>
        <v>3.18</v>
      </c>
      <c r="W42" s="1"/>
      <c r="X42" s="2" t="str">
        <f t="shared" ref="X42:X46" si="14">X41</f>
        <v>+</v>
      </c>
      <c r="Y42" s="1"/>
      <c r="AA42" s="1">
        <f t="shared" si="10"/>
        <v>14.55</v>
      </c>
      <c r="AB42" s="2" t="str">
        <f t="shared" ref="AB42:AB46" si="15">AB41</f>
        <v>=</v>
      </c>
      <c r="AC42" s="1">
        <f t="shared" si="11"/>
        <v>17.73</v>
      </c>
    </row>
    <row r="43" spans="1:33" x14ac:dyDescent="0.4">
      <c r="B43" t="s">
        <v>452</v>
      </c>
      <c r="E43" s="1">
        <f t="shared" si="12"/>
        <v>3.18</v>
      </c>
      <c r="F43" s="1"/>
      <c r="G43" s="1"/>
      <c r="H43" s="1"/>
      <c r="J43" s="1">
        <f t="shared" si="8"/>
        <v>17.544999999999998</v>
      </c>
      <c r="L43" s="1">
        <f t="shared" si="9"/>
        <v>20.724999999999998</v>
      </c>
      <c r="M43" s="1"/>
      <c r="N43" s="1"/>
      <c r="O43" s="1"/>
      <c r="S43" t="s">
        <v>452</v>
      </c>
      <c r="V43" s="1">
        <f t="shared" si="13"/>
        <v>3.18</v>
      </c>
      <c r="W43" s="1"/>
      <c r="X43" s="2" t="str">
        <f t="shared" si="14"/>
        <v>+</v>
      </c>
      <c r="Y43" s="1"/>
      <c r="AA43" s="1">
        <f t="shared" si="10"/>
        <v>46.56</v>
      </c>
      <c r="AB43" s="2" t="str">
        <f t="shared" si="15"/>
        <v>=</v>
      </c>
      <c r="AC43" s="1">
        <f t="shared" si="11"/>
        <v>49.74</v>
      </c>
    </row>
    <row r="44" spans="1:33" x14ac:dyDescent="0.4">
      <c r="B44" t="s">
        <v>3337</v>
      </c>
      <c r="E44" s="1">
        <f t="shared" si="12"/>
        <v>3.18</v>
      </c>
      <c r="F44" s="1"/>
      <c r="G44" s="1"/>
      <c r="H44" s="1"/>
      <c r="J44" s="1">
        <f t="shared" si="8"/>
        <v>66.55</v>
      </c>
      <c r="L44" s="1">
        <f t="shared" si="9"/>
        <v>69.73</v>
      </c>
      <c r="M44" s="1"/>
      <c r="N44" s="1"/>
      <c r="P44" s="35"/>
      <c r="S44" t="s">
        <v>3337</v>
      </c>
      <c r="V44" s="1">
        <f t="shared" si="13"/>
        <v>3.18</v>
      </c>
      <c r="W44" s="1"/>
      <c r="X44" s="2" t="str">
        <f t="shared" si="14"/>
        <v>+</v>
      </c>
      <c r="Y44" s="1"/>
      <c r="AA44" s="1">
        <f t="shared" si="10"/>
        <v>93.12</v>
      </c>
      <c r="AB44" s="2" t="str">
        <f t="shared" si="15"/>
        <v>=</v>
      </c>
      <c r="AC44" s="1">
        <f t="shared" si="11"/>
        <v>96.300000000000011</v>
      </c>
      <c r="AG44" s="35"/>
    </row>
    <row r="45" spans="1:33" x14ac:dyDescent="0.4">
      <c r="B45" t="s">
        <v>3338</v>
      </c>
      <c r="E45" s="1">
        <f t="shared" si="12"/>
        <v>3.18</v>
      </c>
      <c r="F45" s="1"/>
      <c r="G45" s="1"/>
      <c r="H45" s="1"/>
      <c r="J45" s="1">
        <f t="shared" si="8"/>
        <v>84.7</v>
      </c>
      <c r="L45" s="1">
        <f t="shared" si="9"/>
        <v>87.88000000000001</v>
      </c>
      <c r="M45" s="1"/>
      <c r="N45" s="1"/>
      <c r="P45" s="35"/>
      <c r="S45" t="s">
        <v>3338</v>
      </c>
      <c r="V45" s="1">
        <f t="shared" si="13"/>
        <v>3.18</v>
      </c>
      <c r="W45" s="1"/>
      <c r="X45" s="2" t="str">
        <f t="shared" si="14"/>
        <v>+</v>
      </c>
      <c r="Y45" s="1"/>
      <c r="AA45" s="1">
        <f t="shared" si="10"/>
        <v>145.5</v>
      </c>
      <c r="AB45" s="2" t="str">
        <f t="shared" si="15"/>
        <v>=</v>
      </c>
      <c r="AC45" s="1">
        <f t="shared" si="11"/>
        <v>148.68</v>
      </c>
      <c r="AG45" s="35"/>
    </row>
    <row r="46" spans="1:33" x14ac:dyDescent="0.4">
      <c r="B46" t="s">
        <v>453</v>
      </c>
      <c r="E46" s="1">
        <f t="shared" si="12"/>
        <v>3.18</v>
      </c>
      <c r="F46" s="1"/>
      <c r="G46" s="1"/>
      <c r="H46" s="1"/>
      <c r="J46" s="1">
        <f t="shared" si="8"/>
        <v>127.05</v>
      </c>
      <c r="L46" s="1">
        <f t="shared" si="9"/>
        <v>130.22999999999999</v>
      </c>
      <c r="M46" s="1"/>
      <c r="N46" s="1"/>
      <c r="P46" s="35"/>
      <c r="S46" t="s">
        <v>453</v>
      </c>
      <c r="V46" s="1">
        <f t="shared" si="13"/>
        <v>3.18</v>
      </c>
      <c r="W46" s="1"/>
      <c r="X46" s="2" t="str">
        <f t="shared" si="14"/>
        <v>+</v>
      </c>
      <c r="Y46" s="1"/>
      <c r="AA46" s="1">
        <f>$AA$37*S15</f>
        <v>291</v>
      </c>
      <c r="AB46" s="2" t="str">
        <f t="shared" si="15"/>
        <v>=</v>
      </c>
      <c r="AC46" s="1">
        <f t="shared" si="11"/>
        <v>294.18</v>
      </c>
      <c r="AG46" s="35"/>
    </row>
    <row r="47" spans="1:33" x14ac:dyDescent="0.4">
      <c r="E47" s="1"/>
      <c r="F47" s="1"/>
      <c r="G47" s="1"/>
      <c r="H47" s="1"/>
      <c r="J47" s="1"/>
      <c r="L47" s="1"/>
      <c r="M47" s="1"/>
      <c r="N47" s="1"/>
    </row>
    <row r="48" spans="1:33" x14ac:dyDescent="0.4">
      <c r="A48" s="351"/>
      <c r="B48" s="41"/>
      <c r="C48" s="41"/>
      <c r="D48" s="41"/>
      <c r="E48" s="41"/>
      <c r="F48" s="41"/>
      <c r="G48" s="41"/>
      <c r="H48" s="41"/>
      <c r="I48" s="41"/>
      <c r="J48" s="41"/>
      <c r="K48" s="41"/>
      <c r="L48" s="41"/>
      <c r="M48" s="1"/>
      <c r="N48" s="1"/>
      <c r="P48" s="35"/>
      <c r="R48" s="401" t="s">
        <v>3391</v>
      </c>
      <c r="S48" s="401"/>
      <c r="T48" s="401"/>
      <c r="U48" s="401"/>
      <c r="V48" s="401"/>
      <c r="W48" s="401"/>
      <c r="X48" s="401"/>
      <c r="Y48" s="401"/>
      <c r="Z48" s="401"/>
      <c r="AA48" s="401"/>
      <c r="AB48" s="401"/>
      <c r="AC48" s="401"/>
      <c r="AG48" s="35"/>
    </row>
    <row r="49" spans="1:29" x14ac:dyDescent="0.4">
      <c r="B49" s="345"/>
      <c r="M49" s="1"/>
      <c r="N49" s="1"/>
      <c r="O49" s="1"/>
      <c r="S49" t="s">
        <v>3337</v>
      </c>
      <c r="V49" s="3">
        <f>V44*V58</f>
        <v>38.160000000000004</v>
      </c>
      <c r="W49" s="1"/>
      <c r="X49" s="1"/>
      <c r="Y49" s="1"/>
      <c r="AA49" s="3">
        <f>AA44*AA58</f>
        <v>1117.44</v>
      </c>
      <c r="AC49" s="3">
        <f>V49+AA49</f>
        <v>1155.6000000000001</v>
      </c>
    </row>
    <row r="50" spans="1:29" x14ac:dyDescent="0.4">
      <c r="A50" s="270" t="s">
        <v>3369</v>
      </c>
      <c r="M50" s="1"/>
      <c r="N50" s="1"/>
      <c r="O50" s="1"/>
      <c r="S50" t="s">
        <v>3338</v>
      </c>
      <c r="V50" s="1">
        <f>V45*V59</f>
        <v>38.160000000000004</v>
      </c>
      <c r="W50" s="1"/>
      <c r="X50" s="1"/>
      <c r="Y50" s="1"/>
      <c r="AA50" s="1">
        <f>AA45*AA59</f>
        <v>1746</v>
      </c>
      <c r="AC50" s="1">
        <f t="shared" ref="AC50:AC51" si="16">V50+AA50</f>
        <v>1784.16</v>
      </c>
    </row>
    <row r="51" spans="1:29" x14ac:dyDescent="0.4">
      <c r="A51" t="s">
        <v>3337</v>
      </c>
      <c r="E51" s="3">
        <f>E44*E58</f>
        <v>38.160000000000004</v>
      </c>
      <c r="F51" s="1"/>
      <c r="G51" s="1"/>
      <c r="H51" s="1"/>
      <c r="J51" s="3">
        <f>J44*J58</f>
        <v>798.59999999999991</v>
      </c>
      <c r="L51" s="3">
        <f>E51+J51</f>
        <v>836.75999999999988</v>
      </c>
      <c r="M51" s="1"/>
      <c r="N51" s="1"/>
      <c r="O51" s="1"/>
      <c r="S51" t="s">
        <v>453</v>
      </c>
      <c r="V51" s="60">
        <f>V46*V60</f>
        <v>38.160000000000004</v>
      </c>
      <c r="W51" s="1"/>
      <c r="X51" s="1"/>
      <c r="Y51" s="1"/>
      <c r="AA51" s="60">
        <f>AA46*AA60</f>
        <v>3492</v>
      </c>
      <c r="AC51" s="60">
        <f t="shared" si="16"/>
        <v>3530.16</v>
      </c>
    </row>
    <row r="52" spans="1:29" x14ac:dyDescent="0.4">
      <c r="A52" t="s">
        <v>3338</v>
      </c>
      <c r="E52" s="1">
        <f>E45*E59</f>
        <v>38.160000000000004</v>
      </c>
      <c r="F52" s="1"/>
      <c r="G52" s="1"/>
      <c r="H52" s="1"/>
      <c r="J52" s="1">
        <f>J45*J59</f>
        <v>1016.4000000000001</v>
      </c>
      <c r="L52" s="1">
        <f t="shared" ref="L52:L53" si="17">E52+J52</f>
        <v>1054.5600000000002</v>
      </c>
      <c r="M52" s="1"/>
      <c r="N52" s="1"/>
      <c r="O52" s="1"/>
      <c r="W52" s="1"/>
      <c r="X52" s="1"/>
      <c r="Y52" s="1"/>
      <c r="AA52" s="1"/>
      <c r="AC52" s="1"/>
    </row>
    <row r="53" spans="1:29" ht="16.5" thickBot="1" x14ac:dyDescent="0.45">
      <c r="A53" t="s">
        <v>453</v>
      </c>
      <c r="E53" s="60">
        <f>E46*E60</f>
        <v>38.160000000000004</v>
      </c>
      <c r="F53" s="1"/>
      <c r="G53" s="1"/>
      <c r="H53" s="1"/>
      <c r="J53" s="60">
        <f>J46*J60</f>
        <v>1524.6</v>
      </c>
      <c r="L53" s="60">
        <f t="shared" si="17"/>
        <v>1562.76</v>
      </c>
      <c r="M53" s="1"/>
      <c r="N53" s="1"/>
      <c r="O53" s="1"/>
      <c r="S53" t="s">
        <v>25</v>
      </c>
      <c r="V53" s="324">
        <f>SUM(V49:V52)</f>
        <v>114.48000000000002</v>
      </c>
      <c r="W53" s="1"/>
      <c r="X53" s="1"/>
      <c r="Y53" s="1"/>
      <c r="AA53" s="324">
        <f>SUM(AA49:AA52)</f>
        <v>6355.4400000000005</v>
      </c>
      <c r="AC53" s="324">
        <f>SUM(AC49:AC52)</f>
        <v>6469.92</v>
      </c>
    </row>
    <row r="54" spans="1:29" ht="16.5" thickTop="1" x14ac:dyDescent="0.4">
      <c r="F54" s="1"/>
      <c r="G54" s="1"/>
      <c r="H54" s="1"/>
      <c r="J54" s="1"/>
      <c r="L54" s="1"/>
      <c r="M54" s="1"/>
      <c r="N54" s="1"/>
      <c r="O54" s="1"/>
    </row>
    <row r="55" spans="1:29" ht="16.5" thickBot="1" x14ac:dyDescent="0.45">
      <c r="E55" s="324">
        <f>SUM(E51:E54)</f>
        <v>114.48000000000002</v>
      </c>
      <c r="F55" s="1"/>
      <c r="G55" s="1"/>
      <c r="H55" s="1"/>
      <c r="J55" s="324">
        <f>SUM(J51:J54)</f>
        <v>3339.6</v>
      </c>
      <c r="L55" s="324">
        <f>SUM(L51:L54)</f>
        <v>3454.08</v>
      </c>
      <c r="M55" s="1"/>
      <c r="N55" s="1"/>
      <c r="O55" s="1"/>
    </row>
    <row r="56" spans="1:29" ht="16.5" thickTop="1" x14ac:dyDescent="0.4">
      <c r="M56" s="1"/>
      <c r="N56" s="1"/>
      <c r="O56" s="1"/>
    </row>
    <row r="57" spans="1:29" x14ac:dyDescent="0.4">
      <c r="M57" s="1"/>
      <c r="N57" s="1"/>
      <c r="O57" s="1"/>
    </row>
    <row r="58" spans="1:29" x14ac:dyDescent="0.4">
      <c r="E58" s="1">
        <v>12</v>
      </c>
      <c r="F58" s="1"/>
      <c r="G58" s="1"/>
      <c r="H58" s="1"/>
      <c r="J58" s="1">
        <v>12</v>
      </c>
      <c r="V58" s="1">
        <v>12</v>
      </c>
      <c r="W58" s="1"/>
      <c r="X58" s="1"/>
      <c r="Y58" s="1"/>
      <c r="AA58" s="1">
        <v>12</v>
      </c>
    </row>
    <row r="59" spans="1:29" x14ac:dyDescent="0.4">
      <c r="E59" s="1">
        <v>12</v>
      </c>
      <c r="F59" s="1"/>
      <c r="G59" s="1"/>
      <c r="H59" s="1"/>
      <c r="J59" s="1">
        <v>12</v>
      </c>
      <c r="V59" s="1">
        <v>12</v>
      </c>
      <c r="W59" s="1"/>
      <c r="X59" s="1"/>
      <c r="Y59" s="1"/>
      <c r="AA59" s="1">
        <v>12</v>
      </c>
    </row>
    <row r="60" spans="1:29" x14ac:dyDescent="0.4">
      <c r="E60" s="1">
        <v>12</v>
      </c>
      <c r="F60" s="1"/>
      <c r="G60" s="1"/>
      <c r="H60" s="1"/>
      <c r="J60" s="1">
        <v>12</v>
      </c>
      <c r="L60" s="1"/>
      <c r="V60" s="1">
        <v>12</v>
      </c>
      <c r="W60" s="1"/>
      <c r="X60" s="1"/>
      <c r="Y60" s="1"/>
      <c r="AA60" s="1">
        <v>12</v>
      </c>
      <c r="AC60" s="1"/>
    </row>
    <row r="63" spans="1:29" x14ac:dyDescent="0.4">
      <c r="A63" s="414" t="s">
        <v>212</v>
      </c>
      <c r="B63" s="414"/>
      <c r="C63" s="414"/>
      <c r="D63" s="414"/>
      <c r="E63" s="414"/>
      <c r="F63" s="414"/>
      <c r="G63" s="414"/>
      <c r="H63" s="414"/>
      <c r="I63" s="414"/>
      <c r="J63" s="414"/>
      <c r="K63" s="414"/>
      <c r="L63" s="414"/>
      <c r="M63" s="349"/>
      <c r="N63" s="349"/>
      <c r="O63" s="349"/>
      <c r="P63" s="349"/>
      <c r="R63" s="407" t="s">
        <v>3491</v>
      </c>
      <c r="S63" s="407"/>
      <c r="T63" s="407"/>
      <c r="U63" s="407"/>
      <c r="V63" s="407"/>
      <c r="W63" s="407"/>
      <c r="X63" s="407"/>
      <c r="Y63" s="407"/>
      <c r="Z63" s="407"/>
      <c r="AA63" s="407"/>
      <c r="AB63" s="407"/>
      <c r="AC63" s="407"/>
    </row>
    <row r="64" spans="1:29" x14ac:dyDescent="0.4">
      <c r="A64" s="407" t="s">
        <v>3370</v>
      </c>
      <c r="B64" s="407"/>
      <c r="C64" s="407"/>
      <c r="D64" s="407"/>
      <c r="E64" s="407"/>
      <c r="F64" s="407"/>
      <c r="G64" s="407"/>
      <c r="H64" s="407"/>
      <c r="I64" s="407"/>
      <c r="J64" s="407"/>
      <c r="K64" s="407"/>
      <c r="L64" s="407"/>
      <c r="M64" s="237"/>
      <c r="N64" s="237"/>
      <c r="O64" s="237"/>
      <c r="P64" s="237"/>
      <c r="R64" s="407" t="s">
        <v>3370</v>
      </c>
      <c r="S64" s="407"/>
      <c r="T64" s="407"/>
      <c r="U64" s="407"/>
      <c r="V64" s="407"/>
      <c r="W64" s="407"/>
      <c r="X64" s="407"/>
      <c r="Y64" s="407"/>
      <c r="Z64" s="407"/>
      <c r="AA64" s="407"/>
      <c r="AB64" s="407"/>
      <c r="AC64" s="407"/>
    </row>
    <row r="65" spans="1:35" x14ac:dyDescent="0.4">
      <c r="A65" s="407" t="s">
        <v>583</v>
      </c>
      <c r="B65" s="407"/>
      <c r="C65" s="407"/>
      <c r="D65" s="407"/>
      <c r="E65" s="407"/>
      <c r="F65" s="407"/>
      <c r="G65" s="407"/>
      <c r="H65" s="407"/>
      <c r="I65" s="407"/>
      <c r="J65" s="407"/>
      <c r="K65" s="407"/>
      <c r="L65" s="407"/>
      <c r="M65" s="237"/>
      <c r="N65" s="237"/>
      <c r="O65" s="237"/>
      <c r="P65" s="237"/>
      <c r="R65" s="407" t="s">
        <v>3479</v>
      </c>
      <c r="S65" s="407"/>
      <c r="T65" s="407"/>
      <c r="U65" s="407"/>
      <c r="V65" s="407"/>
      <c r="W65" s="407"/>
      <c r="X65" s="407"/>
      <c r="Y65" s="407"/>
      <c r="Z65" s="407"/>
      <c r="AA65" s="407"/>
      <c r="AB65" s="407"/>
      <c r="AC65" s="407"/>
    </row>
    <row r="67" spans="1:35" x14ac:dyDescent="0.4">
      <c r="A67" t="s">
        <v>3374</v>
      </c>
      <c r="B67" s="2"/>
      <c r="R67" t="s">
        <v>3374</v>
      </c>
      <c r="S67" s="2"/>
    </row>
    <row r="68" spans="1:35" x14ac:dyDescent="0.4">
      <c r="A68" t="s">
        <v>3371</v>
      </c>
      <c r="L68" s="8">
        <f>'Allo to Retail Rate'!G44</f>
        <v>1093098.2393536607</v>
      </c>
      <c r="R68" t="s">
        <v>3321</v>
      </c>
      <c r="AC68" s="9">
        <f>'Allo to Retail Rate'!G44</f>
        <v>1093098.2393536607</v>
      </c>
    </row>
    <row r="69" spans="1:35" x14ac:dyDescent="0.4">
      <c r="A69" t="s">
        <v>3309</v>
      </c>
      <c r="L69" s="8">
        <f>'Allo to Retail Rate'!I44</f>
        <v>1167231.6896675925</v>
      </c>
      <c r="R69" t="s">
        <v>3309</v>
      </c>
      <c r="AC69" s="8">
        <f>'Allo to Retail Rate'!I44</f>
        <v>1167231.6896675925</v>
      </c>
    </row>
    <row r="70" spans="1:35" x14ac:dyDescent="0.4">
      <c r="A70" t="s">
        <v>3372</v>
      </c>
      <c r="L70" s="8">
        <f>'Allo to Retail Rate'!K44</f>
        <v>7408022.5363526978</v>
      </c>
      <c r="R70" t="s">
        <v>3372</v>
      </c>
      <c r="AC70" s="26">
        <f>'Allo to Retail Rate'!K44</f>
        <v>7408022.5363526978</v>
      </c>
      <c r="AG70" t="s">
        <v>3435</v>
      </c>
      <c r="AI70" s="1">
        <f>'Rev-Water'!H215</f>
        <v>-277497.98291986098</v>
      </c>
    </row>
    <row r="71" spans="1:35" x14ac:dyDescent="0.4">
      <c r="L71" s="8"/>
      <c r="R71" t="s">
        <v>3439</v>
      </c>
      <c r="AG71" t="s">
        <v>3436</v>
      </c>
      <c r="AI71" s="281">
        <f>1+'Water Pro forma Rev Req'!L101</f>
        <v>1.2260278572334058</v>
      </c>
    </row>
    <row r="72" spans="1:35" x14ac:dyDescent="0.4">
      <c r="L72" s="8">
        <f>AC72</f>
        <v>340220.25738582941</v>
      </c>
      <c r="R72" t="s">
        <v>3440</v>
      </c>
      <c r="AC72" s="10">
        <f>-AI73</f>
        <v>340220.25738582941</v>
      </c>
    </row>
    <row r="73" spans="1:35" x14ac:dyDescent="0.4">
      <c r="AC73" s="8"/>
      <c r="AI73" s="1">
        <f>AI70*AI71</f>
        <v>-340220.25738582941</v>
      </c>
    </row>
    <row r="74" spans="1:35" x14ac:dyDescent="0.4">
      <c r="A74" t="s">
        <v>25</v>
      </c>
      <c r="L74" s="8">
        <f>SUM(L68:L72)</f>
        <v>10008572.722759781</v>
      </c>
      <c r="R74" t="s">
        <v>25</v>
      </c>
      <c r="AC74" s="9">
        <f>SUM(AC68:AC73)</f>
        <v>10008572.722759781</v>
      </c>
    </row>
    <row r="75" spans="1:35" x14ac:dyDescent="0.4">
      <c r="A75" t="s">
        <v>3379</v>
      </c>
      <c r="L75" s="24">
        <f>'Rev-Water'!F281</f>
        <v>680397203.83294988</v>
      </c>
      <c r="R75" t="s">
        <v>3379</v>
      </c>
      <c r="AC75" s="217">
        <f>'Rev-Water'!O281</f>
        <v>680397203.83294988</v>
      </c>
    </row>
    <row r="77" spans="1:35" ht="16.5" thickBot="1" x14ac:dyDescent="0.45">
      <c r="A77" t="s">
        <v>3373</v>
      </c>
      <c r="L77" s="236">
        <f>L74/L75</f>
        <v>1.4709896904892442E-2</v>
      </c>
      <c r="R77" t="s">
        <v>3388</v>
      </c>
      <c r="AC77" s="372">
        <f>ROUND(AC74/AC75,5)</f>
        <v>1.4710000000000001E-2</v>
      </c>
      <c r="AE77">
        <v>3000</v>
      </c>
      <c r="AF77" s="66">
        <f>AC77*AE77</f>
        <v>44.13</v>
      </c>
    </row>
    <row r="78" spans="1:35" ht="16.5" thickTop="1" x14ac:dyDescent="0.4">
      <c r="L78" s="236">
        <v>-1.1480000000000001E-2</v>
      </c>
    </row>
    <row r="80" spans="1:35" x14ac:dyDescent="0.4">
      <c r="L80" s="236">
        <f>L77+L78</f>
        <v>3.2298969048924417E-3</v>
      </c>
      <c r="R80" t="s">
        <v>639</v>
      </c>
      <c r="AC80" s="238">
        <v>-1.1480000000000001E-2</v>
      </c>
    </row>
    <row r="81" spans="12:29" x14ac:dyDescent="0.4">
      <c r="L81" s="12">
        <f>L80/L78*-1</f>
        <v>0.28134990460735554</v>
      </c>
    </row>
    <row r="82" spans="12:29" x14ac:dyDescent="0.4">
      <c r="R82" t="s">
        <v>640</v>
      </c>
      <c r="AC82" s="343">
        <f>AC77+AC80</f>
        <v>3.2300000000000002E-3</v>
      </c>
    </row>
    <row r="83" spans="12:29" x14ac:dyDescent="0.4">
      <c r="R83" t="s">
        <v>641</v>
      </c>
      <c r="AC83" s="5">
        <f>AC82/AC80*-1</f>
        <v>0.28135888501742162</v>
      </c>
    </row>
  </sheetData>
  <mergeCells count="20">
    <mergeCell ref="A1:L1"/>
    <mergeCell ref="A2:L2"/>
    <mergeCell ref="A3:L3"/>
    <mergeCell ref="A63:L63"/>
    <mergeCell ref="A64:L64"/>
    <mergeCell ref="A65:L65"/>
    <mergeCell ref="R5:X5"/>
    <mergeCell ref="V6:X6"/>
    <mergeCell ref="A28:L28"/>
    <mergeCell ref="R28:AC28"/>
    <mergeCell ref="E6:G6"/>
    <mergeCell ref="J11:P11"/>
    <mergeCell ref="A5:G5"/>
    <mergeCell ref="R65:AC65"/>
    <mergeCell ref="R1:AC1"/>
    <mergeCell ref="R2:AC2"/>
    <mergeCell ref="R3:AC3"/>
    <mergeCell ref="R63:AC63"/>
    <mergeCell ref="R64:AC64"/>
    <mergeCell ref="R48:AC4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16449-9288-4BFB-8736-AA1FEF19B401}">
  <dimension ref="A1:R38"/>
  <sheetViews>
    <sheetView showGridLines="0" workbookViewId="0">
      <selection activeCell="W10" sqref="W10"/>
    </sheetView>
  </sheetViews>
  <sheetFormatPr defaultRowHeight="16" x14ac:dyDescent="0.4"/>
  <cols>
    <col min="2" max="2" width="20.4140625" customWidth="1"/>
    <col min="3" max="3" width="0.9140625" customWidth="1"/>
    <col min="4" max="4" width="9.08203125" bestFit="1" customWidth="1"/>
    <col min="5" max="5" width="0.9140625" customWidth="1"/>
    <col min="6" max="6" width="9.08203125" bestFit="1" customWidth="1"/>
    <col min="7" max="7" width="0.9140625" customWidth="1"/>
    <col min="8" max="8" width="9.58203125" bestFit="1" customWidth="1"/>
    <col min="9" max="9" width="0.9140625" customWidth="1"/>
    <col min="14" max="14" width="9.08203125" bestFit="1" customWidth="1"/>
  </cols>
  <sheetData>
    <row r="1" spans="1:13" x14ac:dyDescent="0.4">
      <c r="D1" s="2" t="s">
        <v>30</v>
      </c>
      <c r="F1" s="400" t="s">
        <v>21</v>
      </c>
      <c r="G1" s="400"/>
      <c r="H1" s="400"/>
      <c r="J1" s="2" t="s">
        <v>3540</v>
      </c>
    </row>
    <row r="2" spans="1:13" x14ac:dyDescent="0.4">
      <c r="D2" s="21" t="s">
        <v>27</v>
      </c>
      <c r="F2" s="21" t="s">
        <v>23</v>
      </c>
      <c r="G2" s="2"/>
      <c r="H2" s="21" t="s">
        <v>22</v>
      </c>
      <c r="J2" s="21" t="s">
        <v>27</v>
      </c>
    </row>
    <row r="3" spans="1:13" x14ac:dyDescent="0.4">
      <c r="A3" t="s">
        <v>3398</v>
      </c>
    </row>
    <row r="4" spans="1:13" x14ac:dyDescent="0.4">
      <c r="A4" t="s">
        <v>3538</v>
      </c>
      <c r="D4" s="3">
        <v>57.7</v>
      </c>
      <c r="F4" s="281">
        <f>F32</f>
        <v>0.15834833369213439</v>
      </c>
      <c r="H4" s="3">
        <f>D4*F4</f>
        <v>9.1366988540361547</v>
      </c>
      <c r="J4" s="66">
        <f>+D4+H4</f>
        <v>66.836698854036158</v>
      </c>
    </row>
    <row r="5" spans="1:13" x14ac:dyDescent="0.4">
      <c r="A5" t="s">
        <v>3537</v>
      </c>
      <c r="D5">
        <v>2.494E-2</v>
      </c>
      <c r="F5" s="281">
        <f>F4</f>
        <v>0.15834833369213439</v>
      </c>
      <c r="H5" s="366">
        <f>D5*F5</f>
        <v>3.9492074422818315E-3</v>
      </c>
      <c r="J5" s="366">
        <f>+D5+H5</f>
        <v>2.8889207442281833E-2</v>
      </c>
    </row>
    <row r="6" spans="1:13" x14ac:dyDescent="0.4">
      <c r="J6" s="1"/>
    </row>
    <row r="7" spans="1:13" x14ac:dyDescent="0.4">
      <c r="A7" t="s">
        <v>3539</v>
      </c>
      <c r="D7">
        <v>107.58</v>
      </c>
      <c r="F7" s="281">
        <f>F5</f>
        <v>0.15834833369213439</v>
      </c>
      <c r="H7" s="1">
        <f>D7*F7</f>
        <v>17.035113738599819</v>
      </c>
      <c r="J7" s="1">
        <f>+D7+H7</f>
        <v>124.61511373859982</v>
      </c>
    </row>
    <row r="14" spans="1:13" x14ac:dyDescent="0.4">
      <c r="D14">
        <f>D4</f>
        <v>57.7</v>
      </c>
      <c r="F14">
        <v>2000</v>
      </c>
      <c r="H14" s="66">
        <f>J4</f>
        <v>66.836698854036158</v>
      </c>
    </row>
    <row r="15" spans="1:13" x14ac:dyDescent="0.4">
      <c r="D15" s="35">
        <f>D5*F15</f>
        <v>27.85669185732737</v>
      </c>
      <c r="F15" s="35">
        <f>F16-F14</f>
        <v>1116.9483503338961</v>
      </c>
      <c r="H15">
        <f>F15*J5</f>
        <v>32.267752595110409</v>
      </c>
    </row>
    <row r="16" spans="1:13" x14ac:dyDescent="0.4">
      <c r="D16">
        <f>SUM(D14:D15)</f>
        <v>85.556691857327365</v>
      </c>
      <c r="F16" s="35">
        <f>'Rev-Water'!S249</f>
        <v>3116.9483503338961</v>
      </c>
      <c r="H16" s="66">
        <f>SUM(H14:H15)</f>
        <v>99.104451449146566</v>
      </c>
      <c r="L16">
        <v>3100</v>
      </c>
      <c r="M16" t="s">
        <v>3400</v>
      </c>
    </row>
    <row r="17" spans="1:15" x14ac:dyDescent="0.4">
      <c r="H17" s="66">
        <f>H16-D16</f>
        <v>13.547759591819201</v>
      </c>
    </row>
    <row r="18" spans="1:15" x14ac:dyDescent="0.4">
      <c r="H18" s="5">
        <f>H17/D16</f>
        <v>0.1583483336921345</v>
      </c>
    </row>
    <row r="20" spans="1:15" x14ac:dyDescent="0.4">
      <c r="G20" t="s">
        <v>3401</v>
      </c>
    </row>
    <row r="21" spans="1:15" x14ac:dyDescent="0.4">
      <c r="G21" t="s">
        <v>3402</v>
      </c>
      <c r="J21">
        <v>249253487</v>
      </c>
    </row>
    <row r="22" spans="1:15" x14ac:dyDescent="0.4">
      <c r="G22" t="s">
        <v>248</v>
      </c>
      <c r="J22">
        <v>64520</v>
      </c>
    </row>
    <row r="24" spans="1:15" x14ac:dyDescent="0.4">
      <c r="G24" t="s">
        <v>3403</v>
      </c>
      <c r="J24">
        <f>J21/J22</f>
        <v>3863.1972566646</v>
      </c>
    </row>
    <row r="29" spans="1:15" x14ac:dyDescent="0.4">
      <c r="A29" t="s">
        <v>3532</v>
      </c>
    </row>
    <row r="30" spans="1:15" x14ac:dyDescent="0.4">
      <c r="A30" t="s">
        <v>168</v>
      </c>
    </row>
    <row r="31" spans="1:15" x14ac:dyDescent="0.4">
      <c r="A31" t="s">
        <v>3533</v>
      </c>
    </row>
    <row r="32" spans="1:15" x14ac:dyDescent="0.4">
      <c r="A32" t="s">
        <v>19</v>
      </c>
      <c r="D32">
        <v>57.7</v>
      </c>
      <c r="F32" s="281">
        <f>N35</f>
        <v>0.15834833369213439</v>
      </c>
      <c r="H32">
        <f>D32*F32</f>
        <v>9.1366988540361547</v>
      </c>
      <c r="J32">
        <f>D32+H32</f>
        <v>66.836698854036158</v>
      </c>
      <c r="L32">
        <v>57.7</v>
      </c>
      <c r="N32" s="35">
        <f>'Rate Comparison'!N11</f>
        <v>3116.9483503338961</v>
      </c>
      <c r="O32" t="s">
        <v>3534</v>
      </c>
    </row>
    <row r="33" spans="1:18" x14ac:dyDescent="0.4">
      <c r="A33" t="s">
        <v>3397</v>
      </c>
      <c r="D33">
        <v>2.494E-2</v>
      </c>
      <c r="E33" t="s">
        <v>249</v>
      </c>
      <c r="F33" s="281">
        <f>F32</f>
        <v>0.15834833369213439</v>
      </c>
      <c r="H33">
        <f>D33*F33</f>
        <v>3.9492074422818315E-3</v>
      </c>
      <c r="J33">
        <f>D33+H33</f>
        <v>2.8889207442281833E-2</v>
      </c>
      <c r="L33" s="35">
        <f>N33*D33</f>
        <v>27.85669185732737</v>
      </c>
      <c r="N33" s="35">
        <f>N32-2000</f>
        <v>1116.9483503338961</v>
      </c>
    </row>
    <row r="35" spans="1:18" x14ac:dyDescent="0.4">
      <c r="L35">
        <f>SUM(L32:L34)</f>
        <v>85.556691857327365</v>
      </c>
      <c r="N35" s="281">
        <f>'Sewer Pro forma Rev Req'!K87</f>
        <v>0.15834833369213439</v>
      </c>
      <c r="P35">
        <f>L35*N35</f>
        <v>13.54775959181919</v>
      </c>
      <c r="R35">
        <f>L35+P35</f>
        <v>99.104451449146552</v>
      </c>
    </row>
    <row r="38" spans="1:18" x14ac:dyDescent="0.4">
      <c r="A38" t="s">
        <v>3399</v>
      </c>
      <c r="D38">
        <v>107.58</v>
      </c>
      <c r="F38" s="281">
        <f>F33</f>
        <v>0.15834833369213439</v>
      </c>
      <c r="H38">
        <f>D38*F38</f>
        <v>17.035113738599819</v>
      </c>
      <c r="J38">
        <f>D38+H38</f>
        <v>124.61511373859982</v>
      </c>
      <c r="L38">
        <f>D38</f>
        <v>107.58</v>
      </c>
      <c r="N38" s="281">
        <f>N35</f>
        <v>0.15834833369213439</v>
      </c>
      <c r="P38">
        <f>L38*N38</f>
        <v>17.035113738599819</v>
      </c>
      <c r="R38">
        <f>L38+P38</f>
        <v>124.61511373859982</v>
      </c>
    </row>
  </sheetData>
  <mergeCells count="1">
    <mergeCell ref="F1:H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CC5AD-17CE-47F0-9205-0ABDCD844107}">
  <dimension ref="A1:X74"/>
  <sheetViews>
    <sheetView showGridLines="0" tabSelected="1" workbookViewId="0">
      <selection activeCell="A2" sqref="A2:V2"/>
    </sheetView>
  </sheetViews>
  <sheetFormatPr defaultRowHeight="16" x14ac:dyDescent="0.4"/>
  <cols>
    <col min="1" max="2" width="1.9140625" customWidth="1"/>
    <col min="3" max="3" width="30.83203125" customWidth="1"/>
    <col min="4" max="4" width="10.6640625" customWidth="1"/>
    <col min="5" max="5" width="0.9140625" customWidth="1"/>
    <col min="6" max="6" width="9.6640625" customWidth="1"/>
    <col min="7" max="7" width="0.9140625" customWidth="1"/>
    <col min="8" max="8" width="9.83203125" customWidth="1"/>
    <col min="9" max="9" width="0.9140625" customWidth="1"/>
    <col min="10" max="10" width="9.6640625" bestFit="1" customWidth="1"/>
    <col min="11" max="11" width="0.9140625" customWidth="1"/>
    <col min="12" max="12" width="9.1640625" bestFit="1" customWidth="1"/>
    <col min="13" max="13" width="2.33203125" customWidth="1"/>
    <col min="14" max="14" width="12.58203125" bestFit="1" customWidth="1"/>
    <col min="15" max="15" width="0.9140625" customWidth="1"/>
    <col min="16" max="16" width="11.08203125" bestFit="1" customWidth="1"/>
    <col min="17" max="17" width="0.9140625" customWidth="1"/>
    <col min="18" max="18" width="11.08203125" bestFit="1" customWidth="1"/>
    <col min="19" max="19" width="0.9140625" customWidth="1"/>
    <col min="20" max="20" width="10.08203125" bestFit="1" customWidth="1"/>
    <col min="21" max="21" width="0.83203125" customWidth="1"/>
  </cols>
  <sheetData>
    <row r="1" spans="1:22" x14ac:dyDescent="0.4">
      <c r="A1" s="407" t="s">
        <v>3514</v>
      </c>
      <c r="B1" s="407"/>
      <c r="C1" s="407"/>
      <c r="D1" s="407"/>
      <c r="E1" s="407"/>
      <c r="F1" s="407"/>
      <c r="G1" s="407"/>
      <c r="H1" s="407"/>
      <c r="I1" s="407"/>
      <c r="J1" s="407"/>
      <c r="K1" s="407"/>
      <c r="L1" s="407"/>
      <c r="M1" s="407"/>
      <c r="N1" s="407"/>
      <c r="O1" s="407"/>
      <c r="P1" s="407"/>
      <c r="Q1" s="407"/>
      <c r="R1" s="407"/>
      <c r="S1" s="407"/>
      <c r="T1" s="407"/>
      <c r="U1" s="407"/>
      <c r="V1" s="407"/>
    </row>
    <row r="2" spans="1:22" x14ac:dyDescent="0.4">
      <c r="A2" s="407" t="s">
        <v>3515</v>
      </c>
      <c r="B2" s="407"/>
      <c r="C2" s="407"/>
      <c r="D2" s="407"/>
      <c r="E2" s="407"/>
      <c r="F2" s="407"/>
      <c r="G2" s="407"/>
      <c r="H2" s="407"/>
      <c r="I2" s="407"/>
      <c r="J2" s="407"/>
      <c r="K2" s="407"/>
      <c r="L2" s="407"/>
      <c r="M2" s="407"/>
      <c r="N2" s="407"/>
      <c r="O2" s="407"/>
      <c r="P2" s="407"/>
      <c r="Q2" s="407"/>
      <c r="R2" s="407"/>
      <c r="S2" s="407"/>
      <c r="T2" s="407"/>
      <c r="U2" s="407"/>
      <c r="V2" s="407"/>
    </row>
    <row r="3" spans="1:22" x14ac:dyDescent="0.4">
      <c r="A3" s="407" t="s">
        <v>3479</v>
      </c>
      <c r="B3" s="407"/>
      <c r="C3" s="407"/>
      <c r="D3" s="407"/>
      <c r="E3" s="407"/>
      <c r="F3" s="407"/>
      <c r="G3" s="407"/>
      <c r="H3" s="407"/>
      <c r="I3" s="407"/>
      <c r="J3" s="407"/>
      <c r="K3" s="407"/>
      <c r="L3" s="407"/>
      <c r="M3" s="407"/>
      <c r="N3" s="407"/>
      <c r="O3" s="407"/>
      <c r="P3" s="407"/>
      <c r="Q3" s="407"/>
      <c r="R3" s="407"/>
      <c r="S3" s="407"/>
      <c r="T3" s="407"/>
      <c r="U3" s="407"/>
      <c r="V3" s="407"/>
    </row>
    <row r="4" spans="1:22" x14ac:dyDescent="0.4">
      <c r="H4" s="2" t="s">
        <v>3354</v>
      </c>
    </row>
    <row r="5" spans="1:22" x14ac:dyDescent="0.4">
      <c r="H5" s="377" t="s">
        <v>461</v>
      </c>
      <c r="N5" s="400" t="s">
        <v>3511</v>
      </c>
      <c r="O5" s="400"/>
      <c r="P5" s="400"/>
      <c r="Q5" s="400"/>
      <c r="R5" s="400"/>
      <c r="S5" s="400"/>
      <c r="T5" s="400"/>
      <c r="U5" s="400"/>
      <c r="V5" s="400"/>
    </row>
    <row r="6" spans="1:22" x14ac:dyDescent="0.4">
      <c r="D6" s="2"/>
      <c r="E6" s="2"/>
      <c r="F6" s="2" t="s">
        <v>3492</v>
      </c>
      <c r="G6" s="2"/>
      <c r="H6" s="377" t="s">
        <v>3517</v>
      </c>
      <c r="I6" s="2"/>
      <c r="J6" s="413" t="s">
        <v>3518</v>
      </c>
      <c r="K6" s="413"/>
      <c r="L6" s="413"/>
      <c r="M6" s="2"/>
      <c r="N6" s="2" t="s">
        <v>3403</v>
      </c>
      <c r="O6" s="2"/>
      <c r="P6" s="2"/>
      <c r="Q6" s="2"/>
      <c r="R6" s="2"/>
    </row>
    <row r="7" spans="1:22" x14ac:dyDescent="0.4">
      <c r="D7" s="2" t="s">
        <v>3394</v>
      </c>
      <c r="E7" s="2"/>
      <c r="F7" s="2" t="s">
        <v>109</v>
      </c>
      <c r="G7" s="2"/>
      <c r="H7" s="377" t="s">
        <v>3516</v>
      </c>
      <c r="I7" s="2"/>
      <c r="J7" s="400" t="s">
        <v>27</v>
      </c>
      <c r="K7" s="400"/>
      <c r="L7" s="400"/>
      <c r="M7" s="2"/>
      <c r="N7" s="2" t="s">
        <v>2782</v>
      </c>
      <c r="O7" s="2"/>
      <c r="P7" s="400" t="s">
        <v>3509</v>
      </c>
      <c r="Q7" s="400"/>
      <c r="R7" s="400"/>
      <c r="T7" s="400" t="s">
        <v>21</v>
      </c>
      <c r="U7" s="400"/>
      <c r="V7" s="400"/>
    </row>
    <row r="8" spans="1:22" x14ac:dyDescent="0.4">
      <c r="D8" s="21" t="s">
        <v>288</v>
      </c>
      <c r="E8" s="2"/>
      <c r="F8" s="21" t="s">
        <v>27</v>
      </c>
      <c r="G8" s="2"/>
      <c r="H8" s="374" t="s">
        <v>3493</v>
      </c>
      <c r="I8" s="2"/>
      <c r="J8" s="21" t="s">
        <v>22</v>
      </c>
      <c r="K8" s="2"/>
      <c r="L8" s="21" t="s">
        <v>23</v>
      </c>
      <c r="M8" s="2"/>
      <c r="N8" s="21" t="s">
        <v>97</v>
      </c>
      <c r="O8" s="2"/>
      <c r="P8" s="21" t="s">
        <v>3394</v>
      </c>
      <c r="Q8" s="2"/>
      <c r="R8" s="21" t="s">
        <v>3510</v>
      </c>
      <c r="T8" s="21" t="s">
        <v>22</v>
      </c>
      <c r="V8" s="21" t="s">
        <v>23</v>
      </c>
    </row>
    <row r="9" spans="1:22" x14ac:dyDescent="0.4">
      <c r="A9" s="400" t="s">
        <v>3512</v>
      </c>
      <c r="B9" s="400"/>
      <c r="C9" s="400"/>
      <c r="H9" s="140"/>
    </row>
    <row r="10" spans="1:22" x14ac:dyDescent="0.4">
      <c r="A10" t="s">
        <v>3497</v>
      </c>
      <c r="H10" s="140"/>
    </row>
    <row r="11" spans="1:22" x14ac:dyDescent="0.4">
      <c r="C11" t="s">
        <v>3354</v>
      </c>
      <c r="D11" s="3">
        <v>8.99</v>
      </c>
      <c r="F11" s="375">
        <f>'Water Retail Rate Calc'!AC41</f>
        <v>9</v>
      </c>
      <c r="G11" s="376"/>
      <c r="H11" s="383">
        <v>8.9499999999999993</v>
      </c>
      <c r="I11" s="66"/>
      <c r="J11" s="3">
        <f>ROUND(H11-D11,2)</f>
        <v>-0.04</v>
      </c>
      <c r="L11" s="5">
        <f>J11/D11</f>
        <v>-4.4493882091212458E-3</v>
      </c>
      <c r="N11" s="373">
        <f>'Rev-Water'!S249</f>
        <v>3116.9483503338961</v>
      </c>
      <c r="P11" s="66">
        <f>D11+(N11*$D$19)</f>
        <v>44.772567061833129</v>
      </c>
      <c r="R11" s="66">
        <f>H11+(N11*$H$19)</f>
        <v>54.800310233411608</v>
      </c>
      <c r="T11" s="66">
        <f>R11-P11</f>
        <v>10.027743171578479</v>
      </c>
      <c r="U11" s="66"/>
      <c r="V11" s="105">
        <f>T11/P11</f>
        <v>0.22397069968603028</v>
      </c>
    </row>
    <row r="12" spans="1:22" x14ac:dyDescent="0.4">
      <c r="C12" t="s">
        <v>258</v>
      </c>
      <c r="D12" s="1">
        <v>12.59</v>
      </c>
      <c r="E12" s="1"/>
      <c r="F12" s="1">
        <f>'Water Retail Rate Calc'!AC42</f>
        <v>17.73</v>
      </c>
      <c r="H12" s="378">
        <f>F12</f>
        <v>17.73</v>
      </c>
      <c r="J12" s="1">
        <f t="shared" ref="J12:J19" si="0">H12-D12</f>
        <v>5.1400000000000006</v>
      </c>
      <c r="L12" s="5">
        <f t="shared" ref="L12:L19" si="1">J12/D12</f>
        <v>0.4082605242255759</v>
      </c>
      <c r="N12" s="373">
        <f>'Rev-Water'!S256</f>
        <v>9575.2392117780291</v>
      </c>
      <c r="P12" s="38">
        <f>D12+(N12*$D$19)</f>
        <v>122.51374615121178</v>
      </c>
      <c r="R12" s="38">
        <f t="shared" ref="R12:R17" si="2">H12+(N12*$H$19)</f>
        <v>158.5817688052548</v>
      </c>
      <c r="T12" s="38">
        <f t="shared" ref="T12:T17" si="3">R12-P12</f>
        <v>36.06802265404302</v>
      </c>
      <c r="U12" s="38"/>
      <c r="V12" s="105">
        <f t="shared" ref="V12:V17" si="4">T12/P12</f>
        <v>0.29439980236606511</v>
      </c>
    </row>
    <row r="13" spans="1:22" x14ac:dyDescent="0.4">
      <c r="C13" t="s">
        <v>452</v>
      </c>
      <c r="D13" s="1">
        <v>26.07</v>
      </c>
      <c r="E13" s="1"/>
      <c r="F13" s="1">
        <f>'Water Retail Rate Calc'!AC43</f>
        <v>49.74</v>
      </c>
      <c r="H13" s="378">
        <f t="shared" ref="H13:H19" si="5">F13</f>
        <v>49.74</v>
      </c>
      <c r="J13" s="1">
        <f t="shared" si="0"/>
        <v>23.67</v>
      </c>
      <c r="L13" s="5">
        <f t="shared" si="1"/>
        <v>0.90794016110471809</v>
      </c>
      <c r="N13" s="373">
        <f>'Rev-Water'!V264</f>
        <v>33182.429140649147</v>
      </c>
      <c r="P13" s="38">
        <f>D13+(N13*$D$19)</f>
        <v>407.00428653465224</v>
      </c>
      <c r="R13" s="38">
        <f t="shared" si="2"/>
        <v>537.85353265894901</v>
      </c>
      <c r="T13" s="38">
        <f t="shared" si="3"/>
        <v>130.84924612429677</v>
      </c>
      <c r="U13" s="38"/>
      <c r="V13" s="105">
        <f t="shared" si="4"/>
        <v>0.32149353324600993</v>
      </c>
    </row>
    <row r="14" spans="1:22" x14ac:dyDescent="0.4">
      <c r="C14" t="s">
        <v>3337</v>
      </c>
      <c r="D14" s="1">
        <v>98.89</v>
      </c>
      <c r="E14" s="1"/>
      <c r="F14" s="1">
        <f>'Water Retail Rate Calc'!AC44</f>
        <v>96.300000000000011</v>
      </c>
      <c r="H14" s="378">
        <f t="shared" si="5"/>
        <v>96.300000000000011</v>
      </c>
      <c r="J14" s="1">
        <f t="shared" si="0"/>
        <v>-2.5899999999999892</v>
      </c>
      <c r="L14" s="5">
        <f t="shared" si="1"/>
        <v>-2.6190716958236316E-2</v>
      </c>
      <c r="N14" s="373">
        <f>'Rev-Water'!V269</f>
        <v>57591.948675925931</v>
      </c>
      <c r="P14" s="38">
        <f t="shared" ref="P14:P17" si="6">D14+(N14*$D$19)</f>
        <v>760.04557079962967</v>
      </c>
      <c r="R14" s="38">
        <f t="shared" si="2"/>
        <v>943.47756502287052</v>
      </c>
      <c r="T14" s="38">
        <f t="shared" si="3"/>
        <v>183.43199422324085</v>
      </c>
      <c r="U14" s="38"/>
      <c r="V14" s="105">
        <f t="shared" si="4"/>
        <v>0.24134341580368068</v>
      </c>
    </row>
    <row r="15" spans="1:22" x14ac:dyDescent="0.4">
      <c r="C15" t="s">
        <v>3338</v>
      </c>
      <c r="D15" s="1">
        <v>125.86</v>
      </c>
      <c r="E15" s="1"/>
      <c r="F15" s="1">
        <f>'Water Retail Rate Calc'!AC45</f>
        <v>148.68</v>
      </c>
      <c r="H15" s="378">
        <f t="shared" si="5"/>
        <v>148.68</v>
      </c>
      <c r="J15" s="1">
        <f t="shared" si="0"/>
        <v>22.820000000000007</v>
      </c>
      <c r="L15" s="5">
        <f t="shared" si="1"/>
        <v>0.18131256952169084</v>
      </c>
      <c r="N15" s="373">
        <f>'Rev-Water'!V274</f>
        <v>134403.85105729167</v>
      </c>
      <c r="P15" s="38">
        <f t="shared" si="6"/>
        <v>1668.8162101377084</v>
      </c>
      <c r="R15" s="38">
        <f t="shared" si="2"/>
        <v>2125.7606490527605</v>
      </c>
      <c r="T15" s="38">
        <f t="shared" si="3"/>
        <v>456.94443891505216</v>
      </c>
      <c r="U15" s="38"/>
      <c r="V15" s="105">
        <f t="shared" si="4"/>
        <v>0.27381351891191524</v>
      </c>
    </row>
    <row r="16" spans="1:22" x14ac:dyDescent="0.4">
      <c r="C16" t="s">
        <v>453</v>
      </c>
      <c r="D16" s="1">
        <v>188.79</v>
      </c>
      <c r="E16" s="1"/>
      <c r="F16" s="1">
        <f>'Water Retail Rate Calc'!AC46</f>
        <v>294.18</v>
      </c>
      <c r="H16" s="378">
        <f t="shared" si="5"/>
        <v>294.18</v>
      </c>
      <c r="J16" s="1">
        <f t="shared" si="0"/>
        <v>105.39000000000001</v>
      </c>
      <c r="L16" s="5">
        <f t="shared" si="1"/>
        <v>0.55823931352296208</v>
      </c>
      <c r="N16" s="373">
        <f>'Rev-Water'!V279</f>
        <v>49943.305781250005</v>
      </c>
      <c r="P16" s="38">
        <f t="shared" si="6"/>
        <v>762.13915036875005</v>
      </c>
      <c r="R16" s="38">
        <f t="shared" si="2"/>
        <v>1028.8460280421875</v>
      </c>
      <c r="T16" s="38">
        <f t="shared" si="3"/>
        <v>266.70687767343748</v>
      </c>
      <c r="U16" s="38"/>
      <c r="V16" s="105">
        <f t="shared" si="4"/>
        <v>0.34994512162824226</v>
      </c>
    </row>
    <row r="17" spans="1:22" x14ac:dyDescent="0.4">
      <c r="C17" t="s">
        <v>3508</v>
      </c>
      <c r="D17" s="1">
        <v>8.99</v>
      </c>
      <c r="E17" s="1"/>
      <c r="F17" s="384">
        <f>F11</f>
        <v>9</v>
      </c>
      <c r="G17" s="376"/>
      <c r="H17" s="385">
        <f>H11</f>
        <v>8.9499999999999993</v>
      </c>
      <c r="J17" s="1">
        <f>H17-D17</f>
        <v>-4.0000000000000924E-2</v>
      </c>
      <c r="L17" s="5">
        <f>J17/D17</f>
        <v>-4.4493882091213481E-3</v>
      </c>
      <c r="N17" s="373">
        <f>'Rev-Water'!AB280</f>
        <v>3025.8925295434196</v>
      </c>
      <c r="P17" s="38">
        <f t="shared" si="6"/>
        <v>43.727246239158461</v>
      </c>
      <c r="R17" s="38">
        <f t="shared" si="2"/>
        <v>53.460879109583701</v>
      </c>
      <c r="T17" s="38">
        <f t="shared" si="3"/>
        <v>9.7336328704252395</v>
      </c>
      <c r="U17" s="38"/>
      <c r="V17" s="105">
        <f t="shared" si="4"/>
        <v>0.22259880755327813</v>
      </c>
    </row>
    <row r="18" spans="1:22" x14ac:dyDescent="0.4">
      <c r="D18" s="1"/>
      <c r="E18" s="1"/>
      <c r="F18" s="1"/>
      <c r="H18" s="379"/>
      <c r="L18" s="5"/>
      <c r="N18" s="36"/>
    </row>
    <row r="19" spans="1:22" x14ac:dyDescent="0.4">
      <c r="A19" t="s">
        <v>3494</v>
      </c>
      <c r="D19" s="343">
        <v>1.1480000000000001E-2</v>
      </c>
      <c r="E19" s="343"/>
      <c r="F19" s="343">
        <f>'Water Retail Rate Calc'!AC77</f>
        <v>1.4710000000000001E-2</v>
      </c>
      <c r="G19" s="3"/>
      <c r="H19" s="380">
        <f t="shared" si="5"/>
        <v>1.4710000000000001E-2</v>
      </c>
      <c r="I19" s="3"/>
      <c r="J19" s="343">
        <f t="shared" si="0"/>
        <v>3.2300000000000002E-3</v>
      </c>
      <c r="L19" s="5">
        <f t="shared" si="1"/>
        <v>0.28135888501742162</v>
      </c>
      <c r="N19" s="36"/>
    </row>
    <row r="20" spans="1:22" x14ac:dyDescent="0.4">
      <c r="H20" s="381"/>
      <c r="J20" s="343"/>
      <c r="L20" s="5"/>
      <c r="N20" s="36"/>
    </row>
    <row r="21" spans="1:22" x14ac:dyDescent="0.4">
      <c r="A21" s="400" t="s">
        <v>3495</v>
      </c>
      <c r="B21" s="400"/>
      <c r="C21" s="400"/>
      <c r="H21" s="140"/>
      <c r="N21" s="36"/>
    </row>
    <row r="22" spans="1:22" x14ac:dyDescent="0.4">
      <c r="C22" t="s">
        <v>310</v>
      </c>
      <c r="D22" s="343">
        <v>4.5199999999999997E-3</v>
      </c>
      <c r="E22" s="343"/>
      <c r="F22" s="343">
        <f>'Sys Info, Allo Facts, Whole Rat'!V105</f>
        <v>5.13E-3</v>
      </c>
      <c r="G22" s="343"/>
      <c r="H22" s="380">
        <f>F22</f>
        <v>5.13E-3</v>
      </c>
      <c r="I22" s="343"/>
      <c r="J22" s="343">
        <f>H22-D22</f>
        <v>6.100000000000003E-4</v>
      </c>
      <c r="L22" s="5">
        <f>J22/D22</f>
        <v>0.13495575221238945</v>
      </c>
      <c r="N22" s="84">
        <f>'Rev-Water'!O295/12</f>
        <v>5118583.333333333</v>
      </c>
      <c r="P22" s="275">
        <f>D22*N22</f>
        <v>23135.996666666662</v>
      </c>
      <c r="Q22" s="275"/>
      <c r="R22" s="275">
        <f>N22*H22</f>
        <v>26258.332499999997</v>
      </c>
      <c r="S22" s="275"/>
      <c r="T22" s="275">
        <f t="shared" ref="T22" si="7">R22-P22</f>
        <v>3122.3358333333344</v>
      </c>
      <c r="U22" s="38"/>
      <c r="V22" s="105">
        <f t="shared" ref="V22" si="8">T22/P22</f>
        <v>0.13495575221238945</v>
      </c>
    </row>
    <row r="23" spans="1:22" x14ac:dyDescent="0.4">
      <c r="C23" t="s">
        <v>311</v>
      </c>
      <c r="D23" s="4">
        <v>4.5199999999999997E-3</v>
      </c>
      <c r="E23" s="4"/>
      <c r="F23" s="4">
        <f>F22</f>
        <v>5.13E-3</v>
      </c>
      <c r="G23" s="4"/>
      <c r="H23" s="382">
        <f t="shared" ref="H23:H25" si="9">F23</f>
        <v>5.13E-3</v>
      </c>
      <c r="I23" s="4"/>
      <c r="J23" s="4">
        <f t="shared" ref="J23:J25" si="10">H23-D23</f>
        <v>6.100000000000003E-4</v>
      </c>
      <c r="K23" s="4"/>
      <c r="L23" s="5">
        <f t="shared" ref="L23:L25" si="11">J23/D23</f>
        <v>0.13495575221238945</v>
      </c>
      <c r="N23" s="84">
        <f>'Rev-Water'!O296/12</f>
        <v>169200</v>
      </c>
      <c r="P23" s="38">
        <f>D22*N23</f>
        <v>764.78399999999999</v>
      </c>
      <c r="Q23" s="38"/>
      <c r="R23" s="38">
        <f>N23*H22</f>
        <v>867.99599999999998</v>
      </c>
      <c r="S23" s="38"/>
      <c r="T23" s="38">
        <f t="shared" ref="T23" si="12">R23-P23</f>
        <v>103.21199999999999</v>
      </c>
      <c r="U23" s="38"/>
      <c r="V23" s="105">
        <f t="shared" ref="V23" si="13">T23/P23</f>
        <v>0.13495575221238937</v>
      </c>
    </row>
    <row r="24" spans="1:22" x14ac:dyDescent="0.4">
      <c r="C24" t="s">
        <v>92</v>
      </c>
      <c r="D24" s="4">
        <v>4.5199999999999997E-3</v>
      </c>
      <c r="E24" s="4"/>
      <c r="F24" s="4">
        <f t="shared" ref="F24:F25" si="14">F23</f>
        <v>5.13E-3</v>
      </c>
      <c r="G24" s="4"/>
      <c r="H24" s="382">
        <f t="shared" si="9"/>
        <v>5.13E-3</v>
      </c>
      <c r="I24" s="4"/>
      <c r="J24" s="4">
        <f t="shared" si="10"/>
        <v>6.100000000000003E-4</v>
      </c>
      <c r="K24" s="4"/>
      <c r="L24" s="5">
        <f t="shared" si="11"/>
        <v>0.13495575221238945</v>
      </c>
      <c r="N24" s="84">
        <v>0</v>
      </c>
      <c r="P24" s="35"/>
      <c r="R24" s="35"/>
      <c r="T24" s="1"/>
      <c r="U24" s="1"/>
      <c r="V24" s="5"/>
    </row>
    <row r="25" spans="1:22" x14ac:dyDescent="0.4">
      <c r="C25" t="s">
        <v>3513</v>
      </c>
      <c r="D25" s="4">
        <v>4.5199999999999997E-3</v>
      </c>
      <c r="E25" s="4"/>
      <c r="F25" s="4">
        <f t="shared" si="14"/>
        <v>5.13E-3</v>
      </c>
      <c r="G25" s="4"/>
      <c r="H25" s="382">
        <f t="shared" si="9"/>
        <v>5.13E-3</v>
      </c>
      <c r="I25" s="4"/>
      <c r="J25" s="4">
        <f t="shared" si="10"/>
        <v>6.100000000000003E-4</v>
      </c>
      <c r="K25" s="4"/>
      <c r="L25" s="5">
        <f t="shared" si="11"/>
        <v>0.13495575221238945</v>
      </c>
      <c r="N25" s="84">
        <v>0</v>
      </c>
    </row>
    <row r="30" spans="1:22" x14ac:dyDescent="0.4">
      <c r="L30" s="140"/>
    </row>
    <row r="31" spans="1:22" x14ac:dyDescent="0.4">
      <c r="A31" s="415" t="s">
        <v>3575</v>
      </c>
      <c r="B31" s="411"/>
      <c r="C31" s="411"/>
      <c r="D31" s="411"/>
      <c r="E31" s="411"/>
      <c r="F31" s="411"/>
      <c r="G31" s="411"/>
      <c r="H31" s="411"/>
      <c r="I31" s="411"/>
      <c r="J31" s="411"/>
      <c r="K31" s="411"/>
      <c r="L31" s="416"/>
    </row>
    <row r="32" spans="1:22" x14ac:dyDescent="0.4">
      <c r="A32" s="36"/>
      <c r="F32" s="411" t="s">
        <v>27</v>
      </c>
      <c r="G32" s="411"/>
      <c r="H32" s="411"/>
      <c r="J32" s="411" t="s">
        <v>3496</v>
      </c>
      <c r="K32" s="411"/>
      <c r="L32" s="416"/>
    </row>
    <row r="33" spans="1:20" x14ac:dyDescent="0.4">
      <c r="A33" s="418"/>
      <c r="B33" s="403"/>
      <c r="C33" s="403"/>
      <c r="F33" s="21" t="s">
        <v>3574</v>
      </c>
      <c r="G33" s="2"/>
      <c r="H33" s="21" t="s">
        <v>3573</v>
      </c>
      <c r="J33" s="21" t="s">
        <v>22</v>
      </c>
      <c r="K33" s="21"/>
      <c r="L33" s="392" t="s">
        <v>23</v>
      </c>
    </row>
    <row r="34" spans="1:20" x14ac:dyDescent="0.4">
      <c r="A34" s="394" t="s">
        <v>3576</v>
      </c>
      <c r="L34" s="37"/>
    </row>
    <row r="35" spans="1:20" x14ac:dyDescent="0.4">
      <c r="A35" s="36"/>
      <c r="B35" t="s">
        <v>3578</v>
      </c>
      <c r="L35" s="37"/>
    </row>
    <row r="36" spans="1:20" x14ac:dyDescent="0.4">
      <c r="A36" s="36"/>
      <c r="C36" t="s">
        <v>3354</v>
      </c>
      <c r="F36" s="66">
        <f t="shared" ref="F36:F42" si="15">D11</f>
        <v>8.99</v>
      </c>
      <c r="H36" s="66">
        <f t="shared" ref="H36:H42" si="16">H11</f>
        <v>8.9499999999999993</v>
      </c>
      <c r="J36" s="66">
        <f>H36-F36</f>
        <v>-4.0000000000000924E-2</v>
      </c>
      <c r="L36" s="393">
        <f>J36/F36</f>
        <v>-4.4493882091213481E-3</v>
      </c>
    </row>
    <row r="37" spans="1:20" x14ac:dyDescent="0.4">
      <c r="A37" s="36"/>
      <c r="C37" t="s">
        <v>258</v>
      </c>
      <c r="F37" s="38">
        <f t="shared" si="15"/>
        <v>12.59</v>
      </c>
      <c r="H37" s="38">
        <f t="shared" si="16"/>
        <v>17.73</v>
      </c>
      <c r="J37" s="38">
        <f t="shared" ref="J37:J44" si="17">H37-F37</f>
        <v>5.1400000000000006</v>
      </c>
      <c r="K37" s="38"/>
      <c r="L37" s="393">
        <f t="shared" ref="L37:L44" si="18">J37/F37</f>
        <v>0.4082605242255759</v>
      </c>
      <c r="N37">
        <v>12.59</v>
      </c>
      <c r="P37">
        <v>17.73</v>
      </c>
      <c r="R37">
        <f>P37-N37</f>
        <v>5.1400000000000006</v>
      </c>
      <c r="T37">
        <f>R37/N37</f>
        <v>0.4082605242255759</v>
      </c>
    </row>
    <row r="38" spans="1:20" x14ac:dyDescent="0.4">
      <c r="A38" s="36"/>
      <c r="C38" t="s">
        <v>452</v>
      </c>
      <c r="F38" s="38">
        <f t="shared" si="15"/>
        <v>26.07</v>
      </c>
      <c r="H38" s="38">
        <f t="shared" si="16"/>
        <v>49.74</v>
      </c>
      <c r="J38" s="38">
        <f t="shared" si="17"/>
        <v>23.67</v>
      </c>
      <c r="K38" s="38"/>
      <c r="L38" s="393">
        <f t="shared" si="18"/>
        <v>0.90794016110471809</v>
      </c>
      <c r="N38">
        <v>26.07</v>
      </c>
      <c r="P38">
        <v>49.74</v>
      </c>
      <c r="R38">
        <f t="shared" ref="R38:R42" si="19">P38-N38</f>
        <v>23.67</v>
      </c>
      <c r="T38">
        <f t="shared" ref="T38:T42" si="20">R38/N38</f>
        <v>0.90794016110471809</v>
      </c>
    </row>
    <row r="39" spans="1:20" x14ac:dyDescent="0.4">
      <c r="A39" s="36"/>
      <c r="C39" t="s">
        <v>3337</v>
      </c>
      <c r="F39" s="38">
        <f t="shared" si="15"/>
        <v>98.89</v>
      </c>
      <c r="H39" s="38">
        <f t="shared" si="16"/>
        <v>96.300000000000011</v>
      </c>
      <c r="J39" s="38">
        <f t="shared" si="17"/>
        <v>-2.5899999999999892</v>
      </c>
      <c r="K39" s="38"/>
      <c r="L39" s="393">
        <f t="shared" si="18"/>
        <v>-2.6190716958236316E-2</v>
      </c>
      <c r="N39">
        <v>98.89</v>
      </c>
      <c r="P39">
        <v>96.3</v>
      </c>
      <c r="R39">
        <f t="shared" si="19"/>
        <v>-2.5900000000000034</v>
      </c>
      <c r="T39">
        <f t="shared" si="20"/>
        <v>-2.6190716958236458E-2</v>
      </c>
    </row>
    <row r="40" spans="1:20" x14ac:dyDescent="0.4">
      <c r="A40" s="36"/>
      <c r="C40" t="s">
        <v>3338</v>
      </c>
      <c r="F40" s="38">
        <f t="shared" si="15"/>
        <v>125.86</v>
      </c>
      <c r="H40" s="38">
        <f t="shared" si="16"/>
        <v>148.68</v>
      </c>
      <c r="J40" s="38">
        <f t="shared" si="17"/>
        <v>22.820000000000007</v>
      </c>
      <c r="K40" s="38"/>
      <c r="L40" s="393">
        <f t="shared" si="18"/>
        <v>0.18131256952169084</v>
      </c>
      <c r="N40">
        <v>125.86</v>
      </c>
      <c r="P40">
        <v>148.68</v>
      </c>
      <c r="R40">
        <f t="shared" si="19"/>
        <v>22.820000000000007</v>
      </c>
      <c r="T40">
        <f t="shared" si="20"/>
        <v>0.18131256952169084</v>
      </c>
    </row>
    <row r="41" spans="1:20" x14ac:dyDescent="0.4">
      <c r="A41" s="36"/>
      <c r="C41" t="s">
        <v>453</v>
      </c>
      <c r="F41" s="38">
        <f t="shared" si="15"/>
        <v>188.79</v>
      </c>
      <c r="H41" s="38">
        <f t="shared" si="16"/>
        <v>294.18</v>
      </c>
      <c r="J41" s="38">
        <f t="shared" si="17"/>
        <v>105.39000000000001</v>
      </c>
      <c r="K41" s="38"/>
      <c r="L41" s="393">
        <f t="shared" si="18"/>
        <v>0.55823931352296208</v>
      </c>
      <c r="N41">
        <v>188.79</v>
      </c>
      <c r="P41">
        <v>294.18</v>
      </c>
      <c r="R41">
        <f t="shared" si="19"/>
        <v>105.39000000000001</v>
      </c>
      <c r="T41">
        <f t="shared" si="20"/>
        <v>0.55823931352296208</v>
      </c>
    </row>
    <row r="42" spans="1:20" x14ac:dyDescent="0.4">
      <c r="A42" s="36"/>
      <c r="C42" t="s">
        <v>3508</v>
      </c>
      <c r="F42" s="38">
        <f t="shared" si="15"/>
        <v>8.99</v>
      </c>
      <c r="H42" s="38">
        <f t="shared" si="16"/>
        <v>8.9499999999999993</v>
      </c>
      <c r="J42" s="38">
        <f t="shared" si="17"/>
        <v>-4.0000000000000924E-2</v>
      </c>
      <c r="K42" s="38"/>
      <c r="L42" s="393">
        <f t="shared" si="18"/>
        <v>-4.4493882091213481E-3</v>
      </c>
      <c r="N42">
        <v>8.99</v>
      </c>
      <c r="P42">
        <v>8.9499999999999993</v>
      </c>
      <c r="R42">
        <f t="shared" si="19"/>
        <v>-4.0000000000000924E-2</v>
      </c>
      <c r="T42">
        <f t="shared" si="20"/>
        <v>-4.4493882091213481E-3</v>
      </c>
    </row>
    <row r="43" spans="1:20" x14ac:dyDescent="0.4">
      <c r="A43" s="36"/>
      <c r="J43" s="38"/>
      <c r="K43" s="38"/>
      <c r="L43" s="393"/>
    </row>
    <row r="44" spans="1:20" x14ac:dyDescent="0.4">
      <c r="A44" s="36"/>
      <c r="B44" t="s">
        <v>3577</v>
      </c>
      <c r="F44" s="366">
        <f>D19</f>
        <v>1.1480000000000001E-2</v>
      </c>
      <c r="G44" s="366"/>
      <c r="H44" s="366">
        <f>H19</f>
        <v>1.4710000000000001E-2</v>
      </c>
      <c r="I44" s="366"/>
      <c r="J44" s="366">
        <f t="shared" si="17"/>
        <v>3.2300000000000002E-3</v>
      </c>
      <c r="L44" s="393">
        <f t="shared" si="18"/>
        <v>0.28135888501742162</v>
      </c>
      <c r="N44">
        <v>1.1480000000000001E-2</v>
      </c>
      <c r="P44">
        <v>1.4710000000000001E-2</v>
      </c>
      <c r="R44">
        <f>P44-N44</f>
        <v>3.2300000000000002E-3</v>
      </c>
      <c r="T44">
        <f>R44/N44</f>
        <v>0.28135888501742162</v>
      </c>
    </row>
    <row r="45" spans="1:20" x14ac:dyDescent="0.4">
      <c r="A45" s="36"/>
      <c r="F45" s="366"/>
      <c r="G45" s="366"/>
      <c r="H45" s="366"/>
      <c r="I45" s="366"/>
      <c r="J45" s="366"/>
      <c r="L45" s="393"/>
    </row>
    <row r="46" spans="1:20" x14ac:dyDescent="0.4">
      <c r="A46" s="397" t="s">
        <v>3579</v>
      </c>
      <c r="B46" s="27"/>
      <c r="C46" s="27"/>
      <c r="L46" s="37"/>
    </row>
    <row r="47" spans="1:20" x14ac:dyDescent="0.4">
      <c r="A47" s="397"/>
      <c r="B47" s="27" t="s">
        <v>3581</v>
      </c>
      <c r="C47" s="27"/>
      <c r="F47" s="38">
        <v>0</v>
      </c>
      <c r="G47" s="38"/>
      <c r="H47" s="38">
        <v>0</v>
      </c>
      <c r="I47" s="38"/>
      <c r="J47" s="38">
        <f>F47-H47</f>
        <v>0</v>
      </c>
      <c r="L47" s="398" t="s">
        <v>3580</v>
      </c>
    </row>
    <row r="48" spans="1:20" x14ac:dyDescent="0.4">
      <c r="A48" s="397"/>
      <c r="B48" s="27"/>
      <c r="C48" s="27"/>
      <c r="L48" s="37"/>
    </row>
    <row r="49" spans="1:24" x14ac:dyDescent="0.4">
      <c r="A49" s="36"/>
      <c r="B49" t="s">
        <v>3582</v>
      </c>
      <c r="L49" s="37"/>
    </row>
    <row r="50" spans="1:24" x14ac:dyDescent="0.4">
      <c r="A50" s="36"/>
      <c r="C50" t="str">
        <f>C22</f>
        <v>City of Elkhorn</v>
      </c>
      <c r="F50" s="366">
        <f>D25</f>
        <v>4.5199999999999997E-3</v>
      </c>
      <c r="G50" s="366"/>
      <c r="H50" s="366">
        <f>H22</f>
        <v>5.13E-3</v>
      </c>
      <c r="I50" s="366"/>
      <c r="J50" s="366">
        <f>H50-F50</f>
        <v>6.100000000000003E-4</v>
      </c>
      <c r="L50" s="393">
        <f>J50/F50</f>
        <v>0.13495575221238945</v>
      </c>
      <c r="N50">
        <v>4.5199999999999997E-3</v>
      </c>
      <c r="P50">
        <v>5.13E-3</v>
      </c>
      <c r="R50">
        <f>P50-N50</f>
        <v>6.100000000000003E-4</v>
      </c>
      <c r="T50">
        <f>R50/N50</f>
        <v>0.13495575221238945</v>
      </c>
    </row>
    <row r="51" spans="1:24" x14ac:dyDescent="0.4">
      <c r="A51" s="36"/>
      <c r="C51" t="str">
        <f>C23</f>
        <v>Mingo County Public Service District</v>
      </c>
      <c r="F51" s="236">
        <f>F50</f>
        <v>4.5199999999999997E-3</v>
      </c>
      <c r="H51" s="236">
        <f>H50</f>
        <v>5.13E-3</v>
      </c>
      <c r="J51" s="366">
        <f t="shared" ref="J51:J53" si="21">H51-F51</f>
        <v>6.100000000000003E-4</v>
      </c>
      <c r="L51" s="393">
        <f t="shared" ref="L51:L53" si="22">J51/F51</f>
        <v>0.13495575221238945</v>
      </c>
    </row>
    <row r="52" spans="1:24" x14ac:dyDescent="0.4">
      <c r="A52" s="36"/>
      <c r="C52" t="str">
        <f>C24</f>
        <v>Martin County Water District</v>
      </c>
      <c r="F52" s="236">
        <f>F51</f>
        <v>4.5199999999999997E-3</v>
      </c>
      <c r="H52" s="236">
        <f t="shared" ref="H52:H53" si="23">H51</f>
        <v>5.13E-3</v>
      </c>
      <c r="J52" s="366">
        <f t="shared" si="21"/>
        <v>6.100000000000003E-4</v>
      </c>
      <c r="L52" s="393">
        <f t="shared" si="22"/>
        <v>0.13495575221238945</v>
      </c>
    </row>
    <row r="53" spans="1:24" x14ac:dyDescent="0.4">
      <c r="A53" s="40"/>
      <c r="B53" s="41"/>
      <c r="C53" s="41" t="str">
        <f>C25</f>
        <v>Jenkins Utilities</v>
      </c>
      <c r="D53" s="41"/>
      <c r="E53" s="41"/>
      <c r="F53" s="238">
        <f>F52</f>
        <v>4.5199999999999997E-3</v>
      </c>
      <c r="G53" s="41"/>
      <c r="H53" s="238">
        <f t="shared" si="23"/>
        <v>5.13E-3</v>
      </c>
      <c r="I53" s="41"/>
      <c r="J53" s="353">
        <f t="shared" si="21"/>
        <v>6.100000000000003E-4</v>
      </c>
      <c r="K53" s="41"/>
      <c r="L53" s="399">
        <f t="shared" si="22"/>
        <v>0.13495575221238945</v>
      </c>
    </row>
    <row r="56" spans="1:24" x14ac:dyDescent="0.4">
      <c r="G56" s="396"/>
      <c r="H56" s="376"/>
      <c r="I56" s="376"/>
      <c r="J56" s="376"/>
      <c r="K56" s="376"/>
      <c r="L56" s="376"/>
      <c r="M56" s="376"/>
      <c r="N56" s="376" t="s">
        <v>3511</v>
      </c>
      <c r="O56" s="376"/>
      <c r="P56" s="376"/>
      <c r="Q56" s="376"/>
      <c r="R56" s="376"/>
      <c r="S56" s="376"/>
      <c r="T56" s="376"/>
      <c r="U56" s="376"/>
      <c r="V56" s="395"/>
    </row>
    <row r="57" spans="1:24" x14ac:dyDescent="0.4">
      <c r="G57" s="36"/>
      <c r="N57" s="2" t="s">
        <v>3403</v>
      </c>
      <c r="O57" s="2"/>
      <c r="P57" s="2"/>
      <c r="Q57" s="2"/>
      <c r="R57" s="2"/>
      <c r="V57" s="37"/>
    </row>
    <row r="58" spans="1:24" x14ac:dyDescent="0.4">
      <c r="G58" s="36"/>
      <c r="N58" s="2" t="s">
        <v>3583</v>
      </c>
      <c r="O58" s="2"/>
      <c r="P58" s="400" t="s">
        <v>3509</v>
      </c>
      <c r="Q58" s="400"/>
      <c r="R58" s="400"/>
      <c r="T58" s="400" t="s">
        <v>21</v>
      </c>
      <c r="U58" s="400"/>
      <c r="V58" s="417"/>
    </row>
    <row r="59" spans="1:24" x14ac:dyDescent="0.4">
      <c r="G59" s="36"/>
      <c r="N59" s="21" t="s">
        <v>3584</v>
      </c>
      <c r="O59" s="2"/>
      <c r="P59" s="21" t="s">
        <v>3394</v>
      </c>
      <c r="Q59" s="2"/>
      <c r="R59" s="21" t="s">
        <v>3510</v>
      </c>
      <c r="T59" s="21" t="s">
        <v>22</v>
      </c>
      <c r="V59" s="392" t="s">
        <v>23</v>
      </c>
    </row>
    <row r="60" spans="1:24" x14ac:dyDescent="0.4">
      <c r="G60" s="36"/>
      <c r="V60" s="37"/>
    </row>
    <row r="61" spans="1:24" x14ac:dyDescent="0.4">
      <c r="G61" s="394" t="s">
        <v>3585</v>
      </c>
      <c r="V61" s="37"/>
    </row>
    <row r="62" spans="1:24" x14ac:dyDescent="0.4">
      <c r="G62" s="36"/>
      <c r="H62" t="s">
        <v>3354</v>
      </c>
      <c r="N62" s="35">
        <f>N11</f>
        <v>3116.9483503338961</v>
      </c>
      <c r="P62" s="66">
        <f>P11</f>
        <v>44.772567061833129</v>
      </c>
      <c r="R62" s="66">
        <f>R11</f>
        <v>54.800310233411608</v>
      </c>
      <c r="T62" s="66">
        <f>R62-P62</f>
        <v>10.027743171578479</v>
      </c>
      <c r="U62" s="66"/>
      <c r="V62" s="393">
        <f>T62/P62</f>
        <v>0.22397069968603028</v>
      </c>
      <c r="X62" s="281">
        <f>V11</f>
        <v>0.22397069968603028</v>
      </c>
    </row>
    <row r="63" spans="1:24" x14ac:dyDescent="0.4">
      <c r="G63" s="36"/>
      <c r="H63" t="s">
        <v>258</v>
      </c>
      <c r="N63" s="35">
        <f t="shared" ref="N63:N68" si="24">N12</f>
        <v>9575.2392117780291</v>
      </c>
      <c r="P63" s="38">
        <f>P12</f>
        <v>122.51374615121178</v>
      </c>
      <c r="R63" s="38">
        <f>R12</f>
        <v>158.5817688052548</v>
      </c>
      <c r="T63" s="38">
        <f t="shared" ref="T63:T68" si="25">R63-P63</f>
        <v>36.06802265404302</v>
      </c>
      <c r="U63" s="38"/>
      <c r="V63" s="393">
        <f t="shared" ref="V63:V68" si="26">T63/P63</f>
        <v>0.29439980236606511</v>
      </c>
      <c r="X63" s="281">
        <f t="shared" ref="X63:X68" si="27">V12</f>
        <v>0.29439980236606511</v>
      </c>
    </row>
    <row r="64" spans="1:24" x14ac:dyDescent="0.4">
      <c r="G64" s="36"/>
      <c r="H64" t="s">
        <v>452</v>
      </c>
      <c r="N64" s="35">
        <f t="shared" si="24"/>
        <v>33182.429140649147</v>
      </c>
      <c r="P64" s="38">
        <f t="shared" ref="P64:R68" si="28">P13</f>
        <v>407.00428653465224</v>
      </c>
      <c r="R64" s="38">
        <f t="shared" si="28"/>
        <v>537.85353265894901</v>
      </c>
      <c r="T64" s="38">
        <f t="shared" si="25"/>
        <v>130.84924612429677</v>
      </c>
      <c r="U64" s="38"/>
      <c r="V64" s="393">
        <f t="shared" si="26"/>
        <v>0.32149353324600993</v>
      </c>
      <c r="X64" s="281">
        <f t="shared" si="27"/>
        <v>0.32149353324600993</v>
      </c>
    </row>
    <row r="65" spans="7:24" x14ac:dyDescent="0.4">
      <c r="G65" s="36"/>
      <c r="H65" t="s">
        <v>3337</v>
      </c>
      <c r="N65" s="35">
        <f t="shared" si="24"/>
        <v>57591.948675925931</v>
      </c>
      <c r="P65" s="38">
        <f t="shared" si="28"/>
        <v>760.04557079962967</v>
      </c>
      <c r="R65" s="38">
        <f t="shared" si="28"/>
        <v>943.47756502287052</v>
      </c>
      <c r="T65" s="38">
        <f t="shared" si="25"/>
        <v>183.43199422324085</v>
      </c>
      <c r="U65" s="38"/>
      <c r="V65" s="393">
        <f t="shared" si="26"/>
        <v>0.24134341580368068</v>
      </c>
      <c r="X65" s="281">
        <f t="shared" si="27"/>
        <v>0.24134341580368068</v>
      </c>
    </row>
    <row r="66" spans="7:24" x14ac:dyDescent="0.4">
      <c r="G66" s="36"/>
      <c r="H66" t="s">
        <v>3338</v>
      </c>
      <c r="N66" s="35">
        <f t="shared" si="24"/>
        <v>134403.85105729167</v>
      </c>
      <c r="P66" s="38">
        <f t="shared" si="28"/>
        <v>1668.8162101377084</v>
      </c>
      <c r="R66" s="38">
        <f t="shared" si="28"/>
        <v>2125.7606490527605</v>
      </c>
      <c r="T66" s="38">
        <f t="shared" si="25"/>
        <v>456.94443891505216</v>
      </c>
      <c r="U66" s="38"/>
      <c r="V66" s="393">
        <f t="shared" si="26"/>
        <v>0.27381351891191524</v>
      </c>
      <c r="X66" s="281">
        <f t="shared" si="27"/>
        <v>0.27381351891191524</v>
      </c>
    </row>
    <row r="67" spans="7:24" x14ac:dyDescent="0.4">
      <c r="G67" s="36"/>
      <c r="H67" t="s">
        <v>453</v>
      </c>
      <c r="N67" s="35">
        <f t="shared" si="24"/>
        <v>49943.305781250005</v>
      </c>
      <c r="P67" s="38">
        <f t="shared" si="28"/>
        <v>762.13915036875005</v>
      </c>
      <c r="R67" s="38">
        <f t="shared" si="28"/>
        <v>1028.8460280421875</v>
      </c>
      <c r="T67" s="38">
        <f t="shared" si="25"/>
        <v>266.70687767343748</v>
      </c>
      <c r="U67" s="38"/>
      <c r="V67" s="393">
        <f t="shared" si="26"/>
        <v>0.34994512162824226</v>
      </c>
      <c r="X67" s="281">
        <f t="shared" si="27"/>
        <v>0.34994512162824226</v>
      </c>
    </row>
    <row r="68" spans="7:24" x14ac:dyDescent="0.4">
      <c r="G68" s="36" t="s">
        <v>3508</v>
      </c>
      <c r="N68" s="35">
        <f t="shared" si="24"/>
        <v>3025.8925295434196</v>
      </c>
      <c r="P68" s="38">
        <f t="shared" si="28"/>
        <v>43.727246239158461</v>
      </c>
      <c r="R68" s="38">
        <f t="shared" si="28"/>
        <v>53.460879109583701</v>
      </c>
      <c r="T68" s="38">
        <f t="shared" si="25"/>
        <v>9.7336328704252395</v>
      </c>
      <c r="U68" s="38"/>
      <c r="V68" s="393">
        <f t="shared" si="26"/>
        <v>0.22259880755327813</v>
      </c>
      <c r="X68" s="281">
        <f t="shared" si="27"/>
        <v>0.22259880755327813</v>
      </c>
    </row>
    <row r="69" spans="7:24" x14ac:dyDescent="0.4">
      <c r="G69" s="36"/>
      <c r="V69" s="37"/>
    </row>
    <row r="70" spans="7:24" x14ac:dyDescent="0.4">
      <c r="G70" s="394" t="s">
        <v>3586</v>
      </c>
      <c r="H70" s="270"/>
      <c r="V70" s="37"/>
    </row>
    <row r="71" spans="7:24" x14ac:dyDescent="0.4">
      <c r="G71" s="36"/>
      <c r="H71" t="str">
        <f>C50</f>
        <v>City of Elkhorn</v>
      </c>
      <c r="N71" s="26">
        <f>N22</f>
        <v>5118583.333333333</v>
      </c>
      <c r="P71" s="275">
        <f>P22</f>
        <v>23135.996666666662</v>
      </c>
      <c r="Q71" s="275"/>
      <c r="R71" s="275">
        <f>R22</f>
        <v>26258.332499999997</v>
      </c>
      <c r="S71" s="275"/>
      <c r="T71" s="275">
        <f>R71-P71</f>
        <v>3122.3358333333344</v>
      </c>
      <c r="U71" s="38"/>
      <c r="V71" s="393">
        <f t="shared" ref="V71:V72" si="29">T71/P71</f>
        <v>0.13495575221238945</v>
      </c>
    </row>
    <row r="72" spans="7:24" x14ac:dyDescent="0.4">
      <c r="G72" s="36"/>
      <c r="H72" t="str">
        <f>C51</f>
        <v>Mingo County Public Service District</v>
      </c>
      <c r="N72" s="26">
        <f>N23</f>
        <v>169200</v>
      </c>
      <c r="P72" s="38">
        <f>P23</f>
        <v>764.78399999999999</v>
      </c>
      <c r="Q72" s="38"/>
      <c r="R72" s="38">
        <f>R23</f>
        <v>867.99599999999998</v>
      </c>
      <c r="S72" s="38"/>
      <c r="T72" s="38">
        <f t="shared" ref="T72" si="30">R72-P72</f>
        <v>103.21199999999999</v>
      </c>
      <c r="U72" s="38"/>
      <c r="V72" s="393">
        <f t="shared" si="29"/>
        <v>0.13495575221238937</v>
      </c>
    </row>
    <row r="73" spans="7:24" x14ac:dyDescent="0.4">
      <c r="G73" s="36"/>
      <c r="H73" t="str">
        <f>C52</f>
        <v>Martin County Water District</v>
      </c>
      <c r="N73" s="26">
        <f>N24</f>
        <v>0</v>
      </c>
      <c r="P73" s="38">
        <f>P24</f>
        <v>0</v>
      </c>
      <c r="Q73" s="38"/>
      <c r="R73" s="38"/>
      <c r="S73" s="38"/>
      <c r="T73" s="38"/>
      <c r="U73" s="38"/>
      <c r="V73" s="393"/>
    </row>
    <row r="74" spans="7:24" x14ac:dyDescent="0.4">
      <c r="G74" s="40"/>
      <c r="H74" s="41" t="str">
        <f>C53</f>
        <v>Jenkins Utilities</v>
      </c>
      <c r="I74" s="41"/>
      <c r="J74" s="41"/>
      <c r="K74" s="41"/>
      <c r="L74" s="41"/>
      <c r="M74" s="41"/>
      <c r="N74" s="10">
        <f>N25</f>
        <v>0</v>
      </c>
      <c r="O74" s="41"/>
      <c r="P74" s="60">
        <f>P25</f>
        <v>0</v>
      </c>
      <c r="Q74" s="60"/>
      <c r="R74" s="60"/>
      <c r="S74" s="60"/>
      <c r="T74" s="60"/>
      <c r="U74" s="41"/>
      <c r="V74" s="288"/>
    </row>
  </sheetData>
  <mergeCells count="16">
    <mergeCell ref="F32:H32"/>
    <mergeCell ref="J32:L32"/>
    <mergeCell ref="P58:R58"/>
    <mergeCell ref="T58:V58"/>
    <mergeCell ref="A33:C33"/>
    <mergeCell ref="A9:C9"/>
    <mergeCell ref="A21:C21"/>
    <mergeCell ref="J6:L6"/>
    <mergeCell ref="A31:L31"/>
    <mergeCell ref="A1:V1"/>
    <mergeCell ref="A2:V2"/>
    <mergeCell ref="A3:V3"/>
    <mergeCell ref="T7:V7"/>
    <mergeCell ref="P7:R7"/>
    <mergeCell ref="J7:L7"/>
    <mergeCell ref="N5:V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473D8-FC93-41AD-BF82-6A80E17D0161}">
  <dimension ref="A1:AE135"/>
  <sheetViews>
    <sheetView showGridLines="0" workbookViewId="0">
      <selection activeCell="P94" sqref="P94"/>
    </sheetView>
  </sheetViews>
  <sheetFormatPr defaultColWidth="8.83203125" defaultRowHeight="16" x14ac:dyDescent="0.4"/>
  <cols>
    <col min="1" max="1" width="2.1640625" style="8" customWidth="1"/>
    <col min="2" max="2" width="2.33203125" style="8" customWidth="1"/>
    <col min="3" max="3" width="1.6640625" style="8" customWidth="1"/>
    <col min="4" max="4" width="8.83203125" style="8"/>
    <col min="5" max="5" width="16.58203125" style="8" customWidth="1"/>
    <col min="6" max="6" width="13.6640625" style="8" bestFit="1" customWidth="1"/>
    <col min="7" max="7" width="0.9140625" style="8" customWidth="1"/>
    <col min="8" max="8" width="18.33203125" style="8" customWidth="1"/>
    <col min="9" max="9" width="0.9140625" style="8" customWidth="1"/>
    <col min="10" max="10" width="5.6640625" style="8" bestFit="1" customWidth="1"/>
    <col min="11" max="11" width="0.9140625" style="8" customWidth="1"/>
    <col min="12" max="12" width="14.6640625" style="8" bestFit="1" customWidth="1"/>
    <col min="13" max="13" width="11.08203125" style="8" bestFit="1" customWidth="1"/>
    <col min="14" max="15" width="13.9140625" style="8" customWidth="1"/>
    <col min="16" max="16" width="11.08203125" style="8" customWidth="1"/>
    <col min="17" max="17" width="1" style="8" customWidth="1"/>
    <col min="18" max="18" width="12.08203125" style="8" bestFit="1" customWidth="1"/>
    <col min="19" max="19" width="0.9140625" style="8" customWidth="1"/>
    <col min="20" max="20" width="15.1640625" style="8" bestFit="1" customWidth="1"/>
    <col min="21" max="21" width="0.9140625" style="8" customWidth="1"/>
    <col min="22" max="22" width="12.08203125" style="8" bestFit="1" customWidth="1"/>
    <col min="23" max="23" width="0.9140625" style="8" customWidth="1"/>
    <col min="24" max="24" width="12.08203125" style="8" bestFit="1" customWidth="1"/>
    <col min="25" max="25" width="0.9140625" style="8" customWidth="1"/>
    <col min="26" max="26" width="14.1640625" style="8" bestFit="1" customWidth="1"/>
    <col min="27" max="27" width="0.9140625" style="8" customWidth="1"/>
    <col min="28" max="28" width="13.6640625" style="8" bestFit="1" customWidth="1"/>
    <col min="29" max="29" width="10.9140625" style="8" bestFit="1" customWidth="1"/>
    <col min="30" max="30" width="10.08203125" style="8" bestFit="1" customWidth="1"/>
    <col min="31" max="35" width="8.83203125" style="8"/>
    <col min="36" max="36" width="11.58203125" style="8" customWidth="1"/>
    <col min="37" max="41" width="8.83203125" style="8"/>
    <col min="42" max="42" width="13.1640625" style="8" customWidth="1"/>
    <col min="43" max="43" width="5.6640625" style="8" customWidth="1"/>
    <col min="44" max="44" width="8.83203125" style="8"/>
    <col min="45" max="45" width="0.9140625" style="8" customWidth="1"/>
    <col min="46" max="46" width="8.83203125" style="8"/>
    <col min="47" max="47" width="0.9140625" style="8" customWidth="1"/>
    <col min="48" max="16384" width="8.83203125" style="8"/>
  </cols>
  <sheetData>
    <row r="1" spans="1:13" x14ac:dyDescent="0.4">
      <c r="A1" s="419" t="s">
        <v>208</v>
      </c>
      <c r="B1" s="419"/>
      <c r="C1" s="419"/>
      <c r="D1" s="419"/>
      <c r="E1" s="419"/>
      <c r="F1" s="419"/>
      <c r="G1" s="419"/>
      <c r="H1" s="419"/>
      <c r="I1" s="419"/>
      <c r="J1" s="419"/>
      <c r="K1" s="419"/>
      <c r="L1" s="419"/>
    </row>
    <row r="2" spans="1:13" x14ac:dyDescent="0.4">
      <c r="A2" s="419"/>
      <c r="B2" s="419"/>
      <c r="C2" s="419"/>
      <c r="D2" s="419"/>
      <c r="E2" s="419"/>
      <c r="F2" s="419"/>
      <c r="G2" s="419"/>
      <c r="H2" s="419"/>
      <c r="I2" s="419"/>
      <c r="J2" s="419"/>
      <c r="K2" s="419"/>
      <c r="L2" s="419"/>
    </row>
    <row r="3" spans="1:13" x14ac:dyDescent="0.4">
      <c r="A3" s="409" t="s">
        <v>209</v>
      </c>
      <c r="B3" s="409"/>
      <c r="C3" s="409"/>
      <c r="D3" s="409"/>
      <c r="E3" s="409"/>
      <c r="F3" s="409"/>
      <c r="G3" s="409"/>
      <c r="H3" s="409"/>
      <c r="I3" s="409"/>
      <c r="J3" s="409"/>
      <c r="K3" s="409"/>
      <c r="L3" s="409"/>
    </row>
    <row r="4" spans="1:13" x14ac:dyDescent="0.4">
      <c r="A4" s="409" t="s">
        <v>210</v>
      </c>
      <c r="B4" s="409"/>
      <c r="C4" s="409"/>
      <c r="D4" s="409"/>
      <c r="E4" s="409"/>
      <c r="F4" s="409"/>
      <c r="G4" s="409"/>
      <c r="H4" s="409"/>
      <c r="I4" s="409"/>
      <c r="J4" s="409"/>
      <c r="K4" s="409"/>
      <c r="L4" s="409"/>
    </row>
    <row r="5" spans="1:13" x14ac:dyDescent="0.4">
      <c r="A5" s="409" t="s">
        <v>542</v>
      </c>
      <c r="B5" s="409"/>
      <c r="C5" s="409"/>
      <c r="D5" s="409"/>
      <c r="E5" s="409"/>
      <c r="F5" s="409"/>
      <c r="G5" s="409"/>
      <c r="H5" s="409"/>
      <c r="I5" s="409"/>
      <c r="J5" s="409"/>
      <c r="K5" s="409"/>
      <c r="L5" s="409"/>
    </row>
    <row r="6" spans="1:13" x14ac:dyDescent="0.4">
      <c r="G6" s="23"/>
      <c r="H6" s="23"/>
      <c r="I6" s="23"/>
      <c r="J6" s="23"/>
      <c r="K6" s="23"/>
      <c r="L6" s="23"/>
    </row>
    <row r="7" spans="1:13" x14ac:dyDescent="0.4">
      <c r="F7" s="22" t="s">
        <v>177</v>
      </c>
      <c r="G7" s="23"/>
      <c r="H7" s="22" t="s">
        <v>32</v>
      </c>
      <c r="I7" s="23"/>
      <c r="J7" s="22" t="s">
        <v>211</v>
      </c>
      <c r="K7" s="23"/>
      <c r="L7" s="22" t="s">
        <v>179</v>
      </c>
    </row>
    <row r="8" spans="1:13" x14ac:dyDescent="0.4">
      <c r="A8" s="8" t="s">
        <v>2615</v>
      </c>
    </row>
    <row r="9" spans="1:13" x14ac:dyDescent="0.4">
      <c r="B9" s="8" t="s">
        <v>2616</v>
      </c>
    </row>
    <row r="10" spans="1:13" x14ac:dyDescent="0.4">
      <c r="C10" s="8" t="s">
        <v>224</v>
      </c>
      <c r="F10" s="108">
        <v>10046503.880000001</v>
      </c>
      <c r="H10" s="9">
        <v>43497.3</v>
      </c>
      <c r="J10" s="8" t="s">
        <v>220</v>
      </c>
    </row>
    <row r="11" spans="1:13" x14ac:dyDescent="0.4">
      <c r="H11" s="8">
        <v>-10410.98</v>
      </c>
      <c r="J11" s="8" t="s">
        <v>221</v>
      </c>
    </row>
    <row r="12" spans="1:13" x14ac:dyDescent="0.4">
      <c r="H12" s="8">
        <v>-233892.79</v>
      </c>
      <c r="J12" s="8" t="s">
        <v>222</v>
      </c>
    </row>
    <row r="13" spans="1:13" x14ac:dyDescent="0.4">
      <c r="H13" s="8">
        <v>-94982</v>
      </c>
      <c r="J13" s="8" t="s">
        <v>291</v>
      </c>
    </row>
    <row r="14" spans="1:13" x14ac:dyDescent="0.4">
      <c r="J14" s="8" t="s">
        <v>297</v>
      </c>
      <c r="M14" s="8">
        <f>SUM(F10:H14)</f>
        <v>9750715.410000002</v>
      </c>
    </row>
    <row r="15" spans="1:13" x14ac:dyDescent="0.4">
      <c r="H15" s="8">
        <f>'Rev-Water'!F167</f>
        <v>29343.971034612507</v>
      </c>
      <c r="J15" s="8" t="s">
        <v>298</v>
      </c>
      <c r="M15" s="8">
        <f>SUM(F10:H15)</f>
        <v>9780059.3810346145</v>
      </c>
    </row>
    <row r="16" spans="1:13" x14ac:dyDescent="0.4">
      <c r="H16" s="8">
        <f>'Rev-Water'!H220</f>
        <v>-78786.773952210322</v>
      </c>
      <c r="J16" s="8" t="s">
        <v>299</v>
      </c>
      <c r="L16" s="9">
        <f>SUM(F10:H16)</f>
        <v>9701272.6070824042</v>
      </c>
    </row>
    <row r="17" spans="1:27" x14ac:dyDescent="0.4">
      <c r="C17" s="8" t="s">
        <v>3407</v>
      </c>
      <c r="F17" s="10">
        <v>-374435.81</v>
      </c>
      <c r="H17" s="10">
        <f>-H13</f>
        <v>94982</v>
      </c>
      <c r="J17" s="8" t="str">
        <f>J13</f>
        <v>(D)</v>
      </c>
      <c r="L17" s="10">
        <f>F17+H17</f>
        <v>-279453.81</v>
      </c>
      <c r="N17" s="8" t="s">
        <v>290</v>
      </c>
    </row>
    <row r="18" spans="1:27" x14ac:dyDescent="0.4">
      <c r="C18" s="8" t="s">
        <v>3431</v>
      </c>
      <c r="F18" s="8">
        <f>SUM(F10:F17)</f>
        <v>9672068.0700000003</v>
      </c>
      <c r="H18" s="8">
        <f>SUM(H10:H17)</f>
        <v>-250249.27291759779</v>
      </c>
      <c r="L18" s="8">
        <f>SUM(L10:L17)</f>
        <v>9421818.7970824037</v>
      </c>
    </row>
    <row r="20" spans="1:27" x14ac:dyDescent="0.4">
      <c r="C20" s="8" t="s">
        <v>225</v>
      </c>
      <c r="F20" s="110">
        <f>'Rev-Water'!AK139</f>
        <v>307222.46999999991</v>
      </c>
      <c r="H20" s="26">
        <f>'Rev-Water'!E233</f>
        <v>-20413.101999999955</v>
      </c>
      <c r="J20" s="67" t="s">
        <v>308</v>
      </c>
      <c r="L20" s="8">
        <f>F20+H20</f>
        <v>286809.36799999996</v>
      </c>
    </row>
    <row r="21" spans="1:27" x14ac:dyDescent="0.4">
      <c r="C21" s="8" t="s">
        <v>3407</v>
      </c>
      <c r="F21" s="10">
        <v>-100805</v>
      </c>
      <c r="H21" s="10">
        <f>100805</f>
        <v>100805</v>
      </c>
      <c r="J21" s="67" t="s">
        <v>315</v>
      </c>
      <c r="L21" s="10">
        <f>F21+H21</f>
        <v>0</v>
      </c>
      <c r="N21" s="8" t="s">
        <v>290</v>
      </c>
    </row>
    <row r="22" spans="1:27" x14ac:dyDescent="0.4">
      <c r="H22" s="26"/>
      <c r="J22" s="67"/>
    </row>
    <row r="23" spans="1:27" x14ac:dyDescent="0.4">
      <c r="B23" s="8" t="s">
        <v>226</v>
      </c>
      <c r="F23" s="10">
        <f>SUM(F18:F22)</f>
        <v>9878485.540000001</v>
      </c>
      <c r="H23" s="10">
        <f>SUM(H18:H22)</f>
        <v>-169857.37491759774</v>
      </c>
      <c r="J23" s="67"/>
      <c r="L23" s="10">
        <f>SUM(L18:L22)</f>
        <v>9708628.1650824044</v>
      </c>
    </row>
    <row r="24" spans="1:27" x14ac:dyDescent="0.4">
      <c r="F24" s="26"/>
      <c r="H24" s="26"/>
      <c r="L24" s="26"/>
    </row>
    <row r="25" spans="1:27" x14ac:dyDescent="0.4">
      <c r="B25" s="8" t="s">
        <v>2617</v>
      </c>
    </row>
    <row r="26" spans="1:27" x14ac:dyDescent="0.4">
      <c r="C26" s="8" t="s">
        <v>316</v>
      </c>
      <c r="F26" s="8">
        <v>1463</v>
      </c>
      <c r="L26" s="8">
        <f>F26+H26</f>
        <v>1463</v>
      </c>
    </row>
    <row r="27" spans="1:27" x14ac:dyDescent="0.4">
      <c r="C27" s="8" t="s">
        <v>318</v>
      </c>
      <c r="F27" s="8">
        <v>220135</v>
      </c>
      <c r="H27" s="8">
        <f>'Other Rev'!E18</f>
        <v>-41746.01871409567</v>
      </c>
      <c r="J27" s="8" t="s">
        <v>317</v>
      </c>
      <c r="L27" s="8">
        <f>F27+H27</f>
        <v>178388.98128590433</v>
      </c>
    </row>
    <row r="28" spans="1:27" x14ac:dyDescent="0.4">
      <c r="C28" s="8" t="s">
        <v>232</v>
      </c>
      <c r="F28" s="10">
        <v>118420</v>
      </c>
      <c r="H28" s="10">
        <f>'Other Rev'!G37</f>
        <v>-3242.4730215827335</v>
      </c>
      <c r="J28" s="8" t="s">
        <v>455</v>
      </c>
      <c r="L28" s="10">
        <f>F28+H28</f>
        <v>115177.52697841727</v>
      </c>
    </row>
    <row r="29" spans="1:27" x14ac:dyDescent="0.4">
      <c r="P29" s="359"/>
      <c r="Q29" s="359"/>
      <c r="R29" s="359"/>
      <c r="S29" s="359"/>
      <c r="T29" s="359"/>
      <c r="U29" s="359"/>
      <c r="V29" s="359"/>
      <c r="W29" s="359"/>
      <c r="X29" s="359"/>
      <c r="Y29" s="359"/>
      <c r="Z29" s="359"/>
      <c r="AA29" s="359"/>
    </row>
    <row r="30" spans="1:27" x14ac:dyDescent="0.4">
      <c r="B30" s="8" t="s">
        <v>190</v>
      </c>
      <c r="F30" s="10">
        <f>SUM(F26:F29)</f>
        <v>340018</v>
      </c>
      <c r="H30" s="10">
        <f>SUM(H26:H29)</f>
        <v>-44988.491735678406</v>
      </c>
      <c r="L30" s="10">
        <f>SUM(L26:L29)</f>
        <v>295029.5082643216</v>
      </c>
      <c r="P30" s="359"/>
      <c r="Q30" s="359"/>
      <c r="R30" s="359"/>
      <c r="S30" s="359"/>
      <c r="T30" s="359"/>
      <c r="U30" s="359"/>
      <c r="V30" s="359"/>
      <c r="W30" s="359"/>
      <c r="X30" s="359"/>
      <c r="Y30" s="359"/>
      <c r="Z30" s="359"/>
      <c r="AA30" s="359"/>
    </row>
    <row r="31" spans="1:27" x14ac:dyDescent="0.4">
      <c r="P31" s="359"/>
      <c r="Q31" s="359"/>
      <c r="R31" s="359"/>
      <c r="S31" s="359"/>
      <c r="T31" s="359"/>
      <c r="U31" s="359"/>
      <c r="V31" s="359"/>
      <c r="W31" s="359"/>
      <c r="X31" s="359"/>
      <c r="Y31" s="359"/>
      <c r="Z31" s="359"/>
      <c r="AA31" s="359"/>
    </row>
    <row r="32" spans="1:27" x14ac:dyDescent="0.4">
      <c r="A32" s="8" t="s">
        <v>191</v>
      </c>
      <c r="F32" s="10">
        <f>F23+F30</f>
        <v>10218503.540000001</v>
      </c>
      <c r="H32" s="10">
        <f>H23+H30</f>
        <v>-214845.86665327614</v>
      </c>
      <c r="L32" s="10">
        <f>L23+L30</f>
        <v>10003657.673346726</v>
      </c>
      <c r="M32" s="8">
        <v>10218504</v>
      </c>
    </row>
    <row r="33" spans="1:30" x14ac:dyDescent="0.4">
      <c r="P33" s="23" t="s">
        <v>462</v>
      </c>
      <c r="Q33" s="23"/>
      <c r="R33" s="23"/>
      <c r="S33" s="23"/>
      <c r="T33" s="23" t="s">
        <v>464</v>
      </c>
      <c r="U33" s="23"/>
      <c r="V33" s="23" t="s">
        <v>3385</v>
      </c>
      <c r="W33" s="23"/>
      <c r="X33" s="23" t="s">
        <v>461</v>
      </c>
      <c r="Y33" s="23"/>
      <c r="Z33" s="23"/>
    </row>
    <row r="34" spans="1:30" x14ac:dyDescent="0.4">
      <c r="A34" s="8" t="s">
        <v>2618</v>
      </c>
      <c r="P34" s="22" t="s">
        <v>463</v>
      </c>
      <c r="Q34" s="23"/>
      <c r="R34" s="22" t="s">
        <v>459</v>
      </c>
      <c r="S34" s="23"/>
      <c r="T34" s="22" t="s">
        <v>465</v>
      </c>
      <c r="U34" s="23"/>
      <c r="V34" s="22" t="s">
        <v>2590</v>
      </c>
      <c r="W34" s="23"/>
      <c r="X34" s="22" t="s">
        <v>466</v>
      </c>
      <c r="Y34" s="23"/>
      <c r="Z34" s="22" t="s">
        <v>467</v>
      </c>
      <c r="AB34" s="22" t="s">
        <v>25</v>
      </c>
    </row>
    <row r="35" spans="1:30" x14ac:dyDescent="0.4">
      <c r="B35" s="8" t="s">
        <v>2619</v>
      </c>
    </row>
    <row r="36" spans="1:30" x14ac:dyDescent="0.4">
      <c r="C36" s="8" t="s">
        <v>246</v>
      </c>
      <c r="F36" s="8">
        <v>2585307</v>
      </c>
      <c r="H36" s="8">
        <f>-H48</f>
        <v>-41447.83</v>
      </c>
      <c r="J36" s="8" t="s">
        <v>456</v>
      </c>
      <c r="AC36" s="8">
        <f>L36-AB36</f>
        <v>0</v>
      </c>
    </row>
    <row r="37" spans="1:30" x14ac:dyDescent="0.4">
      <c r="H37" s="8">
        <f>'Wages, Bene Pro forma, Temp Emp'!G21</f>
        <v>172983.29144023499</v>
      </c>
      <c r="J37" s="8" t="s">
        <v>457</v>
      </c>
      <c r="L37" s="8">
        <f>F36+H36+H37</f>
        <v>2716842.4614402349</v>
      </c>
      <c r="R37" s="9">
        <f>'Wages, Bene Pro forma, Temp Emp'!V201</f>
        <v>359333.01429639547</v>
      </c>
      <c r="S37" s="9"/>
      <c r="T37" s="9">
        <f>'Wages, Bene Pro forma, Temp Emp'!W201</f>
        <v>1423993.0371256422</v>
      </c>
      <c r="U37" s="9"/>
      <c r="V37" s="9">
        <f>'Wages, Bene Pro forma, Temp Emp'!X201</f>
        <v>242876.3523538181</v>
      </c>
      <c r="W37" s="9"/>
      <c r="X37" s="9">
        <f>'Wages, Bene Pro forma, Temp Emp'!Y201</f>
        <v>189647.75033597415</v>
      </c>
      <c r="Y37" s="9"/>
      <c r="Z37" s="9">
        <f>'Wages, Bene Pro forma, Temp Emp'!Z201</f>
        <v>500992.30732840544</v>
      </c>
      <c r="AA37" s="9"/>
      <c r="AB37" s="9">
        <f t="shared" ref="AB37:AB73" si="0">SUM(P37:AA37)</f>
        <v>2716842.4614402349</v>
      </c>
      <c r="AC37" s="8">
        <f>L37-AB37</f>
        <v>0</v>
      </c>
    </row>
    <row r="38" spans="1:30" x14ac:dyDescent="0.4">
      <c r="C38" s="8" t="s">
        <v>245</v>
      </c>
      <c r="F38" s="8">
        <v>30000</v>
      </c>
      <c r="H38" s="8">
        <f>'Wages, Bene Pro forma, Temp Emp'!G32</f>
        <v>-3579.7254487856371</v>
      </c>
      <c r="J38" s="8" t="s">
        <v>2719</v>
      </c>
      <c r="L38" s="8">
        <f>F38+H38</f>
        <v>26420.274551214363</v>
      </c>
      <c r="Z38" s="8">
        <f>L38</f>
        <v>26420.274551214363</v>
      </c>
      <c r="AB38" s="8">
        <f t="shared" si="0"/>
        <v>26420.274551214363</v>
      </c>
      <c r="AC38" s="8">
        <f>L38-AB38</f>
        <v>0</v>
      </c>
    </row>
    <row r="39" spans="1:30" x14ac:dyDescent="0.4">
      <c r="C39" s="8" t="s">
        <v>247</v>
      </c>
      <c r="F39" s="8">
        <v>1195786</v>
      </c>
      <c r="H39" s="8">
        <f>'Wages, Bene Pro forma, Temp Emp'!AU196</f>
        <v>123593.5874522212</v>
      </c>
      <c r="J39" s="8" t="s">
        <v>2720</v>
      </c>
      <c r="AB39" s="8">
        <f t="shared" si="0"/>
        <v>0</v>
      </c>
    </row>
    <row r="40" spans="1:30" x14ac:dyDescent="0.4">
      <c r="H40" s="8">
        <f>'Wages, Bene Pro forma, Temp Emp'!BG204</f>
        <v>-103264.7587320524</v>
      </c>
      <c r="J40" s="8" t="s">
        <v>2721</v>
      </c>
      <c r="L40" s="8">
        <f>F39+H39+H40</f>
        <v>1216114.8287201687</v>
      </c>
      <c r="R40" s="8">
        <f>'Wages, Bene Pro forma, Temp Emp'!AY186+'Wages, Bene Pro forma, Temp Emp'!AY199</f>
        <v>159615.35890427319</v>
      </c>
      <c r="T40" s="8">
        <f>'Wages, Bene Pro forma, Temp Emp'!BA186+'Wages, Bene Pro forma, Temp Emp'!BA199</f>
        <v>641549.43144246691</v>
      </c>
      <c r="V40" s="8">
        <f>'Wages, Bene Pro forma, Temp Emp'!BC186+'Wages, Bene Pro forma, Temp Emp'!BC199</f>
        <v>107885.4283017219</v>
      </c>
      <c r="X40" s="8">
        <f>'Wages, Bene Pro forma, Temp Emp'!BE186+'Wages, Bene Pro forma, Temp Emp'!BE199</f>
        <v>84241.337508430966</v>
      </c>
      <c r="Z40" s="8">
        <f>'Wages, Bene Pro forma, Temp Emp'!BG186+'Wages, Bene Pro forma, Temp Emp'!BG199+282</f>
        <v>222822.27256327588</v>
      </c>
      <c r="AB40" s="8">
        <f>SUM(P40:AA40)</f>
        <v>1216113.8287201687</v>
      </c>
      <c r="AC40" s="8">
        <f t="shared" ref="AC40:AC60" si="1">L40-AB40</f>
        <v>1</v>
      </c>
      <c r="AD40" s="8" t="s">
        <v>2732</v>
      </c>
    </row>
    <row r="41" spans="1:30" x14ac:dyDescent="0.4">
      <c r="C41" s="8" t="s">
        <v>2628</v>
      </c>
      <c r="AB41" s="8">
        <f t="shared" si="0"/>
        <v>0</v>
      </c>
      <c r="AC41" s="8">
        <f t="shared" si="1"/>
        <v>0</v>
      </c>
    </row>
    <row r="42" spans="1:30" x14ac:dyDescent="0.4">
      <c r="D42" s="8" t="s">
        <v>2630</v>
      </c>
      <c r="F42" s="8">
        <v>239035</v>
      </c>
      <c r="H42" s="8">
        <f>-'Purch Pow. Water Loss'!D40</f>
        <v>-239034.88190826113</v>
      </c>
      <c r="J42" s="8" t="s">
        <v>2731</v>
      </c>
      <c r="L42" s="8">
        <f>F42+H42</f>
        <v>0.11809173887013458</v>
      </c>
      <c r="AB42" s="8">
        <f t="shared" si="0"/>
        <v>0</v>
      </c>
      <c r="AC42" s="8">
        <f t="shared" si="1"/>
        <v>0.11809173887013458</v>
      </c>
    </row>
    <row r="43" spans="1:30" x14ac:dyDescent="0.4">
      <c r="D43" s="8" t="s">
        <v>557</v>
      </c>
      <c r="F43" s="8">
        <f>'Purch Pow. Water Loss'!F32</f>
        <v>12248.214316885658</v>
      </c>
      <c r="H43" s="8">
        <f>-'Purch Pow. Water Loss'!O40</f>
        <v>-1461.5081497445401</v>
      </c>
      <c r="J43" s="8" t="str">
        <f>J42</f>
        <v>(Q)</v>
      </c>
      <c r="L43" s="8">
        <f>F43+H43</f>
        <v>10786.706167141117</v>
      </c>
      <c r="Z43" s="8">
        <f>L43</f>
        <v>10786.706167141117</v>
      </c>
      <c r="AB43" s="8">
        <f t="shared" si="0"/>
        <v>10786.706167141117</v>
      </c>
      <c r="AC43" s="8">
        <f t="shared" si="1"/>
        <v>0</v>
      </c>
    </row>
    <row r="44" spans="1:30" x14ac:dyDescent="0.4">
      <c r="D44" s="8" t="s">
        <v>514</v>
      </c>
      <c r="F44" s="8">
        <v>98832</v>
      </c>
      <c r="H44" s="8">
        <f>'Purch Pow. Water Loss'!Y25</f>
        <v>-13431.2688</v>
      </c>
      <c r="J44" s="8" t="s">
        <v>2734</v>
      </c>
      <c r="L44" s="8">
        <f t="shared" ref="L44:L45" si="2">F44+H44</f>
        <v>85400.731199999995</v>
      </c>
      <c r="R44" s="8">
        <f>L44</f>
        <v>85400.731199999995</v>
      </c>
      <c r="AB44" s="8">
        <f t="shared" si="0"/>
        <v>85400.731199999995</v>
      </c>
      <c r="AC44" s="8">
        <f t="shared" si="1"/>
        <v>0</v>
      </c>
    </row>
    <row r="45" spans="1:30" x14ac:dyDescent="0.4">
      <c r="D45" s="8" t="s">
        <v>2629</v>
      </c>
      <c r="F45" s="8">
        <v>1165559</v>
      </c>
      <c r="H45" s="8">
        <f>'Purch Pow. Water Loss'!Y26</f>
        <v>-158399.4681</v>
      </c>
      <c r="J45" s="8" t="str">
        <f>J44</f>
        <v>(R)</v>
      </c>
      <c r="L45" s="8">
        <f t="shared" si="2"/>
        <v>1007159.5319000001</v>
      </c>
      <c r="T45" s="8">
        <f>L45</f>
        <v>1007159.5319000001</v>
      </c>
      <c r="AB45" s="8">
        <f t="shared" si="0"/>
        <v>1007159.5319000001</v>
      </c>
      <c r="AC45" s="8">
        <f t="shared" si="1"/>
        <v>0</v>
      </c>
    </row>
    <row r="46" spans="1:30" x14ac:dyDescent="0.4">
      <c r="C46" s="8" t="s">
        <v>214</v>
      </c>
      <c r="F46" s="8">
        <v>1080267</v>
      </c>
      <c r="H46" s="8">
        <f>'Purch Pow. Water Loss'!Y27</f>
        <v>-146808.28529999999</v>
      </c>
      <c r="J46" s="8" t="str">
        <f>J45</f>
        <v>(R)</v>
      </c>
      <c r="L46" s="8">
        <f>F46+H46</f>
        <v>933458.71470000001</v>
      </c>
      <c r="P46" s="8">
        <f>L46</f>
        <v>933458.71470000001</v>
      </c>
      <c r="AB46" s="8">
        <f t="shared" si="0"/>
        <v>933458.71470000001</v>
      </c>
      <c r="AC46" s="8">
        <f t="shared" si="1"/>
        <v>0</v>
      </c>
    </row>
    <row r="47" spans="1:30" x14ac:dyDescent="0.4">
      <c r="C47" s="8" t="s">
        <v>194</v>
      </c>
      <c r="F47" s="8">
        <v>204263</v>
      </c>
      <c r="H47" s="8">
        <f>'Purch Pow. Water Loss'!Y28</f>
        <v>-27759.341699999997</v>
      </c>
      <c r="J47" s="8" t="str">
        <f>J46</f>
        <v>(R)</v>
      </c>
      <c r="L47" s="8">
        <f t="shared" ref="L47:L60" si="3">F47+H47</f>
        <v>176503.65830000001</v>
      </c>
      <c r="R47" s="8">
        <f>L47</f>
        <v>176503.65830000001</v>
      </c>
      <c r="AB47" s="8">
        <f t="shared" si="0"/>
        <v>176503.65830000001</v>
      </c>
      <c r="AC47" s="8">
        <f t="shared" si="1"/>
        <v>0</v>
      </c>
    </row>
    <row r="48" spans="1:30" x14ac:dyDescent="0.4">
      <c r="C48" s="8" t="s">
        <v>195</v>
      </c>
      <c r="F48" s="8">
        <v>1146310</v>
      </c>
      <c r="H48" s="8">
        <f>'New Connections Wage Cap Rate'!G27</f>
        <v>41447.83</v>
      </c>
      <c r="J48" s="8" t="str">
        <f>J36</f>
        <v>(L)</v>
      </c>
      <c r="L48" s="8">
        <f t="shared" si="3"/>
        <v>1187757.83</v>
      </c>
      <c r="R48" s="8">
        <f>'Materials and Supplies'!J20</f>
        <v>124215.00586680617</v>
      </c>
      <c r="T48" s="8">
        <f>'Materials and Supplies'!L20</f>
        <v>931854.07128066127</v>
      </c>
      <c r="V48" s="8">
        <f>'Materials and Supplies'!N20</f>
        <v>131689.75285253246</v>
      </c>
      <c r="AB48" s="8">
        <f t="shared" si="0"/>
        <v>1187758.83</v>
      </c>
      <c r="AC48" s="8">
        <f t="shared" si="1"/>
        <v>-1</v>
      </c>
    </row>
    <row r="49" spans="3:31" x14ac:dyDescent="0.4">
      <c r="C49" s="8" t="s">
        <v>240</v>
      </c>
      <c r="F49" s="8">
        <v>4618</v>
      </c>
      <c r="H49" s="8">
        <f>-F49</f>
        <v>-4618</v>
      </c>
      <c r="J49" s="8" t="s">
        <v>2788</v>
      </c>
      <c r="L49" s="8">
        <f t="shared" si="3"/>
        <v>0</v>
      </c>
      <c r="AB49" s="8">
        <f t="shared" si="0"/>
        <v>0</v>
      </c>
      <c r="AC49" s="8">
        <f t="shared" si="1"/>
        <v>0</v>
      </c>
    </row>
    <row r="50" spans="3:31" x14ac:dyDescent="0.4">
      <c r="C50" s="8" t="s">
        <v>241</v>
      </c>
      <c r="F50" s="8">
        <v>76189</v>
      </c>
      <c r="H50" s="8">
        <f>'Acct.RateCase,PSCFees,IntIn,Bad'!AE19</f>
        <v>-9091.1900739176344</v>
      </c>
      <c r="J50" s="8" t="s">
        <v>2805</v>
      </c>
      <c r="L50" s="8">
        <f t="shared" si="3"/>
        <v>67097.809926082366</v>
      </c>
      <c r="Z50" s="8">
        <f>L50</f>
        <v>67097.809926082366</v>
      </c>
      <c r="AB50" s="8">
        <f t="shared" si="0"/>
        <v>67097.809926082366</v>
      </c>
      <c r="AC50" s="8">
        <f t="shared" si="1"/>
        <v>0</v>
      </c>
    </row>
    <row r="51" spans="3:31" x14ac:dyDescent="0.4">
      <c r="C51" s="8" t="s">
        <v>242</v>
      </c>
      <c r="F51" s="8">
        <v>25288</v>
      </c>
      <c r="H51" s="8">
        <f>-'Acct.RateCase,PSCFees,IntIn,Bad'!H16</f>
        <v>-14787.2</v>
      </c>
      <c r="J51" s="8" t="s">
        <v>2837</v>
      </c>
      <c r="L51" s="8">
        <f t="shared" si="3"/>
        <v>10500.8</v>
      </c>
      <c r="Z51" s="8">
        <f>L51</f>
        <v>10500.8</v>
      </c>
      <c r="AB51" s="8">
        <f t="shared" si="0"/>
        <v>10500.8</v>
      </c>
      <c r="AC51" s="8">
        <f t="shared" si="1"/>
        <v>0</v>
      </c>
    </row>
    <row r="52" spans="3:31" x14ac:dyDescent="0.4">
      <c r="C52" s="8" t="s">
        <v>243</v>
      </c>
      <c r="F52" s="8">
        <v>65995</v>
      </c>
      <c r="L52" s="8">
        <f t="shared" si="3"/>
        <v>65995</v>
      </c>
      <c r="R52" s="8">
        <f>L52</f>
        <v>65995</v>
      </c>
      <c r="AB52" s="8">
        <f t="shared" si="0"/>
        <v>65995</v>
      </c>
      <c r="AC52" s="8">
        <f t="shared" si="1"/>
        <v>0</v>
      </c>
      <c r="AE52" s="8">
        <f>SUM(AB50:AB53)</f>
        <v>248229.65320258937</v>
      </c>
    </row>
    <row r="53" spans="3:31" x14ac:dyDescent="0.4">
      <c r="C53" s="8" t="s">
        <v>244</v>
      </c>
      <c r="F53" s="8">
        <v>111637</v>
      </c>
      <c r="H53" s="8">
        <f>-'Wages, Bene Pro forma, Temp Emp'!AQ12</f>
        <v>-7000.9567234930182</v>
      </c>
      <c r="J53" s="8" t="s">
        <v>2838</v>
      </c>
      <c r="L53" s="8">
        <f t="shared" si="3"/>
        <v>104636.04327650699</v>
      </c>
      <c r="R53" s="8">
        <f>'Wages, Bene Pro forma, Temp Emp'!AW12</f>
        <v>2533.0151650261159</v>
      </c>
      <c r="T53" s="8">
        <f>'Wages, Bene Pro forma, Temp Emp'!AY12</f>
        <v>37150.012891996063</v>
      </c>
      <c r="V53" s="8">
        <f>'Wages, Bene Pro forma, Temp Emp'!BA12</f>
        <v>17301.11</v>
      </c>
      <c r="X53" s="8">
        <f>'Wages, Bene Pro forma, Temp Emp'!BC12</f>
        <v>13576.928556338029</v>
      </c>
      <c r="Z53" s="8">
        <f>'Wages, Bene Pro forma, Temp Emp'!BE12</f>
        <v>34074.976663146779</v>
      </c>
      <c r="AB53" s="8">
        <f t="shared" si="0"/>
        <v>104636.04327650699</v>
      </c>
      <c r="AC53" s="8">
        <f t="shared" si="1"/>
        <v>0</v>
      </c>
    </row>
    <row r="54" spans="3:31" x14ac:dyDescent="0.4">
      <c r="C54" s="8" t="s">
        <v>196</v>
      </c>
      <c r="F54" s="8">
        <v>198153</v>
      </c>
      <c r="H54" s="8">
        <f>-Transportaion!W27</f>
        <v>-31716.872028589383</v>
      </c>
      <c r="J54" s="8" t="s">
        <v>3257</v>
      </c>
      <c r="L54" s="8">
        <f t="shared" si="3"/>
        <v>166436.12797141061</v>
      </c>
      <c r="R54" s="8">
        <f>Transportaion!O27</f>
        <v>10448.396234325015</v>
      </c>
      <c r="T54" s="8">
        <f>Transportaion!Q27</f>
        <v>112015.87154136662</v>
      </c>
      <c r="V54" s="8">
        <f>Transportaion!S27</f>
        <v>36388.038180441676</v>
      </c>
      <c r="Z54" s="8">
        <f>Transportaion!U27</f>
        <v>7583.8220152773092</v>
      </c>
      <c r="AB54" s="8">
        <f t="shared" si="0"/>
        <v>166436.12797141063</v>
      </c>
      <c r="AC54" s="8">
        <f t="shared" si="1"/>
        <v>0</v>
      </c>
    </row>
    <row r="55" spans="3:31" x14ac:dyDescent="0.4">
      <c r="C55" s="8" t="s">
        <v>197</v>
      </c>
      <c r="F55" s="8">
        <v>152393</v>
      </c>
      <c r="H55" s="8">
        <f>-'General &amp; Workers Comp Ins'!F8</f>
        <v>-18184.170010559661</v>
      </c>
      <c r="J55" s="8" t="s">
        <v>3258</v>
      </c>
      <c r="L55" s="8">
        <f t="shared" si="3"/>
        <v>134208.82998944033</v>
      </c>
      <c r="R55" s="8">
        <f>'General &amp; Workers Comp Ins'!N12</f>
        <v>11992.420306264825</v>
      </c>
      <c r="T55" s="8">
        <f>'General &amp; Workers Comp Ins'!P12</f>
        <v>103499.16181858879</v>
      </c>
      <c r="V55" s="8">
        <f>'General &amp; Workers Comp Ins'!R12</f>
        <v>17760.809665746121</v>
      </c>
      <c r="X55" s="8">
        <f>'General &amp; Workers Comp Ins'!T12</f>
        <v>56.752069812842507</v>
      </c>
      <c r="Z55" s="8">
        <f>'General &amp; Workers Comp Ins'!V12</f>
        <v>899.68612902774282</v>
      </c>
      <c r="AB55" s="8">
        <f t="shared" si="0"/>
        <v>134208.82998944033</v>
      </c>
      <c r="AC55" s="8">
        <f t="shared" si="1"/>
        <v>0</v>
      </c>
    </row>
    <row r="56" spans="3:31" x14ac:dyDescent="0.4">
      <c r="C56" s="8" t="s">
        <v>239</v>
      </c>
      <c r="F56" s="8">
        <v>58854</v>
      </c>
      <c r="H56" s="8">
        <f>-'General &amp; Workers Comp Ins'!V25</f>
        <v>-10011.817049780351</v>
      </c>
      <c r="J56" s="8" t="s">
        <v>3259</v>
      </c>
      <c r="L56" s="8">
        <f t="shared" si="3"/>
        <v>48842.182950219649</v>
      </c>
      <c r="R56" s="8">
        <f>'General &amp; Workers Comp Ins'!L25</f>
        <v>6346.8472462944146</v>
      </c>
      <c r="T56" s="8">
        <f>'General &amp; Workers Comp Ins'!N25</f>
        <v>26006.769887349554</v>
      </c>
      <c r="V56" s="8">
        <f>'General &amp; Workers Comp Ins'!P25</f>
        <v>4289.8900095368317</v>
      </c>
      <c r="X56" s="8">
        <f>'General &amp; Workers Comp Ins'!R25</f>
        <v>3349.7208831275552</v>
      </c>
      <c r="Z56" s="8">
        <f>'General &amp; Workers Comp Ins'!T25</f>
        <v>8848.9549239112912</v>
      </c>
      <c r="AB56" s="8">
        <f>SUM(P56:AA56)</f>
        <v>48842.182950219649</v>
      </c>
      <c r="AC56" s="8">
        <f t="shared" si="1"/>
        <v>0</v>
      </c>
    </row>
    <row r="57" spans="3:31" x14ac:dyDescent="0.4">
      <c r="C57" s="8" t="s">
        <v>2736</v>
      </c>
      <c r="H57" s="8">
        <f>'Acct.RateCase,PSCFees,IntIn,Bad'!H34</f>
        <v>60206.063695881727</v>
      </c>
      <c r="J57" s="8" t="s">
        <v>3260</v>
      </c>
      <c r="AB57" s="8">
        <f t="shared" ref="AB57:AB58" si="4">SUM(P57:AA57)</f>
        <v>0</v>
      </c>
      <c r="AC57" s="8">
        <f t="shared" si="1"/>
        <v>0</v>
      </c>
    </row>
    <row r="58" spans="3:31" x14ac:dyDescent="0.4">
      <c r="H58" s="8">
        <f>'Acct.RateCase,PSCFees,IntIn,Bad'!Q60</f>
        <v>18806.758183738119</v>
      </c>
      <c r="J58" s="8" t="s">
        <v>3267</v>
      </c>
      <c r="L58" s="8">
        <f>SUM(F57:H58)</f>
        <v>79012.821879619849</v>
      </c>
      <c r="Z58" s="8">
        <f>L58</f>
        <v>79012.821879619849</v>
      </c>
      <c r="AB58" s="8">
        <f t="shared" si="4"/>
        <v>79012.821879619849</v>
      </c>
      <c r="AC58" s="8">
        <f t="shared" si="1"/>
        <v>0</v>
      </c>
    </row>
    <row r="59" spans="3:31" x14ac:dyDescent="0.4">
      <c r="C59" s="8" t="s">
        <v>198</v>
      </c>
      <c r="F59" s="8">
        <v>3268</v>
      </c>
      <c r="L59" s="8">
        <f t="shared" si="3"/>
        <v>3268</v>
      </c>
      <c r="Z59" s="8">
        <f>L59</f>
        <v>3268</v>
      </c>
      <c r="AB59" s="8">
        <f t="shared" si="0"/>
        <v>3268</v>
      </c>
      <c r="AC59" s="8">
        <f t="shared" si="1"/>
        <v>0</v>
      </c>
    </row>
    <row r="60" spans="3:31" x14ac:dyDescent="0.4">
      <c r="C60" s="8" t="s">
        <v>199</v>
      </c>
      <c r="F60" s="8">
        <v>35418</v>
      </c>
      <c r="H60" s="8">
        <f>-'Acct.RateCase,PSCFees,IntIn,Bad'!AA64</f>
        <v>-6475.6400492198263</v>
      </c>
      <c r="J60" s="8" t="s">
        <v>3268</v>
      </c>
      <c r="L60" s="8">
        <f t="shared" si="3"/>
        <v>28942.359950780174</v>
      </c>
      <c r="X60" s="8">
        <f>L60</f>
        <v>28942.359950780174</v>
      </c>
      <c r="AB60" s="8">
        <f t="shared" si="0"/>
        <v>28942.359950780174</v>
      </c>
      <c r="AC60" s="8">
        <f t="shared" si="1"/>
        <v>0</v>
      </c>
    </row>
    <row r="61" spans="3:31" x14ac:dyDescent="0.4">
      <c r="C61" s="8" t="s">
        <v>200</v>
      </c>
      <c r="F61" s="8">
        <v>456356</v>
      </c>
      <c r="H61" s="8">
        <f>-'Acct.RateCase,PSCFees,IntIn,Bad'!L21</f>
        <v>-18281.75</v>
      </c>
      <c r="J61" s="8" t="str">
        <f>J51</f>
        <v>(U)</v>
      </c>
    </row>
    <row r="62" spans="3:31" x14ac:dyDescent="0.4">
      <c r="H62" s="8">
        <f>-'Acct.RateCase,PSCFees,IntIn,Bad'!AA30</f>
        <v>-3809.7849138469828</v>
      </c>
      <c r="J62" s="8" t="s">
        <v>3269</v>
      </c>
    </row>
    <row r="63" spans="3:31" x14ac:dyDescent="0.4">
      <c r="F63" s="10"/>
      <c r="H63" s="10">
        <f>-Misc!F12</f>
        <v>-47713.563885955649</v>
      </c>
      <c r="J63" s="8" t="s">
        <v>3273</v>
      </c>
      <c r="L63" s="10">
        <f>SUM(F61:H63)</f>
        <v>386550.90120019735</v>
      </c>
      <c r="T63" s="8">
        <v>22721.27</v>
      </c>
      <c r="X63" s="8">
        <f>Misc!D10</f>
        <v>255034.02956705386</v>
      </c>
      <c r="Z63" s="8">
        <f>L63-T63-X63</f>
        <v>108795.60163314347</v>
      </c>
      <c r="AB63" s="8">
        <f t="shared" si="0"/>
        <v>386550.90120019729</v>
      </c>
      <c r="AC63" s="8">
        <f>L63-AB63</f>
        <v>0</v>
      </c>
    </row>
    <row r="64" spans="3:31" x14ac:dyDescent="0.4">
      <c r="T64" s="8" t="s">
        <v>2845</v>
      </c>
      <c r="AB64" s="8">
        <f t="shared" si="0"/>
        <v>0</v>
      </c>
      <c r="AC64" s="8">
        <f>L64-AB64</f>
        <v>0</v>
      </c>
    </row>
    <row r="65" spans="1:31" x14ac:dyDescent="0.4">
      <c r="A65" s="409" t="s">
        <v>3408</v>
      </c>
      <c r="B65" s="409"/>
      <c r="C65" s="409"/>
      <c r="D65" s="409"/>
      <c r="E65" s="409"/>
      <c r="F65" s="409"/>
      <c r="G65" s="409"/>
      <c r="H65" s="409"/>
      <c r="I65" s="409"/>
      <c r="J65" s="409"/>
      <c r="K65" s="409"/>
      <c r="L65" s="409"/>
    </row>
    <row r="66" spans="1:31" x14ac:dyDescent="0.4">
      <c r="A66" s="409" t="s">
        <v>210</v>
      </c>
      <c r="B66" s="409"/>
      <c r="C66" s="409"/>
      <c r="D66" s="409"/>
      <c r="E66" s="409"/>
      <c r="F66" s="409"/>
      <c r="G66" s="409"/>
      <c r="H66" s="409"/>
      <c r="I66" s="409"/>
      <c r="J66" s="409"/>
      <c r="K66" s="409"/>
      <c r="L66" s="409"/>
    </row>
    <row r="67" spans="1:31" x14ac:dyDescent="0.4">
      <c r="A67" s="409" t="s">
        <v>542</v>
      </c>
      <c r="B67" s="409"/>
      <c r="C67" s="409"/>
      <c r="D67" s="409"/>
      <c r="E67" s="409"/>
      <c r="F67" s="409"/>
      <c r="G67" s="409"/>
      <c r="H67" s="409"/>
      <c r="I67" s="409"/>
      <c r="J67" s="409"/>
      <c r="K67" s="409"/>
      <c r="L67" s="409"/>
    </row>
    <row r="69" spans="1:31" x14ac:dyDescent="0.4">
      <c r="B69" s="8" t="s">
        <v>201</v>
      </c>
      <c r="F69" s="8">
        <f>SUM(F36:F64)</f>
        <v>8945776.2143168859</v>
      </c>
      <c r="H69" s="8">
        <f>SUM(H36:H64)</f>
        <v>-489840.48210213013</v>
      </c>
      <c r="L69" s="8">
        <f>SUM(L37:L64)</f>
        <v>8455935.7322147563</v>
      </c>
      <c r="AB69" s="8">
        <f t="shared" si="0"/>
        <v>0</v>
      </c>
      <c r="AC69" s="8">
        <f>L69-AB69</f>
        <v>8455935.7322147563</v>
      </c>
      <c r="AD69" s="8">
        <f>SUM(AB37:AB69)</f>
        <v>8455935.6141230166</v>
      </c>
      <c r="AE69" s="8">
        <f>AC69-AD69</f>
        <v>0.11809173971414566</v>
      </c>
    </row>
    <row r="70" spans="1:31" x14ac:dyDescent="0.4">
      <c r="B70" s="8" t="s">
        <v>202</v>
      </c>
      <c r="F70" s="8">
        <v>3051489</v>
      </c>
      <c r="H70" s="26">
        <f>'Depreciation Water'!J18</f>
        <v>-458881.80296920665</v>
      </c>
      <c r="J70" s="8" t="s">
        <v>3274</v>
      </c>
      <c r="AB70" s="8">
        <f t="shared" si="0"/>
        <v>0</v>
      </c>
      <c r="AC70" s="8">
        <f>L70-AB70</f>
        <v>0</v>
      </c>
    </row>
    <row r="71" spans="1:31" x14ac:dyDescent="0.4">
      <c r="H71" s="26">
        <f>'Depreciation Water'!Q11</f>
        <v>284336.8131199989</v>
      </c>
      <c r="J71" s="8" t="s">
        <v>3275</v>
      </c>
    </row>
    <row r="72" spans="1:31" x14ac:dyDescent="0.4">
      <c r="H72" s="8">
        <f>-'Depreciation Water'!Y1114</f>
        <v>-1635.9319447377684</v>
      </c>
      <c r="J72" s="8" t="s">
        <v>3277</v>
      </c>
      <c r="L72" s="8">
        <f>F70+H70+H71+H72</f>
        <v>2875308.0782060544</v>
      </c>
      <c r="R72" s="8">
        <f>'Depreciation Water'!U18</f>
        <v>265561.18956382904</v>
      </c>
      <c r="T72" s="8">
        <f>'Depreciation Water'!W18</f>
        <v>2049282.4536570762</v>
      </c>
      <c r="V72" s="8">
        <f>'Depreciation Water'!Y18</f>
        <v>531264.16884129564</v>
      </c>
      <c r="X72" s="8">
        <f>'Depreciation Water'!AA18</f>
        <v>8857.4076114044346</v>
      </c>
      <c r="Z72" s="8">
        <f>'Depreciation Water'!AC18</f>
        <v>20342.888532449204</v>
      </c>
      <c r="AB72" s="8">
        <f>SUM(P72:AA72)</f>
        <v>2875308.1082060547</v>
      </c>
      <c r="AC72" s="8">
        <f>L72-AB72</f>
        <v>-3.0000000260770321E-2</v>
      </c>
    </row>
    <row r="73" spans="1:31" x14ac:dyDescent="0.4">
      <c r="B73" s="8" t="s">
        <v>203</v>
      </c>
      <c r="F73" s="10">
        <v>205770</v>
      </c>
      <c r="H73" s="10">
        <f>'Wages, Bene Pro forma, Temp Emp'!BG230</f>
        <v>5771.4981578839361</v>
      </c>
      <c r="J73" s="8" t="s">
        <v>3278</v>
      </c>
      <c r="L73" s="10">
        <f>F73+H73</f>
        <v>211541.49815788394</v>
      </c>
      <c r="R73" s="8">
        <f>'Wages, Bene Pro forma, Temp Emp'!AY225</f>
        <v>27488.975593674251</v>
      </c>
      <c r="T73" s="8">
        <f>'Wages, Bene Pro forma, Temp Emp'!BA225</f>
        <v>112638.51719781755</v>
      </c>
      <c r="V73" s="8">
        <f>'Wages, Bene Pro forma, Temp Emp'!BC225</f>
        <v>18580.040955067085</v>
      </c>
      <c r="X73" s="8">
        <f>'Wages, Bene Pro forma, Temp Emp'!BE225</f>
        <v>14508.052900702023</v>
      </c>
      <c r="Z73" s="8">
        <f>'Wages, Bene Pro forma, Temp Emp'!BG225</f>
        <v>38325.911510623017</v>
      </c>
      <c r="AB73" s="8">
        <f t="shared" si="0"/>
        <v>211541.49815788394</v>
      </c>
      <c r="AC73" s="8">
        <f>L73-AB73</f>
        <v>0</v>
      </c>
    </row>
    <row r="75" spans="1:31" x14ac:dyDescent="0.4">
      <c r="A75" s="8" t="s">
        <v>204</v>
      </c>
      <c r="F75" s="10">
        <f>SUM(F69:F74)</f>
        <v>12203035.214316886</v>
      </c>
      <c r="H75" s="10">
        <f>SUM(H69:H74)</f>
        <v>-660249.90573819168</v>
      </c>
      <c r="L75" s="10">
        <f>SUM(L69:L74)</f>
        <v>11542785.308578694</v>
      </c>
      <c r="M75" s="8">
        <v>12203035</v>
      </c>
      <c r="P75" s="8">
        <f>SUM(P36:P74)</f>
        <v>933458.71470000001</v>
      </c>
      <c r="R75" s="8">
        <f>SUM(R36:R74)</f>
        <v>1295433.6126768882</v>
      </c>
      <c r="T75" s="8">
        <f>SUM(T36:T74)</f>
        <v>6467870.1287429649</v>
      </c>
      <c r="V75" s="8">
        <f>SUM(V36:V74)</f>
        <v>1108035.59116016</v>
      </c>
      <c r="X75" s="8">
        <f>SUM(X36:X74)</f>
        <v>598214.33938362391</v>
      </c>
      <c r="Z75" s="8">
        <f>SUM(Z36:Z74)</f>
        <v>1139772.8338233179</v>
      </c>
      <c r="AB75" s="8">
        <f>SUM(AB36:AB74)</f>
        <v>11542785.220486954</v>
      </c>
    </row>
    <row r="76" spans="1:31" x14ac:dyDescent="0.4">
      <c r="M76" s="8">
        <v>3440</v>
      </c>
      <c r="N76" s="8" t="s">
        <v>544</v>
      </c>
    </row>
    <row r="77" spans="1:31" x14ac:dyDescent="0.4">
      <c r="A77" s="8" t="s">
        <v>205</v>
      </c>
      <c r="F77" s="10">
        <f>F32-F75</f>
        <v>-1984531.6743168849</v>
      </c>
      <c r="H77" s="10">
        <f>H32-H75</f>
        <v>445404.03908491554</v>
      </c>
      <c r="L77" s="10">
        <f>L32-L75</f>
        <v>-1539127.635231968</v>
      </c>
      <c r="M77" s="8">
        <f>SUM(M75:M76)</f>
        <v>12206475</v>
      </c>
      <c r="N77" s="8" t="s">
        <v>545</v>
      </c>
    </row>
    <row r="78" spans="1:31" x14ac:dyDescent="0.4">
      <c r="M78" s="8">
        <f>M32-M77</f>
        <v>-1987971</v>
      </c>
      <c r="N78" s="8" t="s">
        <v>545</v>
      </c>
    </row>
    <row r="79" spans="1:31" x14ac:dyDescent="0.4">
      <c r="A79" s="8" t="s">
        <v>3261</v>
      </c>
      <c r="F79" s="8">
        <v>334648.62</v>
      </c>
      <c r="H79" s="8">
        <f>-F79</f>
        <v>-334648.62</v>
      </c>
      <c r="J79" s="8" t="s">
        <v>3406</v>
      </c>
      <c r="L79" s="8">
        <f>F79+H79</f>
        <v>0</v>
      </c>
    </row>
    <row r="80" spans="1:31" x14ac:dyDescent="0.4">
      <c r="A80" s="8" t="s">
        <v>206</v>
      </c>
      <c r="F80" s="10">
        <v>111835</v>
      </c>
      <c r="H80" s="10">
        <f>-'Acct.RateCase,PSCFees,IntIn,Bad'!AA40</f>
        <v>-25048.04796237962</v>
      </c>
      <c r="J80" s="8" t="s">
        <v>3412</v>
      </c>
      <c r="L80" s="10">
        <f>F80+H80</f>
        <v>86786.952037620387</v>
      </c>
    </row>
    <row r="82" spans="1:12" ht="16.5" thickBot="1" x14ac:dyDescent="0.45">
      <c r="A82" s="8" t="s">
        <v>207</v>
      </c>
      <c r="F82" s="31">
        <f>F77+F80+F79</f>
        <v>-1538048.0543168848</v>
      </c>
      <c r="H82" s="31">
        <f>H77+H80+H79</f>
        <v>85707.3711225359</v>
      </c>
      <c r="L82" s="31">
        <f>L77+L80+L79</f>
        <v>-1452340.6831943477</v>
      </c>
    </row>
    <row r="83" spans="1:12" ht="16.5" thickTop="1" x14ac:dyDescent="0.4"/>
    <row r="84" spans="1:12" x14ac:dyDescent="0.4">
      <c r="A84" s="409" t="s">
        <v>3414</v>
      </c>
      <c r="B84" s="409"/>
      <c r="C84" s="409"/>
      <c r="D84" s="409"/>
      <c r="E84" s="409"/>
      <c r="F84" s="409"/>
      <c r="G84" s="409"/>
      <c r="H84" s="409"/>
      <c r="I84" s="409"/>
      <c r="J84" s="409"/>
      <c r="K84" s="409"/>
      <c r="L84" s="409"/>
    </row>
    <row r="85" spans="1:12" x14ac:dyDescent="0.4">
      <c r="A85" s="409" t="s">
        <v>3413</v>
      </c>
      <c r="B85" s="409"/>
      <c r="C85" s="409"/>
      <c r="D85" s="409"/>
      <c r="E85" s="409"/>
      <c r="F85" s="409"/>
      <c r="G85" s="409"/>
      <c r="H85" s="409"/>
      <c r="I85" s="409"/>
      <c r="J85" s="409"/>
      <c r="K85" s="409"/>
      <c r="L85" s="409"/>
    </row>
    <row r="86" spans="1:12" x14ac:dyDescent="0.4">
      <c r="A86" s="409" t="s">
        <v>542</v>
      </c>
      <c r="B86" s="409"/>
      <c r="C86" s="409"/>
      <c r="D86" s="409"/>
      <c r="E86" s="409"/>
      <c r="F86" s="409"/>
      <c r="G86" s="409"/>
      <c r="H86" s="409"/>
      <c r="I86" s="409"/>
      <c r="J86" s="409"/>
      <c r="K86" s="409"/>
      <c r="L86" s="409"/>
    </row>
    <row r="88" spans="1:12" x14ac:dyDescent="0.4">
      <c r="A88" s="8" t="s">
        <v>215</v>
      </c>
      <c r="L88" s="8">
        <f>L75</f>
        <v>11542785.308578694</v>
      </c>
    </row>
    <row r="89" spans="1:12" x14ac:dyDescent="0.4">
      <c r="A89" s="8" t="s">
        <v>3415</v>
      </c>
      <c r="L89" s="8">
        <f>'LTD-STD'!L73</f>
        <v>513568.74802926695</v>
      </c>
    </row>
    <row r="90" spans="1:12" x14ac:dyDescent="0.4">
      <c r="C90" s="8" t="s">
        <v>238</v>
      </c>
      <c r="L90" s="26">
        <f>L89*0.2</f>
        <v>102713.7496058534</v>
      </c>
    </row>
    <row r="91" spans="1:12" x14ac:dyDescent="0.4">
      <c r="C91" s="8" t="s">
        <v>3416</v>
      </c>
      <c r="L91" s="10">
        <f>'LTD-STD'!L108</f>
        <v>125797.23999999999</v>
      </c>
    </row>
    <row r="93" spans="1:12" x14ac:dyDescent="0.4">
      <c r="A93" s="8" t="s">
        <v>216</v>
      </c>
      <c r="L93" s="8">
        <f>SUM(L88:L92)</f>
        <v>12284865.046213815</v>
      </c>
    </row>
    <row r="94" spans="1:12" x14ac:dyDescent="0.4">
      <c r="A94" s="8" t="s">
        <v>217</v>
      </c>
      <c r="L94" s="8">
        <f>-L30</f>
        <v>-295029.5082643216</v>
      </c>
    </row>
    <row r="95" spans="1:12" x14ac:dyDescent="0.4">
      <c r="B95" s="8" t="s">
        <v>223</v>
      </c>
      <c r="L95" s="10">
        <f>-L80</f>
        <v>-86786.952037620387</v>
      </c>
    </row>
    <row r="97" spans="1:13" x14ac:dyDescent="0.4">
      <c r="A97" s="8" t="s">
        <v>218</v>
      </c>
      <c r="L97" s="8">
        <f>SUM(L93:L96)</f>
        <v>11903048.585911872</v>
      </c>
    </row>
    <row r="98" spans="1:13" x14ac:dyDescent="0.4">
      <c r="A98" s="8" t="s">
        <v>219</v>
      </c>
      <c r="L98" s="10">
        <f>-L23</f>
        <v>-9708628.1650824044</v>
      </c>
    </row>
    <row r="100" spans="1:13" ht="16.5" thickBot="1" x14ac:dyDescent="0.45">
      <c r="A100" s="8" t="s">
        <v>3545</v>
      </c>
      <c r="L100" s="31">
        <f>L97+L98</f>
        <v>2194420.4208294675</v>
      </c>
    </row>
    <row r="101" spans="1:13" ht="17" thickTop="1" thickBot="1" x14ac:dyDescent="0.45">
      <c r="A101" s="8" t="s">
        <v>3546</v>
      </c>
      <c r="L101" s="53">
        <f>L100/L98*-1</f>
        <v>0.22602785723340571</v>
      </c>
    </row>
    <row r="102" spans="1:13" ht="16.5" thickTop="1" x14ac:dyDescent="0.4"/>
    <row r="104" spans="1:13" x14ac:dyDescent="0.4">
      <c r="L104" s="8">
        <v>805141</v>
      </c>
      <c r="M104" s="358">
        <f>L104/L98</f>
        <v>-8.2930460030978662E-2</v>
      </c>
    </row>
    <row r="105" spans="1:13" x14ac:dyDescent="0.4">
      <c r="L105" s="8">
        <f>L100-L104</f>
        <v>1389279.4208294675</v>
      </c>
      <c r="M105" s="358">
        <f>L105/L98</f>
        <v>-0.14309739720242706</v>
      </c>
    </row>
    <row r="110" spans="1:13" x14ac:dyDescent="0.4">
      <c r="A110" s="8" t="s">
        <v>3553</v>
      </c>
    </row>
    <row r="111" spans="1:13" ht="14.4" customHeight="1" x14ac:dyDescent="0.4">
      <c r="B111" s="8" t="s">
        <v>3520</v>
      </c>
      <c r="L111" s="9">
        <f>L121+L122</f>
        <v>805140.83491759561</v>
      </c>
    </row>
    <row r="112" spans="1:13" ht="14.4" customHeight="1" x14ac:dyDescent="0.4"/>
    <row r="113" spans="1:12" x14ac:dyDescent="0.4">
      <c r="A113" s="8" t="s">
        <v>3521</v>
      </c>
    </row>
    <row r="114" spans="1:12" x14ac:dyDescent="0.4">
      <c r="B114" s="8" t="s">
        <v>3467</v>
      </c>
    </row>
    <row r="115" spans="1:12" x14ac:dyDescent="0.4">
      <c r="B115" s="67" t="s">
        <v>3468</v>
      </c>
      <c r="C115" s="8" t="s">
        <v>3441</v>
      </c>
      <c r="L115" s="8">
        <f>'Wages, Bene Pro forma, Temp Emp'!BE149</f>
        <v>214981.91868910901</v>
      </c>
    </row>
    <row r="116" spans="1:12" x14ac:dyDescent="0.4">
      <c r="B116" s="67" t="s">
        <v>3469</v>
      </c>
      <c r="C116" s="8" t="s">
        <v>3443</v>
      </c>
      <c r="L116" s="10">
        <f>H71</f>
        <v>284336.8131199989</v>
      </c>
    </row>
    <row r="118" spans="1:12" ht="16.5" thickBot="1" x14ac:dyDescent="0.45">
      <c r="A118" s="8" t="s">
        <v>3442</v>
      </c>
      <c r="L118" s="31">
        <f>SUM(L111:L117)</f>
        <v>1304459.5667267037</v>
      </c>
    </row>
    <row r="119" spans="1:12" ht="16.5" thickTop="1" x14ac:dyDescent="0.4"/>
    <row r="120" spans="1:12" x14ac:dyDescent="0.4">
      <c r="A120" s="8" t="s">
        <v>3523</v>
      </c>
    </row>
    <row r="121" spans="1:12" x14ac:dyDescent="0.4">
      <c r="B121" s="8" t="s">
        <v>3472</v>
      </c>
      <c r="L121" s="9">
        <v>10513769</v>
      </c>
    </row>
    <row r="122" spans="1:12" x14ac:dyDescent="0.4">
      <c r="A122" s="8" t="s">
        <v>3471</v>
      </c>
      <c r="L122" s="10">
        <f>-L23</f>
        <v>-9708628.1650824044</v>
      </c>
    </row>
    <row r="124" spans="1:12" ht="16.5" thickBot="1" x14ac:dyDescent="0.45">
      <c r="A124" s="8" t="s">
        <v>3473</v>
      </c>
      <c r="L124" s="31">
        <f>L121+L122</f>
        <v>805140.83491759561</v>
      </c>
    </row>
    <row r="125" spans="1:12" ht="16.5" thickTop="1" x14ac:dyDescent="0.4"/>
    <row r="130" spans="1:12" x14ac:dyDescent="0.4">
      <c r="A130" s="8" t="s">
        <v>3445</v>
      </c>
    </row>
    <row r="131" spans="1:12" x14ac:dyDescent="0.4">
      <c r="A131" s="8" t="s">
        <v>3444</v>
      </c>
    </row>
    <row r="133" spans="1:12" x14ac:dyDescent="0.4">
      <c r="L133" s="8">
        <f>L100</f>
        <v>2194420.4208294675</v>
      </c>
    </row>
    <row r="135" spans="1:12" x14ac:dyDescent="0.4">
      <c r="L135" s="5">
        <f>L118/L133</f>
        <v>0.59444377856893615</v>
      </c>
    </row>
  </sheetData>
  <mergeCells count="11">
    <mergeCell ref="A85:L85"/>
    <mergeCell ref="A86:L86"/>
    <mergeCell ref="A1:L1"/>
    <mergeCell ref="A2:L2"/>
    <mergeCell ref="A3:L3"/>
    <mergeCell ref="A4:L4"/>
    <mergeCell ref="A5:L5"/>
    <mergeCell ref="A84:L84"/>
    <mergeCell ref="A65:L65"/>
    <mergeCell ref="A66:L66"/>
    <mergeCell ref="A67:L67"/>
  </mergeCells>
  <pageMargins left="0.7" right="0.7" top="0.75" bottom="0.75" header="0.3" footer="0.3"/>
  <pageSetup orientation="portrait" r:id="rId1"/>
  <ignoredErrors>
    <ignoredError sqref="B115:B11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6BB0-2EC6-4F77-93CD-ED707A2685E4}">
  <sheetPr>
    <pageSetUpPr fitToPage="1"/>
  </sheetPr>
  <dimension ref="A4:AP302"/>
  <sheetViews>
    <sheetView showGridLines="0" workbookViewId="0">
      <selection activeCell="Q282" sqref="Q282"/>
    </sheetView>
  </sheetViews>
  <sheetFormatPr defaultColWidth="8.83203125" defaultRowHeight="16" x14ac:dyDescent="0.4"/>
  <cols>
    <col min="1" max="1" width="29.6640625" style="1" customWidth="1"/>
    <col min="2" max="2" width="2" style="1" customWidth="1"/>
    <col min="3" max="3" width="15.08203125" style="1" customWidth="1"/>
    <col min="4" max="4" width="9.1640625" style="1" customWidth="1"/>
    <col min="5" max="5" width="12.9140625" style="1" customWidth="1"/>
    <col min="6" max="6" width="13.6640625" style="1" customWidth="1"/>
    <col min="7" max="7" width="0.9140625" style="1" customWidth="1"/>
    <col min="8" max="8" width="12.08203125" style="1" customWidth="1"/>
    <col min="9" max="9" width="12.1640625" style="1" customWidth="1"/>
    <col min="10" max="10" width="17.9140625" style="1" customWidth="1"/>
    <col min="11" max="11" width="0.6640625" style="38" customWidth="1"/>
    <col min="12" max="12" width="14.6640625" style="38" bestFit="1" customWidth="1"/>
    <col min="13" max="13" width="14.58203125" style="1" customWidth="1"/>
    <col min="14" max="14" width="12.5" style="1" customWidth="1"/>
    <col min="15" max="15" width="12.08203125" style="1" customWidth="1"/>
    <col min="16" max="16" width="1.9140625" style="1" customWidth="1"/>
    <col min="17" max="17" width="15" style="1" bestFit="1" customWidth="1"/>
    <col min="18" max="18" width="10.08203125" style="1" bestFit="1" customWidth="1"/>
    <col min="19" max="19" width="11.08203125" style="1" bestFit="1" customWidth="1"/>
    <col min="20" max="20" width="13.6640625" style="1" bestFit="1" customWidth="1"/>
    <col min="21" max="22" width="11.33203125" style="1" customWidth="1"/>
    <col min="23" max="23" width="9.58203125" style="1" bestFit="1" customWidth="1"/>
    <col min="24" max="25" width="15.9140625" style="1" bestFit="1" customWidth="1"/>
    <col min="26" max="36" width="13.6640625" style="1" bestFit="1" customWidth="1"/>
    <col min="37" max="37" width="15" style="1" bestFit="1" customWidth="1"/>
    <col min="38" max="38" width="14.6640625" style="1" bestFit="1" customWidth="1"/>
    <col min="39" max="39" width="14.5" style="1" bestFit="1" customWidth="1"/>
    <col min="40" max="40" width="12.6640625" style="1" bestFit="1" customWidth="1"/>
    <col min="41" max="41" width="11.6640625" style="1" bestFit="1" customWidth="1"/>
    <col min="42" max="42" width="13.83203125" style="1" bestFit="1" customWidth="1"/>
    <col min="43" max="16384" width="8.83203125" style="1"/>
  </cols>
  <sheetData>
    <row r="4" spans="1:19" x14ac:dyDescent="0.4">
      <c r="A4" s="420" t="s">
        <v>3296</v>
      </c>
      <c r="B4" s="420"/>
      <c r="C4" s="420"/>
      <c r="D4" s="420"/>
      <c r="E4" s="420"/>
      <c r="F4" s="420"/>
      <c r="G4" s="420"/>
      <c r="H4" s="420"/>
      <c r="I4" s="420"/>
      <c r="J4" s="420"/>
      <c r="K4" s="420"/>
      <c r="L4" s="420"/>
      <c r="M4" s="420"/>
      <c r="N4" s="420"/>
    </row>
    <row r="5" spans="1:19" x14ac:dyDescent="0.4">
      <c r="D5" s="421" t="s">
        <v>277</v>
      </c>
      <c r="E5" s="422"/>
      <c r="F5" s="423"/>
      <c r="H5" s="421" t="s">
        <v>283</v>
      </c>
      <c r="I5" s="422"/>
      <c r="J5" s="423"/>
    </row>
    <row r="6" spans="1:19" x14ac:dyDescent="0.4">
      <c r="D6" s="421" t="s">
        <v>289</v>
      </c>
      <c r="E6" s="422"/>
      <c r="F6" s="423"/>
      <c r="H6" s="421" t="s">
        <v>284</v>
      </c>
      <c r="I6" s="422"/>
      <c r="J6" s="423"/>
    </row>
    <row r="7" spans="1:19" x14ac:dyDescent="0.4">
      <c r="D7" s="424"/>
      <c r="E7" s="420"/>
      <c r="F7" s="425"/>
      <c r="H7" s="424"/>
      <c r="I7" s="420"/>
      <c r="J7" s="425"/>
    </row>
    <row r="8" spans="1:19" x14ac:dyDescent="0.4">
      <c r="D8" s="64" t="s">
        <v>288</v>
      </c>
      <c r="E8" s="94">
        <v>1.1140000000000001E-2</v>
      </c>
      <c r="F8" s="65" t="s">
        <v>249</v>
      </c>
      <c r="H8" s="64" t="s">
        <v>288</v>
      </c>
      <c r="I8" s="94">
        <v>1.1480000000000001E-2</v>
      </c>
      <c r="J8" s="65" t="s">
        <v>249</v>
      </c>
    </row>
    <row r="9" spans="1:19" x14ac:dyDescent="0.4">
      <c r="A9"/>
      <c r="B9"/>
      <c r="C9" s="2" t="s">
        <v>278</v>
      </c>
      <c r="D9" s="77"/>
      <c r="E9" s="75"/>
      <c r="F9" s="78"/>
      <c r="H9" s="55"/>
      <c r="I9" s="38"/>
      <c r="J9" s="90"/>
      <c r="L9" s="60"/>
      <c r="M9" s="104" t="s">
        <v>285</v>
      </c>
      <c r="N9" s="104"/>
    </row>
    <row r="10" spans="1:19" x14ac:dyDescent="0.4">
      <c r="A10" s="91" t="s">
        <v>286</v>
      </c>
      <c r="B10"/>
      <c r="C10" s="68" t="s">
        <v>279</v>
      </c>
      <c r="D10" s="82" t="s">
        <v>248</v>
      </c>
      <c r="E10" s="83" t="s">
        <v>97</v>
      </c>
      <c r="F10" s="81" t="s">
        <v>140</v>
      </c>
      <c r="H10" s="82" t="s">
        <v>248</v>
      </c>
      <c r="I10" s="68" t="s">
        <v>97</v>
      </c>
      <c r="J10" s="81" t="s">
        <v>140</v>
      </c>
      <c r="L10" s="68" t="s">
        <v>248</v>
      </c>
      <c r="M10" s="68" t="s">
        <v>97</v>
      </c>
      <c r="N10" s="68" t="s">
        <v>140</v>
      </c>
    </row>
    <row r="11" spans="1:19" x14ac:dyDescent="0.4">
      <c r="A11" s="41" t="s">
        <v>282</v>
      </c>
      <c r="B11"/>
      <c r="C11"/>
      <c r="D11" s="55"/>
      <c r="E11" s="38"/>
      <c r="F11" s="81"/>
      <c r="H11" s="55"/>
      <c r="I11" s="38"/>
      <c r="J11" s="90"/>
    </row>
    <row r="12" spans="1:19" x14ac:dyDescent="0.4">
      <c r="A12" s="69" t="s">
        <v>250</v>
      </c>
      <c r="B12" s="69"/>
      <c r="C12" s="95">
        <f>C14*6</f>
        <v>53.94</v>
      </c>
      <c r="D12" s="84">
        <v>2</v>
      </c>
      <c r="E12" s="26">
        <v>4810</v>
      </c>
      <c r="F12" s="85">
        <f t="shared" ref="F12:F19" si="0">(D12*C12)+($E$8*E12)</f>
        <v>161.46340000000001</v>
      </c>
      <c r="H12" s="84">
        <v>10</v>
      </c>
      <c r="I12" s="26">
        <v>54140</v>
      </c>
      <c r="J12" s="85">
        <f t="shared" ref="J12:J19" si="1">(H12*C12)+(I12*$I$8)</f>
        <v>1160.9272000000001</v>
      </c>
      <c r="L12" s="26">
        <f>D12+H12</f>
        <v>12</v>
      </c>
      <c r="M12" s="8">
        <f>E12+I12</f>
        <v>58950</v>
      </c>
      <c r="N12" s="25">
        <f>F12+J12</f>
        <v>1322.3906000000002</v>
      </c>
      <c r="Q12" s="1">
        <f>L12</f>
        <v>12</v>
      </c>
    </row>
    <row r="13" spans="1:19" x14ac:dyDescent="0.4">
      <c r="A13" s="69" t="s">
        <v>251</v>
      </c>
      <c r="B13" s="69"/>
      <c r="C13" s="69">
        <f>C14*8</f>
        <v>71.92</v>
      </c>
      <c r="D13" s="84">
        <v>2</v>
      </c>
      <c r="E13" s="26">
        <v>106040</v>
      </c>
      <c r="F13" s="86">
        <f>(D13*C13)+($E$8*E13)</f>
        <v>1325.1256000000001</v>
      </c>
      <c r="H13" s="84">
        <v>22</v>
      </c>
      <c r="I13" s="26">
        <v>1074860</v>
      </c>
      <c r="J13" s="86">
        <f t="shared" si="1"/>
        <v>13921.632800000001</v>
      </c>
      <c r="L13" s="26">
        <f t="shared" ref="L13:L44" si="2">D13+H13</f>
        <v>24</v>
      </c>
      <c r="M13" s="8">
        <f t="shared" ref="M13:M44" si="3">E13+I13</f>
        <v>1180900</v>
      </c>
      <c r="N13" s="8">
        <f t="shared" ref="N13:N44" si="4">F13+J13</f>
        <v>15246.758400000001</v>
      </c>
      <c r="Q13" s="1">
        <f t="shared" ref="Q13:Q44" si="5">L13</f>
        <v>24</v>
      </c>
    </row>
    <row r="14" spans="1:19" x14ac:dyDescent="0.4">
      <c r="A14" s="69" t="s">
        <v>252</v>
      </c>
      <c r="B14" s="69"/>
      <c r="C14" s="69">
        <v>8.99</v>
      </c>
      <c r="D14" s="84">
        <v>25953</v>
      </c>
      <c r="E14" s="26">
        <v>86776950</v>
      </c>
      <c r="F14" s="86">
        <f t="shared" si="0"/>
        <v>1200012.693</v>
      </c>
      <c r="H14" s="84">
        <v>169018</v>
      </c>
      <c r="I14" s="26">
        <v>527293213</v>
      </c>
      <c r="J14" s="86">
        <f t="shared" si="1"/>
        <v>7572797.9052400002</v>
      </c>
      <c r="L14" s="26">
        <f t="shared" si="2"/>
        <v>194971</v>
      </c>
      <c r="M14" s="8">
        <f t="shared" si="3"/>
        <v>614070163</v>
      </c>
      <c r="N14" s="8">
        <f t="shared" si="4"/>
        <v>8772810.5982399993</v>
      </c>
      <c r="Q14" s="1">
        <f t="shared" si="5"/>
        <v>194971</v>
      </c>
      <c r="S14" s="1">
        <f>M14/L14</f>
        <v>3149.5461530176281</v>
      </c>
    </row>
    <row r="15" spans="1:19" x14ac:dyDescent="0.4">
      <c r="A15" s="69" t="s">
        <v>253</v>
      </c>
      <c r="B15" s="69"/>
      <c r="C15" s="69">
        <f>C14*2</f>
        <v>17.98</v>
      </c>
      <c r="D15" s="84">
        <v>250</v>
      </c>
      <c r="E15" s="26">
        <v>1488450</v>
      </c>
      <c r="F15" s="86">
        <f>(D15*C15)+($E$8*E15)</f>
        <v>21076.333000000002</v>
      </c>
      <c r="H15" s="84">
        <v>1553</v>
      </c>
      <c r="I15" s="26">
        <v>9433690</v>
      </c>
      <c r="J15" s="86">
        <f t="shared" si="1"/>
        <v>136221.70120000001</v>
      </c>
      <c r="L15" s="26">
        <f t="shared" si="2"/>
        <v>1803</v>
      </c>
      <c r="M15" s="8">
        <f t="shared" si="3"/>
        <v>10922140</v>
      </c>
      <c r="N15" s="8">
        <f t="shared" si="4"/>
        <v>157298.03420000002</v>
      </c>
      <c r="Q15" s="1">
        <f t="shared" si="5"/>
        <v>1803</v>
      </c>
    </row>
    <row r="16" spans="1:19" x14ac:dyDescent="0.4">
      <c r="A16" s="69" t="s">
        <v>254</v>
      </c>
      <c r="B16" s="69"/>
      <c r="C16" s="69">
        <f>C14*3</f>
        <v>26.97</v>
      </c>
      <c r="D16" s="84">
        <v>27</v>
      </c>
      <c r="E16" s="26">
        <v>212950</v>
      </c>
      <c r="F16" s="86">
        <f t="shared" si="0"/>
        <v>3100.453</v>
      </c>
      <c r="H16" s="84">
        <v>177</v>
      </c>
      <c r="I16" s="26">
        <v>1267010</v>
      </c>
      <c r="J16" s="86">
        <f t="shared" si="1"/>
        <v>19318.964800000002</v>
      </c>
      <c r="L16" s="26">
        <f t="shared" si="2"/>
        <v>204</v>
      </c>
      <c r="M16" s="8">
        <f t="shared" si="3"/>
        <v>1479960</v>
      </c>
      <c r="N16" s="8">
        <f t="shared" si="4"/>
        <v>22419.417800000003</v>
      </c>
      <c r="Q16" s="1">
        <f t="shared" si="5"/>
        <v>204</v>
      </c>
    </row>
    <row r="17" spans="1:17" x14ac:dyDescent="0.4">
      <c r="A17" s="70" t="s">
        <v>255</v>
      </c>
      <c r="B17" s="69"/>
      <c r="C17" s="69">
        <f>C14*4</f>
        <v>35.96</v>
      </c>
      <c r="D17" s="84">
        <v>8</v>
      </c>
      <c r="E17" s="26">
        <v>234270</v>
      </c>
      <c r="F17" s="86">
        <f t="shared" si="0"/>
        <v>2897.4477999999999</v>
      </c>
      <c r="H17" s="84">
        <v>64</v>
      </c>
      <c r="I17" s="26">
        <v>2110620</v>
      </c>
      <c r="J17" s="86">
        <f t="shared" si="1"/>
        <v>26531.357599999999</v>
      </c>
      <c r="L17" s="26">
        <f t="shared" si="2"/>
        <v>72</v>
      </c>
      <c r="M17" s="8">
        <f t="shared" si="3"/>
        <v>2344890</v>
      </c>
      <c r="N17" s="8">
        <f t="shared" si="4"/>
        <v>29428.805399999997</v>
      </c>
      <c r="Q17" s="1">
        <f t="shared" si="5"/>
        <v>72</v>
      </c>
    </row>
    <row r="18" spans="1:17" x14ac:dyDescent="0.4">
      <c r="A18" s="71" t="s">
        <v>256</v>
      </c>
      <c r="B18" s="69"/>
      <c r="C18" s="69">
        <f>C14</f>
        <v>8.99</v>
      </c>
      <c r="D18" s="84">
        <v>6</v>
      </c>
      <c r="E18" s="26">
        <v>17790</v>
      </c>
      <c r="F18" s="86">
        <f t="shared" si="0"/>
        <v>252.1206</v>
      </c>
      <c r="H18" s="84">
        <v>66</v>
      </c>
      <c r="I18" s="26">
        <v>143980</v>
      </c>
      <c r="J18" s="86">
        <f t="shared" si="1"/>
        <v>2246.2303999999999</v>
      </c>
      <c r="L18" s="26">
        <f t="shared" si="2"/>
        <v>72</v>
      </c>
      <c r="M18" s="8">
        <f t="shared" si="3"/>
        <v>161770</v>
      </c>
      <c r="N18" s="8">
        <f t="shared" si="4"/>
        <v>2498.3510000000001</v>
      </c>
      <c r="Q18" s="1">
        <f t="shared" si="5"/>
        <v>72</v>
      </c>
    </row>
    <row r="19" spans="1:17" x14ac:dyDescent="0.4">
      <c r="A19" s="69" t="s">
        <v>257</v>
      </c>
      <c r="B19" s="69"/>
      <c r="C19" s="69">
        <v>8.99</v>
      </c>
      <c r="D19" s="84">
        <v>8</v>
      </c>
      <c r="E19" s="26">
        <v>0</v>
      </c>
      <c r="F19" s="86">
        <f t="shared" si="0"/>
        <v>71.92</v>
      </c>
      <c r="H19" s="84">
        <v>397</v>
      </c>
      <c r="I19" s="26">
        <v>0</v>
      </c>
      <c r="J19" s="86">
        <f t="shared" si="1"/>
        <v>3569.03</v>
      </c>
      <c r="L19" s="26">
        <f t="shared" si="2"/>
        <v>405</v>
      </c>
      <c r="M19" s="8">
        <f t="shared" si="3"/>
        <v>0</v>
      </c>
      <c r="N19" s="8">
        <f t="shared" si="4"/>
        <v>3640.9500000000003</v>
      </c>
      <c r="Q19" s="1">
        <f t="shared" si="5"/>
        <v>405</v>
      </c>
    </row>
    <row r="20" spans="1:17" x14ac:dyDescent="0.4">
      <c r="A20" s="71"/>
      <c r="B20" s="69"/>
      <c r="C20" s="69"/>
      <c r="D20" s="84"/>
      <c r="E20" s="26"/>
      <c r="F20" s="86"/>
      <c r="H20" s="84"/>
      <c r="I20" s="26"/>
      <c r="J20" s="86"/>
      <c r="L20" s="26"/>
      <c r="M20" s="8"/>
      <c r="N20" s="8"/>
    </row>
    <row r="21" spans="1:17" x14ac:dyDescent="0.4">
      <c r="A21" s="69" t="s">
        <v>258</v>
      </c>
      <c r="B21" s="69"/>
      <c r="C21" s="69">
        <v>12.59</v>
      </c>
      <c r="D21" s="84">
        <v>108</v>
      </c>
      <c r="E21" s="26">
        <v>1058090</v>
      </c>
      <c r="F21" s="86">
        <f>(D21*C21)+($E$8*E21)</f>
        <v>13146.8426</v>
      </c>
      <c r="H21" s="84">
        <v>775</v>
      </c>
      <c r="I21" s="26">
        <v>7485270</v>
      </c>
      <c r="J21" s="86">
        <f>(H21*C21)+(I21*$I$8)</f>
        <v>95688.149600000004</v>
      </c>
      <c r="L21" s="26">
        <f t="shared" si="2"/>
        <v>883</v>
      </c>
      <c r="M21" s="8">
        <f t="shared" si="3"/>
        <v>8543360</v>
      </c>
      <c r="N21" s="8">
        <f t="shared" si="4"/>
        <v>108834.99220000001</v>
      </c>
      <c r="Q21" s="1">
        <f t="shared" si="5"/>
        <v>883</v>
      </c>
    </row>
    <row r="22" spans="1:17" x14ac:dyDescent="0.4">
      <c r="A22" s="69" t="s">
        <v>259</v>
      </c>
      <c r="B22" s="69"/>
      <c r="C22" s="69">
        <f>C14*2</f>
        <v>17.98</v>
      </c>
      <c r="D22" s="84">
        <v>4</v>
      </c>
      <c r="E22" s="26">
        <v>27750</v>
      </c>
      <c r="F22" s="86">
        <f>(D22*C22)+($E$8*E22)</f>
        <v>381.05500000000001</v>
      </c>
      <c r="H22" s="84">
        <v>20</v>
      </c>
      <c r="I22" s="26">
        <v>169220</v>
      </c>
      <c r="J22" s="86">
        <f>(H22*C22)+(I22*$I$8)</f>
        <v>2302.2456000000002</v>
      </c>
      <c r="L22" s="26">
        <f t="shared" si="2"/>
        <v>24</v>
      </c>
      <c r="M22" s="8">
        <f t="shared" si="3"/>
        <v>196970</v>
      </c>
      <c r="N22" s="8">
        <f t="shared" si="4"/>
        <v>2683.3006</v>
      </c>
      <c r="Q22" s="1">
        <f t="shared" si="5"/>
        <v>24</v>
      </c>
    </row>
    <row r="23" spans="1:17" x14ac:dyDescent="0.4">
      <c r="A23" s="69" t="s">
        <v>260</v>
      </c>
      <c r="B23" s="69"/>
      <c r="C23" s="69">
        <f>C14*4</f>
        <v>35.96</v>
      </c>
      <c r="D23" s="84">
        <v>4</v>
      </c>
      <c r="E23" s="26">
        <v>11910</v>
      </c>
      <c r="F23" s="86">
        <f>(D23*C23)+($E$8*E23)</f>
        <v>276.51740000000001</v>
      </c>
      <c r="H23" s="84">
        <v>20</v>
      </c>
      <c r="I23" s="26">
        <v>40840</v>
      </c>
      <c r="J23" s="86">
        <f>(H23*C23)+(I23*$I$8)</f>
        <v>1188.0432000000001</v>
      </c>
      <c r="L23" s="26">
        <f t="shared" si="2"/>
        <v>24</v>
      </c>
      <c r="M23" s="8">
        <f t="shared" si="3"/>
        <v>52750</v>
      </c>
      <c r="N23" s="8">
        <f t="shared" si="4"/>
        <v>1464.5606</v>
      </c>
      <c r="Q23" s="1">
        <f t="shared" si="5"/>
        <v>24</v>
      </c>
    </row>
    <row r="24" spans="1:17" x14ac:dyDescent="0.4">
      <c r="A24" s="69" t="s">
        <v>261</v>
      </c>
      <c r="B24" s="69"/>
      <c r="C24" s="69">
        <f>5*C14</f>
        <v>44.95</v>
      </c>
      <c r="D24" s="84">
        <v>2</v>
      </c>
      <c r="E24" s="26">
        <v>58190</v>
      </c>
      <c r="F24" s="86">
        <f>(D24*C24)+($E$8*E24)</f>
        <v>738.13660000000004</v>
      </c>
      <c r="H24" s="84">
        <v>10</v>
      </c>
      <c r="I24" s="26">
        <v>209370</v>
      </c>
      <c r="J24" s="86">
        <f>(H24*C24)+(I24*$I$8)</f>
        <v>2853.0676000000003</v>
      </c>
      <c r="L24" s="26">
        <f t="shared" si="2"/>
        <v>12</v>
      </c>
      <c r="M24" s="8">
        <f t="shared" si="3"/>
        <v>267560</v>
      </c>
      <c r="N24" s="8">
        <f t="shared" si="4"/>
        <v>3591.2042000000001</v>
      </c>
      <c r="Q24" s="1">
        <f t="shared" si="5"/>
        <v>12</v>
      </c>
    </row>
    <row r="25" spans="1:17" x14ac:dyDescent="0.4">
      <c r="A25" s="69"/>
      <c r="B25" s="69"/>
      <c r="C25" s="69"/>
      <c r="D25" s="84"/>
      <c r="E25" s="26"/>
      <c r="F25" s="86"/>
      <c r="H25" s="84"/>
      <c r="I25" s="26"/>
      <c r="J25" s="86"/>
      <c r="L25" s="26"/>
      <c r="M25" s="8"/>
      <c r="N25" s="8"/>
    </row>
    <row r="26" spans="1:17" x14ac:dyDescent="0.4">
      <c r="A26" s="69" t="s">
        <v>262</v>
      </c>
      <c r="B26" s="69"/>
      <c r="C26" s="69">
        <f>C14*52</f>
        <v>467.48</v>
      </c>
      <c r="D26" s="84">
        <v>2</v>
      </c>
      <c r="E26" s="26">
        <v>250100</v>
      </c>
      <c r="F26" s="86">
        <f>(D26*C26)+($E$8*E26)</f>
        <v>3721.0740000000001</v>
      </c>
      <c r="H26" s="84">
        <v>10</v>
      </c>
      <c r="I26" s="26">
        <v>703900</v>
      </c>
      <c r="J26" s="86">
        <f>(H26*C26)+(I26*$I$8)</f>
        <v>12755.572</v>
      </c>
      <c r="L26" s="26">
        <f t="shared" si="2"/>
        <v>12</v>
      </c>
      <c r="M26" s="8">
        <f t="shared" si="3"/>
        <v>954000</v>
      </c>
      <c r="N26" s="8">
        <f t="shared" si="4"/>
        <v>16476.646000000001</v>
      </c>
      <c r="Q26" s="1">
        <f t="shared" si="5"/>
        <v>12</v>
      </c>
    </row>
    <row r="27" spans="1:17" x14ac:dyDescent="0.4">
      <c r="A27" s="69" t="s">
        <v>263</v>
      </c>
      <c r="B27" s="69"/>
      <c r="C27" s="69">
        <v>26.07</v>
      </c>
      <c r="D27" s="84">
        <v>51</v>
      </c>
      <c r="E27" s="26">
        <v>1920110</v>
      </c>
      <c r="F27" s="86">
        <f>(D27*C27)+($E$8*E27)</f>
        <v>22719.595400000002</v>
      </c>
      <c r="H27" s="84">
        <v>342</v>
      </c>
      <c r="I27" s="26">
        <v>10345540</v>
      </c>
      <c r="J27" s="86">
        <f>(H27*C27)+(I27*$I$8)</f>
        <v>127682.73920000001</v>
      </c>
      <c r="L27" s="26">
        <f t="shared" si="2"/>
        <v>393</v>
      </c>
      <c r="M27" s="8">
        <f t="shared" si="3"/>
        <v>12265650</v>
      </c>
      <c r="N27" s="8">
        <f t="shared" si="4"/>
        <v>150402.3346</v>
      </c>
      <c r="Q27" s="1">
        <f t="shared" si="5"/>
        <v>393</v>
      </c>
    </row>
    <row r="28" spans="1:17" x14ac:dyDescent="0.4">
      <c r="A28" s="69" t="s">
        <v>264</v>
      </c>
      <c r="B28" s="69"/>
      <c r="C28" s="69">
        <f>C14*16</f>
        <v>143.84</v>
      </c>
      <c r="D28" s="84">
        <v>2</v>
      </c>
      <c r="E28" s="26">
        <v>38900</v>
      </c>
      <c r="F28" s="86">
        <f>(D28*C28)+($E$8*E28)</f>
        <v>721.02600000000007</v>
      </c>
      <c r="H28" s="84">
        <v>10</v>
      </c>
      <c r="I28" s="26">
        <v>186400</v>
      </c>
      <c r="J28" s="86">
        <f>(H28*C28)+(I28*$I$8)</f>
        <v>3578.2720000000004</v>
      </c>
      <c r="L28" s="26">
        <f t="shared" si="2"/>
        <v>12</v>
      </c>
      <c r="M28" s="8">
        <f t="shared" si="3"/>
        <v>225300</v>
      </c>
      <c r="N28" s="8">
        <f t="shared" si="4"/>
        <v>4299.2980000000007</v>
      </c>
      <c r="Q28" s="1">
        <f t="shared" si="5"/>
        <v>12</v>
      </c>
    </row>
    <row r="29" spans="1:17" x14ac:dyDescent="0.4">
      <c r="A29" s="69" t="s">
        <v>265</v>
      </c>
      <c r="B29" s="69"/>
      <c r="C29" s="69">
        <v>26.07</v>
      </c>
      <c r="D29" s="84">
        <v>37</v>
      </c>
      <c r="E29" s="26">
        <v>2352540</v>
      </c>
      <c r="F29" s="86">
        <f>(D29*C29)+($E$8*E29)</f>
        <v>27171.885600000001</v>
      </c>
      <c r="H29" s="84">
        <v>217</v>
      </c>
      <c r="I29" s="26">
        <v>7075370</v>
      </c>
      <c r="J29" s="86">
        <f>(H29*C29)+(I29*$I$8)</f>
        <v>86882.437600000005</v>
      </c>
      <c r="L29" s="26">
        <f t="shared" si="2"/>
        <v>254</v>
      </c>
      <c r="M29" s="8">
        <f t="shared" si="3"/>
        <v>9427910</v>
      </c>
      <c r="N29" s="8">
        <f t="shared" si="4"/>
        <v>114054.32320000001</v>
      </c>
      <c r="Q29" s="1">
        <f t="shared" si="5"/>
        <v>254</v>
      </c>
    </row>
    <row r="30" spans="1:17" x14ac:dyDescent="0.4">
      <c r="A30" s="69" t="s">
        <v>266</v>
      </c>
      <c r="B30" s="69"/>
      <c r="C30" s="69">
        <f>C14*68</f>
        <v>611.32000000000005</v>
      </c>
      <c r="D30" s="84">
        <v>2</v>
      </c>
      <c r="E30" s="26">
        <v>316960</v>
      </c>
      <c r="F30" s="86">
        <f>(D30*C30)+($E$8*E30)</f>
        <v>4753.5744000000004</v>
      </c>
      <c r="H30" s="84">
        <v>10</v>
      </c>
      <c r="I30" s="26">
        <v>1730240</v>
      </c>
      <c r="J30" s="86">
        <f>(H30*C30)+(I30*$I$8)</f>
        <v>25976.355200000002</v>
      </c>
      <c r="L30" s="26">
        <f t="shared" si="2"/>
        <v>12</v>
      </c>
      <c r="M30" s="8">
        <f t="shared" si="3"/>
        <v>2047200</v>
      </c>
      <c r="N30" s="8">
        <f t="shared" si="4"/>
        <v>30729.929600000003</v>
      </c>
      <c r="Q30" s="1">
        <f t="shared" si="5"/>
        <v>12</v>
      </c>
    </row>
    <row r="31" spans="1:17" x14ac:dyDescent="0.4">
      <c r="A31" s="69"/>
      <c r="B31" s="69"/>
      <c r="C31" s="69"/>
      <c r="D31" s="84"/>
      <c r="E31" s="26"/>
      <c r="F31" s="86"/>
      <c r="H31" s="84"/>
      <c r="I31" s="26"/>
      <c r="J31" s="86"/>
      <c r="L31" s="26"/>
      <c r="M31" s="8"/>
      <c r="N31" s="8"/>
    </row>
    <row r="32" spans="1:17" x14ac:dyDescent="0.4">
      <c r="A32" s="69"/>
      <c r="B32" s="69"/>
      <c r="C32" s="69"/>
      <c r="D32" s="84"/>
      <c r="E32" s="26"/>
      <c r="F32" s="86"/>
      <c r="H32" s="84"/>
      <c r="I32" s="26"/>
      <c r="J32" s="86"/>
      <c r="L32" s="26"/>
      <c r="M32" s="8"/>
      <c r="N32" s="8"/>
    </row>
    <row r="33" spans="1:17" x14ac:dyDescent="0.4">
      <c r="A33" s="69" t="s">
        <v>267</v>
      </c>
      <c r="B33" s="69"/>
      <c r="C33" s="69">
        <v>98.89</v>
      </c>
      <c r="D33" s="84">
        <v>6</v>
      </c>
      <c r="E33" s="26">
        <v>430400</v>
      </c>
      <c r="F33" s="86">
        <f>(D33*C33)+($E$8*E33)</f>
        <v>5387.9960000000001</v>
      </c>
      <c r="H33" s="84">
        <v>42</v>
      </c>
      <c r="I33" s="26">
        <v>2558540</v>
      </c>
      <c r="J33" s="86">
        <f>(H33*C33)+(I33*$I$8)</f>
        <v>33525.419200000004</v>
      </c>
      <c r="L33" s="26">
        <f t="shared" si="2"/>
        <v>48</v>
      </c>
      <c r="M33" s="8">
        <f t="shared" si="3"/>
        <v>2988940</v>
      </c>
      <c r="N33" s="8">
        <f t="shared" si="4"/>
        <v>38913.415200000003</v>
      </c>
      <c r="Q33" s="1">
        <f t="shared" si="5"/>
        <v>48</v>
      </c>
    </row>
    <row r="34" spans="1:17" x14ac:dyDescent="0.4">
      <c r="A34" s="69" t="s">
        <v>268</v>
      </c>
      <c r="B34" s="69"/>
      <c r="C34" s="69">
        <v>98.89</v>
      </c>
      <c r="D34" s="84">
        <v>8</v>
      </c>
      <c r="E34" s="26">
        <v>394660</v>
      </c>
      <c r="F34" s="86">
        <f>(D34*C34)+($E$8*E34)</f>
        <v>5187.6324000000004</v>
      </c>
      <c r="H34" s="84">
        <v>52</v>
      </c>
      <c r="I34" s="26">
        <v>2901380</v>
      </c>
      <c r="J34" s="86">
        <f>(H34*C34)+(I34*$I$8)</f>
        <v>38450.1224</v>
      </c>
      <c r="L34" s="26">
        <f t="shared" si="2"/>
        <v>60</v>
      </c>
      <c r="M34" s="8">
        <f t="shared" si="3"/>
        <v>3296040</v>
      </c>
      <c r="N34" s="8">
        <f t="shared" si="4"/>
        <v>43637.754800000002</v>
      </c>
      <c r="Q34" s="1">
        <f t="shared" si="5"/>
        <v>60</v>
      </c>
    </row>
    <row r="35" spans="1:17" x14ac:dyDescent="0.4">
      <c r="A35" s="69"/>
      <c r="B35" s="69"/>
      <c r="C35" s="69"/>
      <c r="D35" s="84"/>
      <c r="E35" s="26"/>
      <c r="F35" s="86"/>
      <c r="H35" s="84"/>
      <c r="I35" s="26"/>
      <c r="J35" s="86"/>
      <c r="L35" s="26"/>
      <c r="M35" s="8"/>
      <c r="N35" s="8"/>
    </row>
    <row r="36" spans="1:17" x14ac:dyDescent="0.4">
      <c r="A36" s="69"/>
      <c r="B36" s="69"/>
      <c r="C36" s="69"/>
      <c r="D36" s="84"/>
      <c r="E36" s="26"/>
      <c r="F36" s="86"/>
      <c r="H36" s="84"/>
      <c r="I36" s="26"/>
      <c r="J36" s="86"/>
      <c r="L36" s="26"/>
      <c r="M36" s="8"/>
      <c r="N36" s="8"/>
    </row>
    <row r="37" spans="1:17" x14ac:dyDescent="0.4">
      <c r="A37" s="69" t="s">
        <v>269</v>
      </c>
      <c r="B37" s="69"/>
      <c r="C37" s="69">
        <v>125.86</v>
      </c>
      <c r="D37" s="84">
        <v>1</v>
      </c>
      <c r="E37" s="26">
        <v>5100</v>
      </c>
      <c r="F37" s="86">
        <f>(D37*C37)+($E$8*E37)</f>
        <v>182.67400000000001</v>
      </c>
      <c r="H37" s="84">
        <v>11</v>
      </c>
      <c r="I37" s="26">
        <v>85800</v>
      </c>
      <c r="J37" s="86">
        <f>(H37*C37)+(I37*$I$8)</f>
        <v>2369.444</v>
      </c>
      <c r="L37" s="26">
        <f t="shared" si="2"/>
        <v>12</v>
      </c>
      <c r="M37" s="8">
        <f t="shared" si="3"/>
        <v>90900</v>
      </c>
      <c r="N37" s="8">
        <f t="shared" si="4"/>
        <v>2552.1179999999999</v>
      </c>
      <c r="Q37" s="1">
        <f t="shared" si="5"/>
        <v>12</v>
      </c>
    </row>
    <row r="38" spans="1:17" x14ac:dyDescent="0.4">
      <c r="A38" s="69" t="s">
        <v>270</v>
      </c>
      <c r="B38" s="69"/>
      <c r="C38" s="69">
        <v>125.86</v>
      </c>
      <c r="D38" s="84">
        <v>7</v>
      </c>
      <c r="E38" s="26">
        <v>1085800</v>
      </c>
      <c r="F38" s="86">
        <f>(D38*C38)+($E$8*E38)</f>
        <v>12976.832</v>
      </c>
      <c r="H38" s="84">
        <v>53</v>
      </c>
      <c r="I38" s="26">
        <v>11102390</v>
      </c>
      <c r="J38" s="86">
        <f>(H38*C38)+(I38*$I$8)</f>
        <v>134126.0172</v>
      </c>
      <c r="L38" s="26">
        <f t="shared" si="2"/>
        <v>60</v>
      </c>
      <c r="M38" s="8">
        <f t="shared" si="3"/>
        <v>12188190</v>
      </c>
      <c r="N38" s="8">
        <f t="shared" si="4"/>
        <v>147102.8492</v>
      </c>
      <c r="Q38" s="1">
        <f t="shared" si="5"/>
        <v>60</v>
      </c>
    </row>
    <row r="39" spans="1:17" x14ac:dyDescent="0.4">
      <c r="A39" s="69" t="s">
        <v>271</v>
      </c>
      <c r="B39" s="69"/>
      <c r="C39" s="69">
        <v>125.86</v>
      </c>
      <c r="D39" s="84">
        <v>4</v>
      </c>
      <c r="E39" s="26">
        <v>101480</v>
      </c>
      <c r="F39" s="86">
        <f>(D39*C39)+($E$8*E39)</f>
        <v>1633.9272000000001</v>
      </c>
      <c r="H39" s="84">
        <v>20</v>
      </c>
      <c r="I39" s="26">
        <v>657140</v>
      </c>
      <c r="J39" s="86">
        <f>(H39*C39)+(I39*$I$8)</f>
        <v>10061.1672</v>
      </c>
      <c r="L39" s="26">
        <f t="shared" si="2"/>
        <v>24</v>
      </c>
      <c r="M39" s="8">
        <f t="shared" si="3"/>
        <v>758620</v>
      </c>
      <c r="N39" s="8">
        <f t="shared" si="4"/>
        <v>11695.0944</v>
      </c>
      <c r="Q39" s="1">
        <f t="shared" si="5"/>
        <v>24</v>
      </c>
    </row>
    <row r="40" spans="1:17" x14ac:dyDescent="0.4">
      <c r="A40" s="69"/>
      <c r="B40" s="69"/>
      <c r="C40" s="69"/>
      <c r="D40" s="84"/>
      <c r="E40" s="26"/>
      <c r="F40" s="86"/>
      <c r="H40" s="84"/>
      <c r="I40" s="26"/>
      <c r="J40" s="86"/>
      <c r="L40" s="26"/>
      <c r="M40" s="8"/>
      <c r="N40" s="8"/>
    </row>
    <row r="41" spans="1:17" x14ac:dyDescent="0.4">
      <c r="A41" s="69" t="s">
        <v>272</v>
      </c>
      <c r="B41" s="69"/>
      <c r="C41" s="69">
        <f>188.79</f>
        <v>188.79</v>
      </c>
      <c r="D41" s="84">
        <v>9</v>
      </c>
      <c r="E41" s="26">
        <v>135900</v>
      </c>
      <c r="F41" s="86">
        <f>(D41*C41)+($E$8*E41)</f>
        <v>3213.0360000000001</v>
      </c>
      <c r="H41" s="84">
        <v>33</v>
      </c>
      <c r="I41" s="26">
        <v>2918900</v>
      </c>
      <c r="J41" s="86">
        <f>(H41*C41)+(I41*$I$8)</f>
        <v>39739.042000000001</v>
      </c>
      <c r="L41" s="26">
        <f t="shared" si="2"/>
        <v>42</v>
      </c>
      <c r="M41" s="8">
        <f t="shared" si="3"/>
        <v>3054800</v>
      </c>
      <c r="N41" s="8">
        <f t="shared" si="4"/>
        <v>42952.078000000001</v>
      </c>
      <c r="Q41" s="1">
        <f t="shared" si="5"/>
        <v>42</v>
      </c>
    </row>
    <row r="42" spans="1:17" x14ac:dyDescent="0.4">
      <c r="A42" s="69" t="s">
        <v>273</v>
      </c>
      <c r="B42" s="69"/>
      <c r="C42" s="69">
        <f>C18*84</f>
        <v>755.16</v>
      </c>
      <c r="D42" s="84">
        <v>1</v>
      </c>
      <c r="E42" s="26">
        <v>58000</v>
      </c>
      <c r="F42" s="86">
        <f>(D42*C42)+($E$8*E42)</f>
        <v>1401.28</v>
      </c>
      <c r="H42" s="84">
        <v>11</v>
      </c>
      <c r="I42" s="26">
        <v>703000</v>
      </c>
      <c r="J42" s="86">
        <f>(H42*C42)+(I42*$I$8)</f>
        <v>16377.2</v>
      </c>
      <c r="L42" s="26">
        <f t="shared" si="2"/>
        <v>12</v>
      </c>
      <c r="M42" s="8">
        <f t="shared" si="3"/>
        <v>761000</v>
      </c>
      <c r="N42" s="8">
        <f t="shared" si="4"/>
        <v>17778.48</v>
      </c>
      <c r="Q42" s="1">
        <f t="shared" si="5"/>
        <v>12</v>
      </c>
    </row>
    <row r="43" spans="1:17" x14ac:dyDescent="0.4">
      <c r="A43" s="69" t="s">
        <v>274</v>
      </c>
      <c r="B43" s="69"/>
      <c r="C43" s="69">
        <v>188.79</v>
      </c>
      <c r="D43" s="84">
        <v>1</v>
      </c>
      <c r="E43" s="26">
        <v>0</v>
      </c>
      <c r="F43" s="86">
        <f>(D43*C43)+($E$8*E43)</f>
        <v>188.79</v>
      </c>
      <c r="H43" s="84">
        <v>9</v>
      </c>
      <c r="I43" s="26">
        <v>0</v>
      </c>
      <c r="J43" s="86">
        <f>(H43*C43)+(I43*$I$8)</f>
        <v>1699.11</v>
      </c>
      <c r="L43" s="26">
        <f t="shared" si="2"/>
        <v>10</v>
      </c>
      <c r="M43" s="8">
        <f t="shared" si="3"/>
        <v>0</v>
      </c>
      <c r="N43" s="8">
        <f t="shared" si="4"/>
        <v>1887.8999999999999</v>
      </c>
      <c r="Q43" s="1">
        <f t="shared" si="5"/>
        <v>10</v>
      </c>
    </row>
    <row r="44" spans="1:17" x14ac:dyDescent="0.4">
      <c r="A44" s="69" t="s">
        <v>275</v>
      </c>
      <c r="B44" s="69"/>
      <c r="C44" s="69">
        <v>188.79</v>
      </c>
      <c r="D44" s="84">
        <v>1</v>
      </c>
      <c r="E44" s="26">
        <v>0</v>
      </c>
      <c r="F44" s="86">
        <f>(D44*C44)+($E$8*E44)</f>
        <v>188.79</v>
      </c>
      <c r="H44" s="84">
        <v>11</v>
      </c>
      <c r="I44" s="26">
        <v>175000</v>
      </c>
      <c r="J44" s="86">
        <f>(H44*C44)+(I44*$I$8)</f>
        <v>4085.69</v>
      </c>
      <c r="L44" s="10">
        <f t="shared" si="2"/>
        <v>12</v>
      </c>
      <c r="M44" s="10">
        <f t="shared" si="3"/>
        <v>175000</v>
      </c>
      <c r="N44" s="10">
        <f t="shared" si="4"/>
        <v>4274.4800000000005</v>
      </c>
      <c r="Q44" s="1">
        <f t="shared" si="5"/>
        <v>12</v>
      </c>
    </row>
    <row r="45" spans="1:17" x14ac:dyDescent="0.4">
      <c r="A45" s="69"/>
      <c r="B45" s="69"/>
      <c r="C45" s="69"/>
      <c r="D45" s="96"/>
      <c r="E45" s="97"/>
      <c r="F45" s="98"/>
      <c r="H45" s="96"/>
      <c r="I45" s="97"/>
      <c r="J45" s="98"/>
      <c r="L45" s="26"/>
      <c r="M45" s="8"/>
      <c r="N45" s="8"/>
    </row>
    <row r="46" spans="1:17" x14ac:dyDescent="0.4">
      <c r="A46" s="69" t="s">
        <v>292</v>
      </c>
      <c r="B46" s="69"/>
      <c r="C46" s="69"/>
      <c r="D46" s="99"/>
      <c r="E46" s="10">
        <f>SUM(E12:E45)</f>
        <v>97087150</v>
      </c>
      <c r="F46" s="88">
        <f>SUM(F12:F45)</f>
        <v>1332888.2210000004</v>
      </c>
      <c r="G46" s="38"/>
      <c r="H46" s="99"/>
      <c r="I46" s="10">
        <f>SUM(I12:I45)</f>
        <v>590425813</v>
      </c>
      <c r="J46" s="88">
        <f>SUM(J12:J45)</f>
        <v>8415107.8432399966</v>
      </c>
      <c r="L46" s="10">
        <f>SUM(L12:L45)</f>
        <v>199469</v>
      </c>
      <c r="M46" s="10">
        <f>SUM(M12:M45)</f>
        <v>687512963</v>
      </c>
      <c r="N46" s="25">
        <f>SUM(N12:N45)</f>
        <v>9747996.0642399993</v>
      </c>
    </row>
    <row r="47" spans="1:17" x14ac:dyDescent="0.4">
      <c r="A47" s="69" t="s">
        <v>3417</v>
      </c>
      <c r="B47" s="69"/>
      <c r="C47" s="69"/>
      <c r="D47" s="26"/>
      <c r="E47" s="26"/>
      <c r="F47" s="25"/>
      <c r="G47" s="38"/>
      <c r="H47" s="26"/>
      <c r="I47" s="26"/>
      <c r="J47" s="25"/>
      <c r="L47" s="26"/>
      <c r="M47" s="26"/>
      <c r="N47" s="10">
        <f>'Water Pro forma Rev Req'!L17</f>
        <v>-279453.81</v>
      </c>
    </row>
    <row r="48" spans="1:17" x14ac:dyDescent="0.4">
      <c r="A48" s="69"/>
      <c r="B48" s="69"/>
      <c r="C48" s="69"/>
      <c r="D48" s="26"/>
      <c r="E48" s="26"/>
      <c r="F48" s="25"/>
      <c r="G48" s="38"/>
      <c r="H48" s="26"/>
      <c r="I48" s="26"/>
      <c r="J48" s="25"/>
      <c r="L48" s="26"/>
      <c r="M48" s="26"/>
      <c r="N48" s="26"/>
    </row>
    <row r="49" spans="1:14" x14ac:dyDescent="0.4">
      <c r="A49" s="69" t="s">
        <v>3418</v>
      </c>
      <c r="B49" s="69"/>
      <c r="C49" s="69"/>
      <c r="D49" s="26"/>
      <c r="E49" s="26"/>
      <c r="F49" s="25"/>
      <c r="G49" s="38"/>
      <c r="H49" s="26"/>
      <c r="I49" s="26"/>
      <c r="J49" s="25"/>
      <c r="L49" s="26"/>
      <c r="M49" s="26"/>
      <c r="N49" s="26">
        <f>SUM(N46:N48)</f>
        <v>9468542.2542399988</v>
      </c>
    </row>
    <row r="50" spans="1:14" x14ac:dyDescent="0.4">
      <c r="A50" s="69" t="s">
        <v>3419</v>
      </c>
      <c r="B50" s="69"/>
      <c r="C50" s="69"/>
      <c r="D50" s="26"/>
      <c r="E50" s="26"/>
      <c r="F50" s="25"/>
      <c r="G50" s="38"/>
      <c r="H50" s="26"/>
      <c r="I50" s="26"/>
      <c r="J50" s="25"/>
      <c r="L50" s="26"/>
      <c r="M50" s="26"/>
      <c r="N50" s="76">
        <f>('Water Pro forma Rev Req'!F10+'Water Pro forma Rev Req'!H10+'Water Pro forma Rev Req'!H11+'Water Pro forma Rev Req'!H12+'Water Pro forma Rev Req'!F17+'Water Pro forma Rev Req'!H17+'Water Pro forma Rev Req'!H13)*-1</f>
        <v>-9471261.6000000015</v>
      </c>
    </row>
    <row r="51" spans="1:14" x14ac:dyDescent="0.4">
      <c r="A51" s="69"/>
      <c r="B51" s="69"/>
      <c r="C51" s="69"/>
      <c r="D51" s="26"/>
      <c r="E51" s="26"/>
      <c r="F51" s="26"/>
      <c r="G51" s="38"/>
      <c r="H51" s="26"/>
      <c r="I51" s="26"/>
      <c r="J51" s="26"/>
      <c r="M51" s="26"/>
      <c r="N51" s="93"/>
    </row>
    <row r="52" spans="1:14" ht="16.5" thickBot="1" x14ac:dyDescent="0.45">
      <c r="A52" s="69" t="s">
        <v>3404</v>
      </c>
      <c r="B52" s="69"/>
      <c r="C52" s="69"/>
      <c r="D52" s="26"/>
      <c r="E52" s="26"/>
      <c r="F52" s="26"/>
      <c r="G52" s="38"/>
      <c r="H52" s="26"/>
      <c r="I52" s="26"/>
      <c r="J52" s="26"/>
      <c r="M52" s="26"/>
      <c r="N52" s="31">
        <f>N49+N50</f>
        <v>-2719.3457600027323</v>
      </c>
    </row>
    <row r="53" spans="1:14" ht="17" thickTop="1" thickBot="1" x14ac:dyDescent="0.45">
      <c r="A53" s="69" t="s">
        <v>293</v>
      </c>
      <c r="B53" s="69"/>
      <c r="C53" s="69"/>
      <c r="D53" s="26"/>
      <c r="E53" s="26"/>
      <c r="F53" s="26"/>
      <c r="G53" s="38"/>
      <c r="H53" s="26"/>
      <c r="I53" s="26"/>
      <c r="J53" s="26"/>
      <c r="M53" s="26"/>
      <c r="N53" s="357">
        <f>N52/N46</f>
        <v>-2.7896459355154096E-4</v>
      </c>
    </row>
    <row r="54" spans="1:14" ht="16.5" thickTop="1" x14ac:dyDescent="0.4">
      <c r="B54" s="69"/>
      <c r="C54" s="69"/>
      <c r="D54" s="26"/>
      <c r="E54" s="26"/>
      <c r="F54" s="26"/>
      <c r="G54" s="38"/>
      <c r="H54" s="26"/>
      <c r="I54" s="26"/>
      <c r="J54" s="26"/>
      <c r="M54" s="26"/>
    </row>
    <row r="55" spans="1:14" x14ac:dyDescent="0.4">
      <c r="A55" s="69"/>
      <c r="B55" s="69"/>
      <c r="C55" s="69"/>
      <c r="D55" s="26"/>
      <c r="E55" s="26"/>
      <c r="F55" s="26"/>
      <c r="G55" s="38"/>
      <c r="H55" s="26"/>
      <c r="I55" s="26"/>
      <c r="J55" s="26"/>
      <c r="M55" s="26"/>
      <c r="N55" s="93"/>
    </row>
    <row r="57" spans="1:14" x14ac:dyDescent="0.4">
      <c r="A57" s="69"/>
      <c r="B57" s="69"/>
      <c r="C57" s="69"/>
      <c r="D57" s="26"/>
      <c r="E57" s="26"/>
      <c r="F57" s="26"/>
      <c r="G57" s="38"/>
      <c r="H57" s="26"/>
      <c r="I57" s="26"/>
      <c r="J57" s="26"/>
      <c r="M57" s="26"/>
      <c r="N57" s="93"/>
    </row>
    <row r="58" spans="1:14" x14ac:dyDescent="0.4">
      <c r="A58" s="92" t="s">
        <v>287</v>
      </c>
      <c r="B58" s="69"/>
      <c r="C58" s="69"/>
      <c r="D58" s="64" t="s">
        <v>288</v>
      </c>
      <c r="E58" s="94">
        <v>8.7399999999999995E-3</v>
      </c>
      <c r="F58" s="65" t="s">
        <v>249</v>
      </c>
      <c r="G58" s="38"/>
      <c r="H58" s="64" t="s">
        <v>288</v>
      </c>
      <c r="I58" s="94">
        <v>4.5199999999999997E-3</v>
      </c>
      <c r="J58" s="65" t="s">
        <v>249</v>
      </c>
      <c r="M58" s="8"/>
      <c r="N58" s="8"/>
    </row>
    <row r="59" spans="1:14" x14ac:dyDescent="0.4">
      <c r="A59" s="92"/>
      <c r="B59" s="69"/>
      <c r="C59" s="69"/>
      <c r="D59" s="100"/>
      <c r="E59" s="80" t="s">
        <v>97</v>
      </c>
      <c r="F59" s="81" t="s">
        <v>140</v>
      </c>
      <c r="G59" s="75"/>
      <c r="H59" s="100"/>
      <c r="I59" s="80" t="s">
        <v>97</v>
      </c>
      <c r="J59" s="81" t="s">
        <v>140</v>
      </c>
      <c r="M59" s="8"/>
      <c r="N59" s="8"/>
    </row>
    <row r="60" spans="1:14" x14ac:dyDescent="0.4">
      <c r="A60" s="69" t="s">
        <v>276</v>
      </c>
      <c r="B60" s="69"/>
      <c r="C60" s="72"/>
      <c r="D60" s="84"/>
      <c r="E60" s="101">
        <v>5225000</v>
      </c>
      <c r="F60" s="103">
        <f>E60*E58</f>
        <v>45666.5</v>
      </c>
      <c r="G60" s="75"/>
      <c r="H60" s="102"/>
      <c r="I60" s="101">
        <v>56198000</v>
      </c>
      <c r="J60" s="103">
        <f>I60*$I$58</f>
        <v>254014.96</v>
      </c>
      <c r="M60" s="8">
        <f t="shared" ref="M60:M61" si="6">E60+I60</f>
        <v>61423000</v>
      </c>
      <c r="N60" s="9">
        <f t="shared" ref="N60:N61" si="7">F60+J60</f>
        <v>299681.45999999996</v>
      </c>
    </row>
    <row r="61" spans="1:14" x14ac:dyDescent="0.4">
      <c r="A61" s="69" t="s">
        <v>3361</v>
      </c>
      <c r="B61" s="69"/>
      <c r="C61" s="72"/>
      <c r="D61" s="99"/>
      <c r="E61" s="10">
        <v>460000</v>
      </c>
      <c r="F61" s="87">
        <f>E58*E61</f>
        <v>4020.3999999999996</v>
      </c>
      <c r="G61" s="38"/>
      <c r="H61" s="99"/>
      <c r="I61" s="10">
        <v>1570400</v>
      </c>
      <c r="J61" s="87">
        <f>I61*$I$58</f>
        <v>7098.2079999999996</v>
      </c>
      <c r="M61" s="10">
        <f t="shared" si="6"/>
        <v>2030400</v>
      </c>
      <c r="N61" s="10">
        <f t="shared" si="7"/>
        <v>11118.608</v>
      </c>
    </row>
    <row r="62" spans="1:14" x14ac:dyDescent="0.4">
      <c r="D62" s="84"/>
      <c r="E62" s="26"/>
      <c r="F62" s="89"/>
      <c r="G62" s="38"/>
      <c r="H62" s="55"/>
      <c r="I62" s="38"/>
      <c r="J62" s="90"/>
      <c r="M62" s="8"/>
      <c r="N62" s="8"/>
    </row>
    <row r="63" spans="1:14" x14ac:dyDescent="0.4">
      <c r="A63" s="1" t="s">
        <v>280</v>
      </c>
      <c r="D63" s="99"/>
      <c r="E63" s="10">
        <f>SUM(E58:E62)</f>
        <v>5685000.0087400004</v>
      </c>
      <c r="F63" s="88">
        <f>SUM(F60:F62)</f>
        <v>49686.9</v>
      </c>
      <c r="G63" s="38"/>
      <c r="H63" s="59"/>
      <c r="I63" s="60">
        <f>SUM(I58:I62)</f>
        <v>57768400.004519999</v>
      </c>
      <c r="J63" s="88">
        <f>SUM(J60:J62)</f>
        <v>261113.16800000001</v>
      </c>
      <c r="M63" s="10">
        <f>SUM(M60:M62)</f>
        <v>63453400</v>
      </c>
      <c r="N63" s="74">
        <f>SUM(N60:N62)</f>
        <v>310800.06799999997</v>
      </c>
    </row>
    <row r="64" spans="1:14" x14ac:dyDescent="0.4">
      <c r="D64" s="38"/>
      <c r="E64" s="38"/>
      <c r="F64" s="38"/>
      <c r="G64" s="38"/>
      <c r="H64" s="38"/>
      <c r="I64" s="38"/>
      <c r="J64" s="38"/>
      <c r="M64" s="8"/>
      <c r="N64" s="8"/>
    </row>
    <row r="65" spans="1:40" ht="16.5" thickBot="1" x14ac:dyDescent="0.45">
      <c r="A65" s="1" t="s">
        <v>281</v>
      </c>
      <c r="D65" s="38"/>
      <c r="E65" s="11">
        <f>E46+E63</f>
        <v>102772150.00874001</v>
      </c>
      <c r="F65" s="31">
        <f>F46+F63</f>
        <v>1382575.1210000003</v>
      </c>
      <c r="G65" s="38"/>
      <c r="H65" s="38"/>
      <c r="I65" s="11">
        <f>I46+I63</f>
        <v>648194213.00451994</v>
      </c>
      <c r="J65" s="31">
        <f>J46+J63</f>
        <v>8676221.0112399962</v>
      </c>
      <c r="M65" s="11">
        <f>M46+M63</f>
        <v>750966363</v>
      </c>
      <c r="N65" s="31">
        <f>N46+N63</f>
        <v>10058796.132239999</v>
      </c>
    </row>
    <row r="66" spans="1:40" ht="16.5" thickTop="1" x14ac:dyDescent="0.4">
      <c r="M66" s="8"/>
      <c r="N66" s="8"/>
    </row>
    <row r="67" spans="1:40" x14ac:dyDescent="0.4">
      <c r="A67" s="1" t="s">
        <v>3362</v>
      </c>
    </row>
    <row r="70" spans="1:40" x14ac:dyDescent="0.4">
      <c r="A70" s="420" t="s">
        <v>306</v>
      </c>
      <c r="B70" s="420"/>
      <c r="C70" s="420"/>
      <c r="D70" s="420"/>
      <c r="E70" s="420"/>
      <c r="F70" s="420"/>
      <c r="G70" s="420"/>
      <c r="H70" s="420"/>
      <c r="I70" s="420"/>
      <c r="J70" s="420"/>
      <c r="K70" s="420"/>
      <c r="L70" s="420"/>
      <c r="M70" s="420"/>
      <c r="N70" s="420"/>
    </row>
    <row r="71" spans="1:40" x14ac:dyDescent="0.4">
      <c r="D71" s="421" t="s">
        <v>277</v>
      </c>
      <c r="E71" s="422"/>
      <c r="F71" s="423"/>
      <c r="H71" s="421" t="s">
        <v>283</v>
      </c>
      <c r="I71" s="422"/>
      <c r="J71" s="423"/>
    </row>
    <row r="72" spans="1:40" x14ac:dyDescent="0.4">
      <c r="D72" s="421" t="s">
        <v>289</v>
      </c>
      <c r="E72" s="422"/>
      <c r="F72" s="423"/>
      <c r="H72" s="421" t="s">
        <v>284</v>
      </c>
      <c r="I72" s="422"/>
      <c r="J72" s="423"/>
    </row>
    <row r="73" spans="1:40" x14ac:dyDescent="0.4">
      <c r="D73" s="424"/>
      <c r="E73" s="420"/>
      <c r="F73" s="425"/>
      <c r="H73" s="424"/>
      <c r="I73" s="420"/>
      <c r="J73" s="425"/>
    </row>
    <row r="74" spans="1:40" x14ac:dyDescent="0.4">
      <c r="D74" s="64" t="s">
        <v>288</v>
      </c>
      <c r="E74" s="94">
        <v>1.1480000000000001E-2</v>
      </c>
      <c r="F74" s="65" t="s">
        <v>249</v>
      </c>
      <c r="H74" s="64" t="s">
        <v>288</v>
      </c>
      <c r="I74" s="94">
        <v>1.1480000000000001E-2</v>
      </c>
      <c r="J74" s="65" t="s">
        <v>249</v>
      </c>
    </row>
    <row r="75" spans="1:40" x14ac:dyDescent="0.4">
      <c r="A75"/>
      <c r="B75"/>
      <c r="C75" s="2" t="s">
        <v>278</v>
      </c>
      <c r="D75" s="77"/>
      <c r="E75" s="75"/>
      <c r="F75" s="78"/>
      <c r="H75" s="55"/>
      <c r="I75" s="38"/>
      <c r="J75" s="90"/>
      <c r="L75" s="60"/>
      <c r="M75" s="104" t="s">
        <v>285</v>
      </c>
      <c r="N75" s="104"/>
    </row>
    <row r="76" spans="1:40" x14ac:dyDescent="0.4">
      <c r="A76" s="91" t="s">
        <v>286</v>
      </c>
      <c r="B76"/>
      <c r="C76" s="68" t="s">
        <v>279</v>
      </c>
      <c r="D76" s="82" t="s">
        <v>248</v>
      </c>
      <c r="E76" s="83" t="s">
        <v>97</v>
      </c>
      <c r="F76" s="81" t="s">
        <v>140</v>
      </c>
      <c r="H76" s="82" t="s">
        <v>248</v>
      </c>
      <c r="I76" s="68" t="s">
        <v>97</v>
      </c>
      <c r="J76" s="81" t="s">
        <v>140</v>
      </c>
      <c r="L76" s="68" t="s">
        <v>248</v>
      </c>
      <c r="M76" s="68" t="s">
        <v>97</v>
      </c>
      <c r="N76" s="68" t="s">
        <v>140</v>
      </c>
    </row>
    <row r="77" spans="1:40" x14ac:dyDescent="0.4">
      <c r="A77" s="41" t="s">
        <v>282</v>
      </c>
      <c r="B77"/>
      <c r="C77"/>
      <c r="D77" s="55"/>
      <c r="E77" s="38"/>
      <c r="F77" s="81"/>
      <c r="H77" s="55"/>
      <c r="I77" s="38"/>
      <c r="J77" s="90"/>
    </row>
    <row r="78" spans="1:40" x14ac:dyDescent="0.4">
      <c r="A78" s="69" t="s">
        <v>250</v>
      </c>
      <c r="B78" s="69"/>
      <c r="C78" s="95">
        <f>C80*6</f>
        <v>53.94</v>
      </c>
      <c r="D78" s="84">
        <v>2</v>
      </c>
      <c r="E78" s="26">
        <v>4810</v>
      </c>
      <c r="F78" s="85">
        <f>(D78*C78)+($E$74*E78)</f>
        <v>163.09879999999998</v>
      </c>
      <c r="H78" s="84">
        <v>10</v>
      </c>
      <c r="I78" s="26">
        <v>54140</v>
      </c>
      <c r="J78" s="85">
        <f t="shared" ref="J78:J85" si="8">(H78*C78)+(I78*$I$8)</f>
        <v>1160.9272000000001</v>
      </c>
      <c r="L78" s="26">
        <f>D78+H78</f>
        <v>12</v>
      </c>
      <c r="M78" s="8">
        <f>E78+I78</f>
        <v>58950</v>
      </c>
      <c r="N78" s="25">
        <f>F78+J78</f>
        <v>1324.0260000000001</v>
      </c>
    </row>
    <row r="79" spans="1:40" x14ac:dyDescent="0.4">
      <c r="A79" s="69" t="s">
        <v>251</v>
      </c>
      <c r="B79" s="69"/>
      <c r="C79" s="69">
        <f>C80*8</f>
        <v>71.92</v>
      </c>
      <c r="D79" s="84">
        <v>2</v>
      </c>
      <c r="E79" s="26">
        <v>106040</v>
      </c>
      <c r="F79" s="89">
        <f t="shared" ref="F79:F110" si="9">(D79*C79)+($E$74*E79)</f>
        <v>1361.1792</v>
      </c>
      <c r="H79" s="84">
        <v>22</v>
      </c>
      <c r="I79" s="26">
        <v>1074860</v>
      </c>
      <c r="J79" s="86">
        <f t="shared" si="8"/>
        <v>13921.632800000001</v>
      </c>
      <c r="L79" s="26">
        <f t="shared" ref="L79:L85" si="10">D79+H79</f>
        <v>24</v>
      </c>
      <c r="M79" s="8">
        <f t="shared" ref="M79:M85" si="11">E79+I79</f>
        <v>1180900</v>
      </c>
      <c r="N79" s="8">
        <f t="shared" ref="N79:N85" si="12">F79+J79</f>
        <v>15282.812000000002</v>
      </c>
    </row>
    <row r="80" spans="1:40" x14ac:dyDescent="0.4">
      <c r="A80" s="69" t="s">
        <v>252</v>
      </c>
      <c r="B80" s="69"/>
      <c r="C80" s="69">
        <v>8.99</v>
      </c>
      <c r="D80" s="84">
        <v>25953</v>
      </c>
      <c r="E80" s="26">
        <v>86776950</v>
      </c>
      <c r="F80" s="89">
        <f t="shared" si="9"/>
        <v>1229516.8560000001</v>
      </c>
      <c r="H80" s="84">
        <v>169018</v>
      </c>
      <c r="I80" s="26">
        <v>527293213</v>
      </c>
      <c r="J80" s="86">
        <f t="shared" si="8"/>
        <v>7572797.9052400002</v>
      </c>
      <c r="L80" s="26">
        <f t="shared" si="10"/>
        <v>194971</v>
      </c>
      <c r="M80" s="8">
        <f t="shared" si="11"/>
        <v>614070163</v>
      </c>
      <c r="N80" s="8">
        <f t="shared" si="12"/>
        <v>8802314.7612399999</v>
      </c>
      <c r="AK80" s="1" t="s">
        <v>0</v>
      </c>
      <c r="AN80" s="1">
        <v>7853561.54</v>
      </c>
    </row>
    <row r="81" spans="1:39" x14ac:dyDescent="0.4">
      <c r="A81" s="69" t="s">
        <v>253</v>
      </c>
      <c r="B81" s="69"/>
      <c r="C81" s="69">
        <f>C80*2</f>
        <v>17.98</v>
      </c>
      <c r="D81" s="84">
        <v>250</v>
      </c>
      <c r="E81" s="26">
        <v>1488450</v>
      </c>
      <c r="F81" s="89">
        <f t="shared" si="9"/>
        <v>21582.406000000003</v>
      </c>
      <c r="H81" s="84">
        <v>1553</v>
      </c>
      <c r="I81" s="26">
        <v>9433690</v>
      </c>
      <c r="J81" s="86">
        <f t="shared" si="8"/>
        <v>136221.70120000001</v>
      </c>
      <c r="L81" s="26">
        <f t="shared" si="10"/>
        <v>1803</v>
      </c>
      <c r="M81" s="8">
        <f t="shared" si="11"/>
        <v>10922140</v>
      </c>
      <c r="N81" s="8">
        <f t="shared" si="12"/>
        <v>157804.10720000003</v>
      </c>
      <c r="AM81" s="1">
        <v>11578</v>
      </c>
    </row>
    <row r="82" spans="1:39" x14ac:dyDescent="0.4">
      <c r="A82" s="69" t="s">
        <v>254</v>
      </c>
      <c r="B82" s="69"/>
      <c r="C82" s="69">
        <f>C80*3</f>
        <v>26.97</v>
      </c>
      <c r="D82" s="84">
        <v>27</v>
      </c>
      <c r="E82" s="26">
        <v>212950</v>
      </c>
      <c r="F82" s="89">
        <f t="shared" si="9"/>
        <v>3172.8560000000002</v>
      </c>
      <c r="H82" s="84">
        <v>177</v>
      </c>
      <c r="I82" s="26">
        <v>1267010</v>
      </c>
      <c r="J82" s="86">
        <f t="shared" si="8"/>
        <v>19318.964800000002</v>
      </c>
      <c r="L82" s="26">
        <f t="shared" si="10"/>
        <v>204</v>
      </c>
      <c r="M82" s="8">
        <f t="shared" si="11"/>
        <v>1479960</v>
      </c>
      <c r="N82" s="8">
        <f t="shared" si="12"/>
        <v>22491.820800000001</v>
      </c>
      <c r="AM82" s="1">
        <v>124803</v>
      </c>
    </row>
    <row r="83" spans="1:39" x14ac:dyDescent="0.4">
      <c r="A83" s="70" t="s">
        <v>255</v>
      </c>
      <c r="B83" s="69"/>
      <c r="C83" s="69">
        <f>C80*4</f>
        <v>35.96</v>
      </c>
      <c r="D83" s="84">
        <v>8</v>
      </c>
      <c r="E83" s="26">
        <v>234270</v>
      </c>
      <c r="F83" s="89">
        <f t="shared" si="9"/>
        <v>2977.0996</v>
      </c>
      <c r="H83" s="84">
        <v>64</v>
      </c>
      <c r="I83" s="26">
        <v>2110620</v>
      </c>
      <c r="J83" s="86">
        <f t="shared" si="8"/>
        <v>26531.357599999999</v>
      </c>
      <c r="L83" s="26">
        <f t="shared" si="10"/>
        <v>72</v>
      </c>
      <c r="M83" s="8">
        <f t="shared" si="11"/>
        <v>2344890</v>
      </c>
      <c r="N83" s="8">
        <f t="shared" si="12"/>
        <v>29508.457200000001</v>
      </c>
      <c r="AM83" s="1">
        <v>39139</v>
      </c>
    </row>
    <row r="84" spans="1:39" x14ac:dyDescent="0.4">
      <c r="A84" s="71" t="s">
        <v>256</v>
      </c>
      <c r="B84" s="69"/>
      <c r="C84" s="69">
        <f>C80</f>
        <v>8.99</v>
      </c>
      <c r="D84" s="84">
        <v>6</v>
      </c>
      <c r="E84" s="26">
        <v>17790</v>
      </c>
      <c r="F84" s="89">
        <f t="shared" si="9"/>
        <v>258.16920000000005</v>
      </c>
      <c r="H84" s="84">
        <v>66</v>
      </c>
      <c r="I84" s="26">
        <v>143980</v>
      </c>
      <c r="J84" s="86">
        <f t="shared" si="8"/>
        <v>2246.2303999999999</v>
      </c>
      <c r="L84" s="26">
        <f t="shared" si="10"/>
        <v>72</v>
      </c>
      <c r="M84" s="8">
        <f t="shared" si="11"/>
        <v>161770</v>
      </c>
      <c r="N84" s="8">
        <f t="shared" si="12"/>
        <v>2504.3995999999997</v>
      </c>
      <c r="AM84" s="1">
        <v>9991</v>
      </c>
    </row>
    <row r="85" spans="1:39" x14ac:dyDescent="0.4">
      <c r="A85" s="69" t="s">
        <v>257</v>
      </c>
      <c r="B85" s="69"/>
      <c r="C85" s="69">
        <v>8.99</v>
      </c>
      <c r="D85" s="84">
        <v>8</v>
      </c>
      <c r="E85" s="26">
        <v>0</v>
      </c>
      <c r="F85" s="89">
        <f t="shared" si="9"/>
        <v>71.92</v>
      </c>
      <c r="H85" s="84">
        <v>397</v>
      </c>
      <c r="I85" s="26">
        <v>0</v>
      </c>
      <c r="J85" s="86">
        <f t="shared" si="8"/>
        <v>3569.03</v>
      </c>
      <c r="L85" s="26">
        <f t="shared" si="10"/>
        <v>405</v>
      </c>
      <c r="M85" s="8">
        <f t="shared" si="11"/>
        <v>0</v>
      </c>
      <c r="N85" s="8">
        <f t="shared" si="12"/>
        <v>3640.9500000000003</v>
      </c>
      <c r="AM85" s="1">
        <v>5625</v>
      </c>
    </row>
    <row r="86" spans="1:39" x14ac:dyDescent="0.4">
      <c r="A86" s="71"/>
      <c r="B86" s="69"/>
      <c r="C86" s="69"/>
      <c r="D86" s="84"/>
      <c r="E86" s="26"/>
      <c r="F86" s="89">
        <f t="shared" si="9"/>
        <v>0</v>
      </c>
      <c r="H86" s="84"/>
      <c r="I86" s="26"/>
      <c r="J86" s="86"/>
      <c r="L86" s="26"/>
      <c r="M86" s="8"/>
      <c r="N86" s="8"/>
      <c r="AM86" s="1">
        <v>15089</v>
      </c>
    </row>
    <row r="87" spans="1:39" x14ac:dyDescent="0.4">
      <c r="A87" s="69" t="s">
        <v>258</v>
      </c>
      <c r="B87" s="69"/>
      <c r="C87" s="69">
        <v>12.59</v>
      </c>
      <c r="D87" s="84">
        <v>108</v>
      </c>
      <c r="E87" s="26">
        <v>1058090</v>
      </c>
      <c r="F87" s="89">
        <f t="shared" si="9"/>
        <v>13506.593199999999</v>
      </c>
      <c r="H87" s="84">
        <v>775</v>
      </c>
      <c r="I87" s="26">
        <v>7485270</v>
      </c>
      <c r="J87" s="86">
        <f>(H87*C87)+(I87*$I$8)</f>
        <v>95688.149600000004</v>
      </c>
      <c r="L87" s="26">
        <f t="shared" ref="L87:L90" si="13">D87+H87</f>
        <v>883</v>
      </c>
      <c r="M87" s="8">
        <f t="shared" ref="M87:M90" si="14">E87+I87</f>
        <v>8543360</v>
      </c>
      <c r="N87" s="8">
        <f t="shared" ref="N87:N90" si="15">F87+J87</f>
        <v>109194.74280000001</v>
      </c>
      <c r="AM87" s="1">
        <v>15852</v>
      </c>
    </row>
    <row r="88" spans="1:39" x14ac:dyDescent="0.4">
      <c r="A88" s="69" t="s">
        <v>259</v>
      </c>
      <c r="B88" s="69"/>
      <c r="C88" s="69">
        <f>C80*2</f>
        <v>17.98</v>
      </c>
      <c r="D88" s="84">
        <v>4</v>
      </c>
      <c r="E88" s="26">
        <v>27750</v>
      </c>
      <c r="F88" s="89">
        <f t="shared" si="9"/>
        <v>390.49</v>
      </c>
      <c r="H88" s="84">
        <v>20</v>
      </c>
      <c r="I88" s="26">
        <v>169220</v>
      </c>
      <c r="J88" s="86">
        <f>(H88*C88)+(I88*$I$8)</f>
        <v>2302.2456000000002</v>
      </c>
      <c r="L88" s="26">
        <f t="shared" si="13"/>
        <v>24</v>
      </c>
      <c r="M88" s="8">
        <f t="shared" si="14"/>
        <v>196970</v>
      </c>
      <c r="N88" s="8">
        <f t="shared" si="15"/>
        <v>2692.7356</v>
      </c>
      <c r="AM88" s="1">
        <v>31433</v>
      </c>
    </row>
    <row r="89" spans="1:39" x14ac:dyDescent="0.4">
      <c r="A89" s="69" t="s">
        <v>260</v>
      </c>
      <c r="B89" s="69"/>
      <c r="C89" s="69">
        <f>C80*4</f>
        <v>35.96</v>
      </c>
      <c r="D89" s="84">
        <v>4</v>
      </c>
      <c r="E89" s="26">
        <v>11910</v>
      </c>
      <c r="F89" s="89">
        <f t="shared" si="9"/>
        <v>280.5668</v>
      </c>
      <c r="H89" s="84">
        <v>20</v>
      </c>
      <c r="I89" s="26">
        <v>40840</v>
      </c>
      <c r="J89" s="86">
        <f>(H89*C89)+(I89*$I$8)</f>
        <v>1188.0432000000001</v>
      </c>
      <c r="L89" s="26">
        <f t="shared" si="13"/>
        <v>24</v>
      </c>
      <c r="M89" s="8">
        <f t="shared" si="14"/>
        <v>52750</v>
      </c>
      <c r="N89" s="8">
        <f t="shared" si="15"/>
        <v>1468.6100000000001</v>
      </c>
      <c r="AM89" s="1">
        <v>37889</v>
      </c>
    </row>
    <row r="90" spans="1:39" x14ac:dyDescent="0.4">
      <c r="A90" s="69" t="s">
        <v>261</v>
      </c>
      <c r="B90" s="69"/>
      <c r="C90" s="69">
        <f>5*C80</f>
        <v>44.95</v>
      </c>
      <c r="D90" s="84">
        <v>2</v>
      </c>
      <c r="E90" s="26">
        <v>58190</v>
      </c>
      <c r="F90" s="89">
        <f t="shared" si="9"/>
        <v>757.9212</v>
      </c>
      <c r="H90" s="84">
        <v>10</v>
      </c>
      <c r="I90" s="26">
        <v>209370</v>
      </c>
      <c r="J90" s="86">
        <f>(H90*C90)+(I90*$I$8)</f>
        <v>2853.0676000000003</v>
      </c>
      <c r="L90" s="26">
        <f t="shared" si="13"/>
        <v>12</v>
      </c>
      <c r="M90" s="8">
        <f t="shared" si="14"/>
        <v>267560</v>
      </c>
      <c r="N90" s="8">
        <f t="shared" si="15"/>
        <v>3610.9888000000001</v>
      </c>
      <c r="AM90" s="1">
        <v>15647</v>
      </c>
    </row>
    <row r="91" spans="1:39" x14ac:dyDescent="0.4">
      <c r="A91" s="69"/>
      <c r="B91" s="69"/>
      <c r="C91" s="69"/>
      <c r="D91" s="84"/>
      <c r="E91" s="26"/>
      <c r="F91" s="89">
        <f t="shared" si="9"/>
        <v>0</v>
      </c>
      <c r="H91" s="84"/>
      <c r="I91" s="26"/>
      <c r="J91" s="86"/>
      <c r="L91" s="26"/>
      <c r="M91" s="8"/>
      <c r="N91" s="8"/>
      <c r="AM91" s="1">
        <v>12550</v>
      </c>
    </row>
    <row r="92" spans="1:39" x14ac:dyDescent="0.4">
      <c r="A92" s="69" t="s">
        <v>262</v>
      </c>
      <c r="B92" s="69"/>
      <c r="C92" s="69">
        <f>C80*52</f>
        <v>467.48</v>
      </c>
      <c r="D92" s="84">
        <v>2</v>
      </c>
      <c r="E92" s="26">
        <v>250100</v>
      </c>
      <c r="F92" s="89">
        <f t="shared" si="9"/>
        <v>3806.1080000000002</v>
      </c>
      <c r="H92" s="84">
        <v>10</v>
      </c>
      <c r="I92" s="26">
        <v>703900</v>
      </c>
      <c r="J92" s="86">
        <f>(H92*C92)+(I92*$I$8)</f>
        <v>12755.572</v>
      </c>
      <c r="L92" s="26">
        <f t="shared" ref="L92:L96" si="16">D92+H92</f>
        <v>12</v>
      </c>
      <c r="M92" s="8">
        <f t="shared" ref="M92:M96" si="17">E92+I92</f>
        <v>954000</v>
      </c>
      <c r="N92" s="8">
        <f t="shared" ref="N92:N96" si="18">F92+J92</f>
        <v>16561.68</v>
      </c>
      <c r="AM92" s="1">
        <v>9765</v>
      </c>
    </row>
    <row r="93" spans="1:39" x14ac:dyDescent="0.4">
      <c r="A93" s="69" t="s">
        <v>263</v>
      </c>
      <c r="B93" s="69"/>
      <c r="C93" s="69">
        <v>26.07</v>
      </c>
      <c r="D93" s="84">
        <v>51</v>
      </c>
      <c r="E93" s="26">
        <v>1920110</v>
      </c>
      <c r="F93" s="89">
        <f t="shared" si="9"/>
        <v>23372.432800000002</v>
      </c>
      <c r="H93" s="84">
        <v>342</v>
      </c>
      <c r="I93" s="26">
        <v>10345540</v>
      </c>
      <c r="J93" s="86">
        <f>(H93*C93)+(I93*$I$8)</f>
        <v>127682.73920000001</v>
      </c>
      <c r="L93" s="26">
        <f t="shared" si="16"/>
        <v>393</v>
      </c>
      <c r="M93" s="8">
        <f t="shared" si="17"/>
        <v>12265650</v>
      </c>
      <c r="N93" s="8">
        <f t="shared" si="18"/>
        <v>151055.17200000002</v>
      </c>
    </row>
    <row r="94" spans="1:39" x14ac:dyDescent="0.4">
      <c r="A94" s="69" t="s">
        <v>264</v>
      </c>
      <c r="B94" s="69"/>
      <c r="C94" s="69">
        <f>C80*16</f>
        <v>143.84</v>
      </c>
      <c r="D94" s="84">
        <v>2</v>
      </c>
      <c r="E94" s="26">
        <v>38900</v>
      </c>
      <c r="F94" s="89">
        <f t="shared" si="9"/>
        <v>734.25199999999995</v>
      </c>
      <c r="H94" s="84">
        <v>10</v>
      </c>
      <c r="I94" s="26">
        <v>186400</v>
      </c>
      <c r="J94" s="86">
        <f>(H94*C94)+(I94*$I$8)</f>
        <v>3578.2720000000004</v>
      </c>
      <c r="L94" s="26">
        <f t="shared" si="16"/>
        <v>12</v>
      </c>
      <c r="M94" s="8">
        <f t="shared" si="17"/>
        <v>225300</v>
      </c>
      <c r="N94" s="8">
        <f t="shared" si="18"/>
        <v>4312.5240000000003</v>
      </c>
      <c r="AM94" s="1">
        <f>SUM(AM81:AM93)</f>
        <v>329361</v>
      </c>
    </row>
    <row r="95" spans="1:39" x14ac:dyDescent="0.4">
      <c r="A95" s="69" t="s">
        <v>265</v>
      </c>
      <c r="B95" s="69"/>
      <c r="C95" s="69">
        <v>26.07</v>
      </c>
      <c r="D95" s="84">
        <v>37</v>
      </c>
      <c r="E95" s="26">
        <v>2352540</v>
      </c>
      <c r="F95" s="89">
        <f t="shared" si="9"/>
        <v>27971.749200000002</v>
      </c>
      <c r="H95" s="84">
        <v>217</v>
      </c>
      <c r="I95" s="26">
        <v>7075370</v>
      </c>
      <c r="J95" s="86">
        <f>(H95*C95)+(I95*$I$8)</f>
        <v>86882.437600000005</v>
      </c>
      <c r="L95" s="26">
        <f t="shared" si="16"/>
        <v>254</v>
      </c>
      <c r="M95" s="8">
        <f t="shared" si="17"/>
        <v>9427910</v>
      </c>
      <c r="N95" s="8">
        <f t="shared" si="18"/>
        <v>114854.18680000001</v>
      </c>
    </row>
    <row r="96" spans="1:39" x14ac:dyDescent="0.4">
      <c r="A96" s="69" t="s">
        <v>266</v>
      </c>
      <c r="B96" s="69"/>
      <c r="C96" s="69">
        <f>C80*68</f>
        <v>611.32000000000005</v>
      </c>
      <c r="D96" s="84">
        <v>2</v>
      </c>
      <c r="E96" s="26">
        <v>316960</v>
      </c>
      <c r="F96" s="89">
        <f t="shared" si="9"/>
        <v>4861.3407999999999</v>
      </c>
      <c r="H96" s="84">
        <v>10</v>
      </c>
      <c r="I96" s="26">
        <v>1730240</v>
      </c>
      <c r="J96" s="86">
        <f>(H96*C96)+(I96*$I$8)</f>
        <v>25976.355200000002</v>
      </c>
      <c r="L96" s="26">
        <f t="shared" si="16"/>
        <v>12</v>
      </c>
      <c r="M96" s="8">
        <f t="shared" si="17"/>
        <v>2047200</v>
      </c>
      <c r="N96" s="8">
        <f t="shared" si="18"/>
        <v>30837.696000000004</v>
      </c>
    </row>
    <row r="97" spans="1:40" x14ac:dyDescent="0.4">
      <c r="A97" s="69"/>
      <c r="B97" s="69"/>
      <c r="C97" s="69"/>
      <c r="D97" s="84"/>
      <c r="E97" s="26"/>
      <c r="F97" s="89">
        <f t="shared" si="9"/>
        <v>0</v>
      </c>
      <c r="H97" s="84"/>
      <c r="I97" s="26"/>
      <c r="J97" s="86"/>
      <c r="L97" s="26"/>
      <c r="M97" s="8"/>
      <c r="N97" s="8"/>
      <c r="AK97" s="1" t="s">
        <v>1</v>
      </c>
      <c r="AN97" s="1">
        <v>890780</v>
      </c>
    </row>
    <row r="98" spans="1:40" x14ac:dyDescent="0.4">
      <c r="A98" s="69"/>
      <c r="B98" s="69"/>
      <c r="C98" s="69"/>
      <c r="D98" s="84"/>
      <c r="E98" s="26"/>
      <c r="F98" s="89">
        <f t="shared" si="9"/>
        <v>0</v>
      </c>
      <c r="H98" s="84"/>
      <c r="I98" s="26"/>
      <c r="J98" s="86"/>
      <c r="L98" s="26"/>
      <c r="M98" s="8"/>
      <c r="N98" s="8"/>
      <c r="AM98" s="1">
        <v>1363</v>
      </c>
    </row>
    <row r="99" spans="1:40" x14ac:dyDescent="0.4">
      <c r="A99" s="69" t="s">
        <v>267</v>
      </c>
      <c r="B99" s="69"/>
      <c r="C99" s="69">
        <v>98.89</v>
      </c>
      <c r="D99" s="84">
        <v>6</v>
      </c>
      <c r="E99" s="26">
        <v>430400</v>
      </c>
      <c r="F99" s="89">
        <f t="shared" si="9"/>
        <v>5534.3320000000003</v>
      </c>
      <c r="H99" s="84">
        <v>42</v>
      </c>
      <c r="I99" s="26">
        <v>2558540</v>
      </c>
      <c r="J99" s="86">
        <f>(H99*C99)+(I99*$I$8)</f>
        <v>33525.419200000004</v>
      </c>
      <c r="L99" s="26">
        <f t="shared" ref="L99:L100" si="19">D99+H99</f>
        <v>48</v>
      </c>
      <c r="M99" s="8">
        <f t="shared" ref="M99:M100" si="20">E99+I99</f>
        <v>2988940</v>
      </c>
      <c r="N99" s="8">
        <f t="shared" ref="N99:N100" si="21">F99+J99</f>
        <v>39059.751200000006</v>
      </c>
      <c r="AM99" s="1">
        <v>2989</v>
      </c>
    </row>
    <row r="100" spans="1:40" x14ac:dyDescent="0.4">
      <c r="A100" s="69" t="s">
        <v>268</v>
      </c>
      <c r="B100" s="69"/>
      <c r="C100" s="69">
        <v>98.89</v>
      </c>
      <c r="D100" s="84">
        <v>8</v>
      </c>
      <c r="E100" s="26">
        <v>394660</v>
      </c>
      <c r="F100" s="89">
        <f t="shared" si="9"/>
        <v>5321.8168000000005</v>
      </c>
      <c r="H100" s="84">
        <v>52</v>
      </c>
      <c r="I100" s="26">
        <v>2901380</v>
      </c>
      <c r="J100" s="86">
        <f>(H100*C100)+(I100*$I$8)</f>
        <v>38450.1224</v>
      </c>
      <c r="L100" s="26">
        <f t="shared" si="19"/>
        <v>60</v>
      </c>
      <c r="M100" s="8">
        <f t="shared" si="20"/>
        <v>3296040</v>
      </c>
      <c r="N100" s="8">
        <f t="shared" si="21"/>
        <v>43771.939200000001</v>
      </c>
      <c r="AM100" s="1">
        <v>7108</v>
      </c>
    </row>
    <row r="101" spans="1:40" x14ac:dyDescent="0.4">
      <c r="A101" s="69"/>
      <c r="B101" s="69"/>
      <c r="C101" s="69"/>
      <c r="D101" s="84"/>
      <c r="E101" s="26"/>
      <c r="F101" s="89">
        <f t="shared" si="9"/>
        <v>0</v>
      </c>
      <c r="H101" s="84"/>
      <c r="I101" s="26"/>
      <c r="J101" s="86"/>
      <c r="L101" s="26"/>
      <c r="M101" s="8"/>
      <c r="N101" s="8"/>
      <c r="AM101" s="1">
        <v>3812</v>
      </c>
    </row>
    <row r="102" spans="1:40" x14ac:dyDescent="0.4">
      <c r="A102" s="69"/>
      <c r="B102" s="69"/>
      <c r="C102" s="69"/>
      <c r="D102" s="84"/>
      <c r="E102" s="26"/>
      <c r="F102" s="89">
        <f t="shared" si="9"/>
        <v>0</v>
      </c>
      <c r="H102" s="84"/>
      <c r="I102" s="26"/>
      <c r="J102" s="86"/>
      <c r="L102" s="26"/>
      <c r="M102" s="8"/>
      <c r="N102" s="8"/>
      <c r="AM102" s="1">
        <v>6313</v>
      </c>
    </row>
    <row r="103" spans="1:40" x14ac:dyDescent="0.4">
      <c r="A103" s="69" t="s">
        <v>269</v>
      </c>
      <c r="B103" s="69"/>
      <c r="C103" s="69">
        <v>125.86</v>
      </c>
      <c r="D103" s="84">
        <v>1</v>
      </c>
      <c r="E103" s="26">
        <v>5100</v>
      </c>
      <c r="F103" s="89">
        <f t="shared" si="9"/>
        <v>184.40800000000002</v>
      </c>
      <c r="H103" s="84">
        <v>11</v>
      </c>
      <c r="I103" s="26">
        <v>85800</v>
      </c>
      <c r="J103" s="86">
        <f>(H103*C103)+(I103*$I$8)</f>
        <v>2369.444</v>
      </c>
      <c r="L103" s="26">
        <f t="shared" ref="L103:L105" si="22">D103+H103</f>
        <v>12</v>
      </c>
      <c r="M103" s="8">
        <f t="shared" ref="M103:M105" si="23">E103+I103</f>
        <v>90900</v>
      </c>
      <c r="N103" s="8">
        <f t="shared" ref="N103:N105" si="24">F103+J103</f>
        <v>2553.8519999999999</v>
      </c>
      <c r="AM103" s="1">
        <v>1427</v>
      </c>
    </row>
    <row r="104" spans="1:40" x14ac:dyDescent="0.4">
      <c r="A104" s="69" t="s">
        <v>270</v>
      </c>
      <c r="B104" s="69"/>
      <c r="C104" s="69">
        <v>125.86</v>
      </c>
      <c r="D104" s="84">
        <v>7</v>
      </c>
      <c r="E104" s="26">
        <v>1085800</v>
      </c>
      <c r="F104" s="89">
        <f t="shared" si="9"/>
        <v>13346.004000000001</v>
      </c>
      <c r="H104" s="84">
        <v>53</v>
      </c>
      <c r="I104" s="26">
        <v>11102390</v>
      </c>
      <c r="J104" s="86">
        <f>(H104*C104)+(I104*$I$8)</f>
        <v>134126.0172</v>
      </c>
      <c r="L104" s="26">
        <f t="shared" si="22"/>
        <v>60</v>
      </c>
      <c r="M104" s="8">
        <f t="shared" si="23"/>
        <v>12188190</v>
      </c>
      <c r="N104" s="8">
        <f t="shared" si="24"/>
        <v>147472.02120000002</v>
      </c>
      <c r="AM104" s="1">
        <v>3756</v>
      </c>
    </row>
    <row r="105" spans="1:40" x14ac:dyDescent="0.4">
      <c r="A105" s="69" t="s">
        <v>271</v>
      </c>
      <c r="B105" s="69"/>
      <c r="C105" s="69">
        <v>125.86</v>
      </c>
      <c r="D105" s="84">
        <v>4</v>
      </c>
      <c r="E105" s="26">
        <v>101480</v>
      </c>
      <c r="F105" s="89">
        <f t="shared" si="9"/>
        <v>1668.4304000000002</v>
      </c>
      <c r="H105" s="84">
        <v>20</v>
      </c>
      <c r="I105" s="26">
        <v>657140</v>
      </c>
      <c r="J105" s="86">
        <f>(H105*C105)+(I105*$I$8)</f>
        <v>10061.1672</v>
      </c>
      <c r="L105" s="26">
        <f t="shared" si="22"/>
        <v>24</v>
      </c>
      <c r="M105" s="8">
        <f t="shared" si="23"/>
        <v>758620</v>
      </c>
      <c r="N105" s="8">
        <f t="shared" si="24"/>
        <v>11729.597600000001</v>
      </c>
      <c r="AM105" s="1">
        <v>2387</v>
      </c>
    </row>
    <row r="106" spans="1:40" x14ac:dyDescent="0.4">
      <c r="A106" s="69"/>
      <c r="B106" s="69"/>
      <c r="C106" s="69"/>
      <c r="D106" s="84"/>
      <c r="E106" s="26"/>
      <c r="F106" s="89">
        <f t="shared" si="9"/>
        <v>0</v>
      </c>
      <c r="H106" s="84"/>
      <c r="I106" s="26"/>
      <c r="J106" s="86"/>
      <c r="L106" s="26"/>
      <c r="M106" s="8"/>
      <c r="N106" s="8"/>
      <c r="AM106" s="1">
        <v>1575</v>
      </c>
    </row>
    <row r="107" spans="1:40" x14ac:dyDescent="0.4">
      <c r="A107" s="69" t="s">
        <v>272</v>
      </c>
      <c r="B107" s="69"/>
      <c r="C107" s="69">
        <f>188.79</f>
        <v>188.79</v>
      </c>
      <c r="D107" s="84">
        <v>9</v>
      </c>
      <c r="E107" s="26">
        <v>135900</v>
      </c>
      <c r="F107" s="89">
        <f t="shared" si="9"/>
        <v>3259.2420000000002</v>
      </c>
      <c r="H107" s="84">
        <v>33</v>
      </c>
      <c r="I107" s="26">
        <v>2918900</v>
      </c>
      <c r="J107" s="86">
        <f>(H107*C107)+(I107*$I$8)</f>
        <v>39739.042000000001</v>
      </c>
      <c r="L107" s="26">
        <f t="shared" ref="L107:L110" si="25">D107+H107</f>
        <v>42</v>
      </c>
      <c r="M107" s="8">
        <f t="shared" ref="M107:M110" si="26">E107+I107</f>
        <v>3054800</v>
      </c>
      <c r="N107" s="8">
        <f t="shared" ref="N107:N110" si="27">F107+J107</f>
        <v>42998.284</v>
      </c>
      <c r="AM107" s="1">
        <v>1165</v>
      </c>
    </row>
    <row r="108" spans="1:40" x14ac:dyDescent="0.4">
      <c r="A108" s="69" t="s">
        <v>273</v>
      </c>
      <c r="B108" s="69"/>
      <c r="C108" s="69">
        <f>C84*84</f>
        <v>755.16</v>
      </c>
      <c r="D108" s="84">
        <v>1</v>
      </c>
      <c r="E108" s="26">
        <v>58000</v>
      </c>
      <c r="F108" s="89">
        <f t="shared" si="9"/>
        <v>1421</v>
      </c>
      <c r="H108" s="84">
        <v>11</v>
      </c>
      <c r="I108" s="26">
        <v>703000</v>
      </c>
      <c r="J108" s="86">
        <f>(H108*C108)+(I108*$I$8)</f>
        <v>16377.2</v>
      </c>
      <c r="L108" s="26">
        <f t="shared" si="25"/>
        <v>12</v>
      </c>
      <c r="M108" s="8">
        <f t="shared" si="26"/>
        <v>761000</v>
      </c>
      <c r="N108" s="8">
        <f t="shared" si="27"/>
        <v>17798.2</v>
      </c>
      <c r="AM108" s="1">
        <v>503</v>
      </c>
    </row>
    <row r="109" spans="1:40" x14ac:dyDescent="0.4">
      <c r="A109" s="69" t="s">
        <v>274</v>
      </c>
      <c r="B109" s="69"/>
      <c r="C109" s="69">
        <v>188.79</v>
      </c>
      <c r="D109" s="84">
        <v>1</v>
      </c>
      <c r="E109" s="26">
        <v>0</v>
      </c>
      <c r="F109" s="89">
        <f t="shared" si="9"/>
        <v>188.79</v>
      </c>
      <c r="H109" s="84">
        <v>9</v>
      </c>
      <c r="I109" s="26">
        <v>0</v>
      </c>
      <c r="J109" s="86">
        <f>(H109*C109)+(I109*$I$8)</f>
        <v>1699.11</v>
      </c>
      <c r="L109" s="26">
        <f t="shared" si="25"/>
        <v>10</v>
      </c>
      <c r="M109" s="8">
        <f t="shared" si="26"/>
        <v>0</v>
      </c>
      <c r="N109" s="8">
        <f t="shared" si="27"/>
        <v>1887.8999999999999</v>
      </c>
    </row>
    <row r="110" spans="1:40" x14ac:dyDescent="0.4">
      <c r="A110" s="69" t="s">
        <v>275</v>
      </c>
      <c r="B110" s="69"/>
      <c r="C110" s="69">
        <v>188.79</v>
      </c>
      <c r="D110" s="84">
        <v>1</v>
      </c>
      <c r="E110" s="26">
        <v>0</v>
      </c>
      <c r="F110" s="89">
        <f t="shared" si="9"/>
        <v>188.79</v>
      </c>
      <c r="H110" s="84">
        <v>11</v>
      </c>
      <c r="I110" s="26">
        <v>175000</v>
      </c>
      <c r="J110" s="86">
        <f>(H110*C110)+(I110*$I$8)</f>
        <v>4085.69</v>
      </c>
      <c r="L110" s="26">
        <f t="shared" si="25"/>
        <v>12</v>
      </c>
      <c r="M110" s="10">
        <f t="shared" si="26"/>
        <v>175000</v>
      </c>
      <c r="N110" s="10">
        <f t="shared" si="27"/>
        <v>4274.4800000000005</v>
      </c>
      <c r="AM110" s="1">
        <f>SUM(AM98:AM109)</f>
        <v>32398</v>
      </c>
    </row>
    <row r="111" spans="1:40" x14ac:dyDescent="0.4">
      <c r="A111" s="69"/>
      <c r="B111" s="69"/>
      <c r="C111" s="69"/>
      <c r="D111" s="96"/>
      <c r="E111" s="97"/>
      <c r="F111" s="98"/>
      <c r="H111" s="96"/>
      <c r="I111" s="97"/>
      <c r="J111" s="98"/>
      <c r="L111" s="26"/>
      <c r="M111" s="8"/>
      <c r="N111" s="8"/>
    </row>
    <row r="112" spans="1:40" x14ac:dyDescent="0.4">
      <c r="A112" s="69" t="s">
        <v>292</v>
      </c>
      <c r="B112" s="69"/>
      <c r="C112" s="69"/>
      <c r="D112" s="99"/>
      <c r="E112" s="10">
        <f>SUM(E78:E111)</f>
        <v>97087150</v>
      </c>
      <c r="F112" s="88">
        <f>SUM(F78:F111)</f>
        <v>1365897.8519999997</v>
      </c>
      <c r="G112" s="38"/>
      <c r="H112" s="99"/>
      <c r="I112" s="10">
        <f>SUM(I78:I111)</f>
        <v>590425813</v>
      </c>
      <c r="J112" s="88">
        <f>SUM(J78:J111)</f>
        <v>8415107.8432399966</v>
      </c>
      <c r="M112" s="10">
        <f>SUM(M78:M111)</f>
        <v>687512963</v>
      </c>
      <c r="N112" s="25">
        <f>SUM(N78:N111)</f>
        <v>9781005.6952399984</v>
      </c>
      <c r="AK112" s="1" t="s">
        <v>2</v>
      </c>
      <c r="AN112" s="1">
        <v>88315.8</v>
      </c>
    </row>
    <row r="113" spans="1:42" x14ac:dyDescent="0.4">
      <c r="A113" s="69" t="s">
        <v>3405</v>
      </c>
      <c r="B113" s="69"/>
      <c r="C113" s="69"/>
      <c r="D113" s="26"/>
      <c r="E113" s="26"/>
      <c r="F113" s="26"/>
      <c r="G113" s="38"/>
      <c r="H113" s="26"/>
      <c r="I113" s="26"/>
      <c r="J113" s="26"/>
      <c r="M113" s="26"/>
      <c r="N113" s="93"/>
    </row>
    <row r="114" spans="1:42" x14ac:dyDescent="0.4">
      <c r="A114" s="69"/>
      <c r="B114" s="69"/>
      <c r="C114" s="69"/>
      <c r="D114" s="26"/>
      <c r="E114" s="26"/>
      <c r="F114" s="26"/>
      <c r="G114" s="38"/>
      <c r="H114" s="26"/>
      <c r="I114" s="26"/>
      <c r="J114" s="26"/>
      <c r="M114" s="26"/>
      <c r="N114" s="93"/>
    </row>
    <row r="115" spans="1:42" x14ac:dyDescent="0.4">
      <c r="A115" s="69" t="s">
        <v>294</v>
      </c>
      <c r="B115" s="69"/>
      <c r="C115" s="69"/>
      <c r="D115" s="26"/>
      <c r="E115" s="26"/>
      <c r="F115" s="26"/>
      <c r="G115" s="38"/>
      <c r="H115" s="26"/>
      <c r="I115" s="26"/>
      <c r="J115" s="26"/>
      <c r="M115" s="26"/>
      <c r="N115" s="25">
        <f>N112+N113</f>
        <v>9781005.6952399984</v>
      </c>
      <c r="AK115" s="1" t="s">
        <v>4</v>
      </c>
      <c r="AN115" s="1">
        <v>481158</v>
      </c>
    </row>
    <row r="116" spans="1:42" x14ac:dyDescent="0.4">
      <c r="A116" s="69" t="s">
        <v>295</v>
      </c>
      <c r="B116" s="69"/>
      <c r="C116" s="69"/>
      <c r="D116" s="26"/>
      <c r="E116" s="26"/>
      <c r="F116" s="26"/>
      <c r="G116" s="38"/>
      <c r="H116" s="26"/>
      <c r="I116" s="26"/>
      <c r="J116" s="26"/>
      <c r="M116" s="26"/>
      <c r="N116" s="105"/>
      <c r="AM116" s="1">
        <v>1573</v>
      </c>
    </row>
    <row r="117" spans="1:42" x14ac:dyDescent="0.4">
      <c r="A117" s="69"/>
      <c r="B117" s="69"/>
      <c r="C117" s="69"/>
      <c r="D117" s="26"/>
      <c r="E117" s="26"/>
      <c r="F117" s="26"/>
      <c r="G117" s="38"/>
      <c r="H117" s="26"/>
      <c r="I117" s="26"/>
      <c r="J117" s="26"/>
      <c r="M117" s="26"/>
      <c r="N117" s="93"/>
      <c r="AM117" s="1">
        <v>100805</v>
      </c>
    </row>
    <row r="118" spans="1:42" x14ac:dyDescent="0.4">
      <c r="A118" s="1" t="s">
        <v>182</v>
      </c>
      <c r="AM118" s="1">
        <v>10990.96</v>
      </c>
    </row>
    <row r="119" spans="1:42" x14ac:dyDescent="0.4">
      <c r="AM119" s="1">
        <v>254.65</v>
      </c>
    </row>
    <row r="121" spans="1:42" x14ac:dyDescent="0.4">
      <c r="A121" s="420" t="s">
        <v>300</v>
      </c>
      <c r="B121" s="420"/>
      <c r="C121" s="420"/>
      <c r="D121" s="420"/>
      <c r="E121" s="420"/>
      <c r="F121" s="420"/>
      <c r="AM121" s="1">
        <f>SUM(AM116:AM120)</f>
        <v>113623.60999999999</v>
      </c>
    </row>
    <row r="123" spans="1:42" x14ac:dyDescent="0.4">
      <c r="A123"/>
      <c r="B123"/>
      <c r="C123" s="2" t="s">
        <v>278</v>
      </c>
      <c r="D123" s="64" t="s">
        <v>288</v>
      </c>
      <c r="E123" s="94">
        <v>1.1480000000000001E-2</v>
      </c>
      <c r="F123" s="65" t="s">
        <v>249</v>
      </c>
      <c r="AK123" s="1" t="s">
        <v>3</v>
      </c>
      <c r="AN123" s="1">
        <v>363862.2</v>
      </c>
    </row>
    <row r="124" spans="1:42" x14ac:dyDescent="0.4">
      <c r="A124" s="91" t="s">
        <v>286</v>
      </c>
      <c r="B124"/>
      <c r="C124" s="68" t="s">
        <v>279</v>
      </c>
      <c r="D124" s="68" t="s">
        <v>248</v>
      </c>
      <c r="E124" s="68" t="s">
        <v>97</v>
      </c>
      <c r="F124" s="68" t="s">
        <v>140</v>
      </c>
    </row>
    <row r="125" spans="1:42" x14ac:dyDescent="0.4">
      <c r="A125" s="41" t="s">
        <v>282</v>
      </c>
      <c r="B125"/>
      <c r="C125"/>
      <c r="Q125" s="20" t="s">
        <v>88</v>
      </c>
    </row>
    <row r="126" spans="1:42" x14ac:dyDescent="0.4">
      <c r="A126" s="69" t="s">
        <v>250</v>
      </c>
      <c r="B126" s="69"/>
      <c r="C126" s="95">
        <f>C128*6</f>
        <v>53.94</v>
      </c>
      <c r="D126" s="8">
        <v>12</v>
      </c>
      <c r="E126" s="8">
        <v>58950</v>
      </c>
      <c r="F126" s="8">
        <f>(D126*C126)+(E126*$E$123)</f>
        <v>1324.0259999999998</v>
      </c>
      <c r="AM126" s="1">
        <f>AM94+AM110+AM121</f>
        <v>475382.61</v>
      </c>
      <c r="AN126" s="8">
        <f>SUM(AN75:AN125)</f>
        <v>9677677.5399999991</v>
      </c>
      <c r="AO126" s="8"/>
      <c r="AP126" s="8">
        <f>AM126+AN126</f>
        <v>10153060.149999999</v>
      </c>
    </row>
    <row r="127" spans="1:42" x14ac:dyDescent="0.4">
      <c r="A127" s="69" t="s">
        <v>251</v>
      </c>
      <c r="B127" s="69"/>
      <c r="C127" s="69">
        <f>C128*8</f>
        <v>71.92</v>
      </c>
      <c r="D127" s="8">
        <v>24</v>
      </c>
      <c r="E127" s="8">
        <v>1180900</v>
      </c>
      <c r="F127" s="8">
        <f t="shared" ref="F127:F133" si="28">(D127*C127)+(E127*$E$123)</f>
        <v>15282.812</v>
      </c>
    </row>
    <row r="128" spans="1:42" x14ac:dyDescent="0.4">
      <c r="A128" s="69" t="s">
        <v>252</v>
      </c>
      <c r="B128" s="69"/>
      <c r="C128" s="69">
        <v>8.99</v>
      </c>
      <c r="D128" s="8">
        <v>194971</v>
      </c>
      <c r="E128" s="8">
        <v>614070163</v>
      </c>
      <c r="F128" s="8">
        <f t="shared" si="28"/>
        <v>8802314.7612400018</v>
      </c>
      <c r="Q128" s="20" t="s">
        <v>36</v>
      </c>
      <c r="AL128" s="1" t="s">
        <v>84</v>
      </c>
    </row>
    <row r="129" spans="1:38" x14ac:dyDescent="0.4">
      <c r="A129" s="69" t="s">
        <v>253</v>
      </c>
      <c r="B129" s="69"/>
      <c r="C129" s="69">
        <f>C128*2</f>
        <v>17.98</v>
      </c>
      <c r="D129" s="8">
        <v>1803</v>
      </c>
      <c r="E129" s="8">
        <v>10922140</v>
      </c>
      <c r="F129" s="8">
        <f t="shared" si="28"/>
        <v>157804.10720000003</v>
      </c>
      <c r="Y129" s="1" t="s">
        <v>5</v>
      </c>
      <c r="Z129" s="1" t="s">
        <v>6</v>
      </c>
      <c r="AA129" s="1" t="s">
        <v>7</v>
      </c>
      <c r="AB129" s="1" t="s">
        <v>8</v>
      </c>
      <c r="AC129" s="1" t="s">
        <v>9</v>
      </c>
      <c r="AD129" s="1" t="s">
        <v>10</v>
      </c>
      <c r="AE129" s="1" t="s">
        <v>11</v>
      </c>
      <c r="AF129" s="1" t="s">
        <v>12</v>
      </c>
      <c r="AG129" s="1" t="s">
        <v>13</v>
      </c>
      <c r="AH129" s="1" t="s">
        <v>14</v>
      </c>
      <c r="AI129" s="1" t="s">
        <v>15</v>
      </c>
      <c r="AJ129" s="1" t="s">
        <v>16</v>
      </c>
      <c r="AK129" s="1" t="s">
        <v>25</v>
      </c>
      <c r="AL129" s="1" t="s">
        <v>32</v>
      </c>
    </row>
    <row r="130" spans="1:38" x14ac:dyDescent="0.4">
      <c r="A130" s="69" t="s">
        <v>254</v>
      </c>
      <c r="B130" s="69"/>
      <c r="C130" s="69">
        <f>C128*3</f>
        <v>26.97</v>
      </c>
      <c r="D130" s="8">
        <v>204</v>
      </c>
      <c r="E130" s="8">
        <v>1479960</v>
      </c>
      <c r="F130" s="8">
        <f t="shared" si="28"/>
        <v>22491.820800000001</v>
      </c>
    </row>
    <row r="131" spans="1:38" x14ac:dyDescent="0.4">
      <c r="A131" s="70" t="s">
        <v>255</v>
      </c>
      <c r="B131" s="69"/>
      <c r="C131" s="69">
        <f>C128*4</f>
        <v>35.96</v>
      </c>
      <c r="D131" s="8">
        <v>72</v>
      </c>
      <c r="E131" s="8">
        <v>2344890</v>
      </c>
      <c r="F131" s="8">
        <f t="shared" si="28"/>
        <v>29508.457200000001</v>
      </c>
      <c r="Q131" s="1" t="s">
        <v>0</v>
      </c>
      <c r="R131" s="1" t="s">
        <v>31</v>
      </c>
      <c r="Y131" s="1">
        <v>652266.23999999999</v>
      </c>
      <c r="Z131" s="1">
        <v>793669.83</v>
      </c>
      <c r="AA131" s="1">
        <v>638672.64000000001</v>
      </c>
      <c r="AB131" s="1">
        <v>625069.63</v>
      </c>
      <c r="AC131" s="1">
        <v>664983.06999999995</v>
      </c>
      <c r="AD131" s="1">
        <v>739931.87</v>
      </c>
      <c r="AE131" s="1">
        <v>717323.85</v>
      </c>
      <c r="AF131" s="1">
        <v>711278.4</v>
      </c>
      <c r="AG131" s="1">
        <v>683438.53</v>
      </c>
      <c r="AH131" s="1">
        <v>639659.43999999994</v>
      </c>
      <c r="AI131" s="1">
        <v>634595.32999999996</v>
      </c>
      <c r="AJ131" s="1">
        <v>682039.03</v>
      </c>
      <c r="AK131" s="1">
        <f>SUM(Y131:AJ131)</f>
        <v>8182927.8600000003</v>
      </c>
    </row>
    <row r="132" spans="1:38" x14ac:dyDescent="0.4">
      <c r="A132" s="71" t="s">
        <v>256</v>
      </c>
      <c r="B132" s="69"/>
      <c r="C132" s="69">
        <f>C128</f>
        <v>8.99</v>
      </c>
      <c r="D132" s="8">
        <v>72</v>
      </c>
      <c r="E132" s="8">
        <v>161770</v>
      </c>
      <c r="F132" s="8">
        <f t="shared" si="28"/>
        <v>2504.3995999999997</v>
      </c>
      <c r="R132" s="1" t="s">
        <v>32</v>
      </c>
      <c r="Y132" s="1">
        <v>11578.71</v>
      </c>
      <c r="Z132" s="1">
        <v>124803.59</v>
      </c>
      <c r="AA132" s="1">
        <v>39139.89</v>
      </c>
      <c r="AB132" s="1">
        <v>9991.2900000000009</v>
      </c>
      <c r="AC132" s="1">
        <v>5625.3</v>
      </c>
      <c r="AD132" s="1">
        <v>15089.28</v>
      </c>
      <c r="AE132" s="1">
        <v>15852.64</v>
      </c>
      <c r="AF132" s="1">
        <v>31433.37</v>
      </c>
      <c r="AG132" s="1">
        <v>37889.040000000001</v>
      </c>
      <c r="AH132" s="1">
        <v>15647.78</v>
      </c>
      <c r="AI132" s="1">
        <v>12550.17</v>
      </c>
      <c r="AJ132" s="1">
        <v>9765.26</v>
      </c>
      <c r="AK132" s="1">
        <f>SUM(Y132:AJ132)</f>
        <v>329366.32</v>
      </c>
      <c r="AL132" s="1">
        <f>AK131-AK132</f>
        <v>7853561.54</v>
      </c>
    </row>
    <row r="133" spans="1:38" x14ac:dyDescent="0.4">
      <c r="A133" s="69" t="s">
        <v>257</v>
      </c>
      <c r="B133" s="69"/>
      <c r="C133" s="69">
        <v>8.99</v>
      </c>
      <c r="D133" s="8">
        <v>405</v>
      </c>
      <c r="E133" s="8">
        <v>0</v>
      </c>
      <c r="F133" s="8">
        <f t="shared" si="28"/>
        <v>3640.9500000000003</v>
      </c>
    </row>
    <row r="134" spans="1:38" x14ac:dyDescent="0.4">
      <c r="A134" s="71"/>
      <c r="B134" s="69"/>
      <c r="C134" s="69"/>
      <c r="D134" s="8"/>
      <c r="E134" s="8"/>
      <c r="F134" s="8"/>
      <c r="Q134" s="1" t="s">
        <v>1</v>
      </c>
      <c r="R134" s="1" t="s">
        <v>31</v>
      </c>
      <c r="Y134" s="1">
        <v>73959.63</v>
      </c>
      <c r="Z134" s="1">
        <v>91353.08</v>
      </c>
      <c r="AA134" s="1">
        <v>77343.72</v>
      </c>
      <c r="AB134" s="1">
        <v>74381.03</v>
      </c>
      <c r="AC134" s="1">
        <v>75956.69</v>
      </c>
      <c r="AD134" s="1">
        <v>83470.98</v>
      </c>
      <c r="AE134" s="1">
        <v>83204.740000000005</v>
      </c>
      <c r="AF134" s="1">
        <v>80304.539999999994</v>
      </c>
      <c r="AG134" s="1">
        <v>78108.06</v>
      </c>
      <c r="AH134" s="1">
        <v>67988.02</v>
      </c>
      <c r="AI134" s="1">
        <v>63276.69</v>
      </c>
      <c r="AJ134" s="1">
        <v>73684.89</v>
      </c>
      <c r="AK134" s="1">
        <f>SUM(Y134:AJ134)</f>
        <v>923032.07</v>
      </c>
    </row>
    <row r="135" spans="1:38" x14ac:dyDescent="0.4">
      <c r="A135" s="69" t="s">
        <v>258</v>
      </c>
      <c r="B135" s="69"/>
      <c r="C135" s="69">
        <v>12.59</v>
      </c>
      <c r="D135" s="8">
        <v>883</v>
      </c>
      <c r="E135" s="8">
        <v>8543360</v>
      </c>
      <c r="F135" s="8">
        <f>(D135*C135)+(E135*$E$123)</f>
        <v>109194.74280000001</v>
      </c>
      <c r="R135" s="1" t="s">
        <v>32</v>
      </c>
      <c r="Y135" s="1">
        <v>1363.46</v>
      </c>
      <c r="Z135" s="1">
        <v>2989.54</v>
      </c>
      <c r="AA135" s="1">
        <v>7108.01</v>
      </c>
      <c r="AB135" s="1">
        <v>3812.76</v>
      </c>
      <c r="AC135" s="1">
        <v>6313.06</v>
      </c>
      <c r="AD135" s="1">
        <v>1427.79</v>
      </c>
      <c r="AE135" s="1">
        <v>3756.72</v>
      </c>
      <c r="AF135" s="1">
        <v>2387.58</v>
      </c>
      <c r="AG135" s="1">
        <v>1575.32</v>
      </c>
      <c r="AH135" s="1">
        <v>1165.3900000000001</v>
      </c>
      <c r="AI135" s="1">
        <v>-152.25</v>
      </c>
      <c r="AJ135" s="1">
        <v>503.75</v>
      </c>
      <c r="AK135" s="1">
        <f>SUM(Y135:AJ135)</f>
        <v>32251.130000000005</v>
      </c>
      <c r="AL135" s="1">
        <f>AK134-AK135</f>
        <v>890780.94</v>
      </c>
    </row>
    <row r="136" spans="1:38" x14ac:dyDescent="0.4">
      <c r="A136" s="69" t="s">
        <v>259</v>
      </c>
      <c r="B136" s="69"/>
      <c r="C136" s="69">
        <f>C128*2</f>
        <v>17.98</v>
      </c>
      <c r="D136" s="8">
        <v>24</v>
      </c>
      <c r="E136" s="8">
        <v>196970</v>
      </c>
      <c r="F136" s="8">
        <f>(D136*C136)+(E136*$E$123)</f>
        <v>2692.7356</v>
      </c>
    </row>
    <row r="137" spans="1:38" x14ac:dyDescent="0.4">
      <c r="A137" s="69" t="s">
        <v>260</v>
      </c>
      <c r="B137" s="69"/>
      <c r="C137" s="69">
        <f>C128*4</f>
        <v>35.96</v>
      </c>
      <c r="D137" s="8">
        <v>24</v>
      </c>
      <c r="E137" s="8">
        <v>52750</v>
      </c>
      <c r="F137" s="8">
        <f>(D137*C137)+(E137*$E$123)</f>
        <v>1468.6100000000001</v>
      </c>
      <c r="Q137" s="1" t="s">
        <v>33</v>
      </c>
      <c r="Y137" s="1">
        <v>5517.69</v>
      </c>
      <c r="Z137" s="1">
        <v>8097.24</v>
      </c>
      <c r="AA137" s="1">
        <v>7576.05</v>
      </c>
      <c r="AB137" s="1">
        <v>2306.73</v>
      </c>
      <c r="AC137" s="1">
        <v>9021.3799999999992</v>
      </c>
      <c r="AD137" s="1">
        <v>9130.44</v>
      </c>
      <c r="AE137" s="1">
        <v>7263.79</v>
      </c>
      <c r="AF137" s="1">
        <v>7344.15</v>
      </c>
      <c r="AG137" s="1">
        <v>8563.33</v>
      </c>
      <c r="AH137" s="1">
        <v>10940.83</v>
      </c>
      <c r="AI137" s="1">
        <v>7871.08</v>
      </c>
      <c r="AJ137" s="1">
        <v>4683.09</v>
      </c>
      <c r="AK137" s="1">
        <f>SUM(Y137:AJ137)</f>
        <v>88315.8</v>
      </c>
      <c r="AL137" s="1">
        <f>SUM(Y137:AJ137)</f>
        <v>88315.8</v>
      </c>
    </row>
    <row r="138" spans="1:38" x14ac:dyDescent="0.4">
      <c r="A138" s="69" t="s">
        <v>261</v>
      </c>
      <c r="B138" s="69"/>
      <c r="C138" s="69">
        <f>5*C128</f>
        <v>44.95</v>
      </c>
      <c r="D138" s="8">
        <v>12</v>
      </c>
      <c r="E138" s="8">
        <v>267560</v>
      </c>
      <c r="F138" s="8">
        <f>(D138*C138)+(E138*$E$123)</f>
        <v>3610.9888000000001</v>
      </c>
    </row>
    <row r="139" spans="1:38" x14ac:dyDescent="0.4">
      <c r="A139" s="69"/>
      <c r="B139" s="69"/>
      <c r="C139" s="69"/>
      <c r="D139" s="8"/>
      <c r="E139" s="8"/>
      <c r="F139" s="8"/>
      <c r="Q139" s="61" t="s">
        <v>4</v>
      </c>
      <c r="R139" s="61" t="s">
        <v>230</v>
      </c>
      <c r="S139" s="61"/>
      <c r="T139" s="61"/>
      <c r="U139" s="61"/>
      <c r="V139" s="61"/>
      <c r="W139" s="61"/>
      <c r="X139" s="61"/>
      <c r="Y139" s="61">
        <v>44034.96</v>
      </c>
      <c r="Z139" s="61">
        <v>25361.39</v>
      </c>
      <c r="AA139" s="61">
        <v>23711.919999999998</v>
      </c>
      <c r="AB139" s="61">
        <v>20713.349999999999</v>
      </c>
      <c r="AC139" s="61">
        <v>21079.919999999998</v>
      </c>
      <c r="AD139" s="61">
        <v>21794.99</v>
      </c>
      <c r="AE139" s="61">
        <v>23061.49</v>
      </c>
      <c r="AF139" s="61">
        <v>23951.93</v>
      </c>
      <c r="AG139" s="61">
        <v>24545.86</v>
      </c>
      <c r="AH139" s="61">
        <v>26474.09</v>
      </c>
      <c r="AI139" s="61">
        <v>23711.47</v>
      </c>
      <c r="AJ139" s="61">
        <v>28781.1</v>
      </c>
      <c r="AK139" s="61">
        <f>SUM(Y139:AJ139)</f>
        <v>307222.46999999991</v>
      </c>
    </row>
    <row r="140" spans="1:38" x14ac:dyDescent="0.4">
      <c r="A140" s="69" t="s">
        <v>262</v>
      </c>
      <c r="B140" s="69"/>
      <c r="C140" s="69">
        <f>C128*52</f>
        <v>467.48</v>
      </c>
      <c r="D140" s="8">
        <v>12</v>
      </c>
      <c r="E140" s="8">
        <v>954000</v>
      </c>
      <c r="F140" s="8">
        <f>(D140*C140)+(E140*$E$123)</f>
        <v>16561.68</v>
      </c>
      <c r="R140" s="1" t="s">
        <v>31</v>
      </c>
      <c r="Y140" s="1">
        <v>30211.51</v>
      </c>
      <c r="Z140" s="1">
        <v>18798.73</v>
      </c>
      <c r="AA140" s="1">
        <v>22357.9</v>
      </c>
      <c r="AB140" s="1">
        <v>33126.32</v>
      </c>
      <c r="AC140" s="1">
        <v>22006.95</v>
      </c>
      <c r="AD140" s="1">
        <v>16045.97</v>
      </c>
      <c r="AE140" s="1">
        <v>19997.939999999999</v>
      </c>
      <c r="AF140" s="1">
        <v>22694.18</v>
      </c>
      <c r="AG140" s="1">
        <v>31020.02</v>
      </c>
      <c r="AH140" s="1">
        <v>24231.52</v>
      </c>
      <c r="AI140" s="1">
        <v>24367.31</v>
      </c>
      <c r="AJ140" s="1">
        <v>22701.13</v>
      </c>
      <c r="AK140" s="1">
        <f t="shared" ref="AK140" si="29">SUM(Y140:AJ140)</f>
        <v>287559.48</v>
      </c>
    </row>
    <row r="141" spans="1:38" x14ac:dyDescent="0.4">
      <c r="A141" s="69" t="s">
        <v>263</v>
      </c>
      <c r="B141" s="69"/>
      <c r="C141" s="69">
        <v>26.07</v>
      </c>
      <c r="D141" s="8">
        <v>393</v>
      </c>
      <c r="E141" s="8">
        <v>12265650</v>
      </c>
      <c r="F141" s="8">
        <f>(D141*C141)+(E141*$E$123)</f>
        <v>151055.17200000002</v>
      </c>
    </row>
    <row r="142" spans="1:38" x14ac:dyDescent="0.4">
      <c r="A142" s="69" t="s">
        <v>264</v>
      </c>
      <c r="B142" s="69"/>
      <c r="C142" s="69">
        <f>C128*16</f>
        <v>143.84</v>
      </c>
      <c r="D142" s="8">
        <v>12</v>
      </c>
      <c r="E142" s="8">
        <v>225300</v>
      </c>
      <c r="F142" s="8">
        <f>(D142*C142)+(E142*$E$123)</f>
        <v>4312.5239999999994</v>
      </c>
      <c r="R142" s="1" t="s">
        <v>32</v>
      </c>
      <c r="Y142" s="1">
        <v>1573.2</v>
      </c>
      <c r="Z142" s="1">
        <v>100805.11</v>
      </c>
      <c r="AC142" s="1">
        <v>10990.96</v>
      </c>
      <c r="AE142" s="1">
        <v>254.65</v>
      </c>
      <c r="AK142" s="1">
        <f>SUM(Y142:AJ142)</f>
        <v>113623.91999999998</v>
      </c>
      <c r="AL142" s="1">
        <f>AK139+AK140-AK142</f>
        <v>481158.02999999997</v>
      </c>
    </row>
    <row r="143" spans="1:38" x14ac:dyDescent="0.4">
      <c r="A143" s="69" t="s">
        <v>265</v>
      </c>
      <c r="B143" s="69"/>
      <c r="C143" s="69">
        <v>26.07</v>
      </c>
      <c r="D143" s="8">
        <v>254</v>
      </c>
      <c r="E143" s="8">
        <v>9427910</v>
      </c>
      <c r="F143" s="8">
        <f>(D143*C143)+(E143*$E$123)</f>
        <v>114854.18680000001</v>
      </c>
    </row>
    <row r="144" spans="1:38" x14ac:dyDescent="0.4">
      <c r="A144" s="69" t="s">
        <v>266</v>
      </c>
      <c r="B144" s="69"/>
      <c r="C144" s="69">
        <f>C128*68</f>
        <v>611.32000000000005</v>
      </c>
      <c r="D144" s="8">
        <v>12</v>
      </c>
      <c r="E144" s="8">
        <v>2047200</v>
      </c>
      <c r="F144" s="8">
        <f>(D144*C144)+(E144*$E$123)</f>
        <v>30837.696</v>
      </c>
      <c r="Q144" s="1" t="s">
        <v>3</v>
      </c>
      <c r="R144" s="1" t="s">
        <v>31</v>
      </c>
      <c r="Y144" s="1">
        <v>32895.879999999997</v>
      </c>
      <c r="Z144" s="1">
        <v>26110.99</v>
      </c>
      <c r="AA144" s="1">
        <v>20909.22</v>
      </c>
      <c r="AB144" s="1">
        <v>31453.200000000001</v>
      </c>
      <c r="AC144" s="1">
        <v>32367.19</v>
      </c>
      <c r="AD144" s="1">
        <v>33058.720000000001</v>
      </c>
      <c r="AE144" s="1">
        <v>31027.51</v>
      </c>
      <c r="AF144" s="1">
        <v>30625.09</v>
      </c>
      <c r="AG144" s="1">
        <v>31876.54</v>
      </c>
      <c r="AH144" s="1">
        <v>29874.1</v>
      </c>
      <c r="AI144" s="1">
        <v>30007.91</v>
      </c>
      <c r="AJ144" s="1">
        <v>33655.85</v>
      </c>
      <c r="AK144" s="1">
        <f>SUM(Y144:AJ144)</f>
        <v>363862.1999999999</v>
      </c>
      <c r="AL144" s="1">
        <f>AK144</f>
        <v>363862.1999999999</v>
      </c>
    </row>
    <row r="145" spans="1:42" x14ac:dyDescent="0.4">
      <c r="A145" s="69"/>
      <c r="B145" s="69"/>
      <c r="C145" s="69"/>
      <c r="D145" s="8"/>
      <c r="E145" s="8"/>
      <c r="F145" s="8"/>
    </row>
    <row r="146" spans="1:42" x14ac:dyDescent="0.4">
      <c r="A146" s="69"/>
      <c r="B146" s="69"/>
      <c r="C146" s="69"/>
      <c r="D146" s="8"/>
      <c r="E146" s="8"/>
      <c r="F146" s="8"/>
      <c r="Q146" s="20" t="s">
        <v>85</v>
      </c>
      <c r="R146" s="20"/>
      <c r="S146" s="20"/>
      <c r="T146" s="20"/>
      <c r="U146" s="20"/>
      <c r="V146" s="20"/>
      <c r="W146" s="20"/>
      <c r="X146" s="20"/>
      <c r="Y146" s="20">
        <f>Y131+Y134+Y137+Y139+Y140+Y144</f>
        <v>838885.90999999992</v>
      </c>
      <c r="Z146" s="20">
        <f>Z131+Z134+Z137+Z139+Z140+Z144</f>
        <v>963391.25999999989</v>
      </c>
      <c r="AA146" s="20">
        <f t="shared" ref="AA146:AJ146" si="30">AA131+AA134+AA137+AA139+AA140+AA144</f>
        <v>790571.45000000007</v>
      </c>
      <c r="AB146" s="20">
        <f t="shared" si="30"/>
        <v>787050.25999999989</v>
      </c>
      <c r="AC146" s="20">
        <f t="shared" si="30"/>
        <v>825415.2</v>
      </c>
      <c r="AD146" s="20">
        <f t="shared" si="30"/>
        <v>903432.96999999986</v>
      </c>
      <c r="AE146" s="20">
        <f t="shared" si="30"/>
        <v>881879.32</v>
      </c>
      <c r="AF146" s="20">
        <f t="shared" si="30"/>
        <v>876198.29000000015</v>
      </c>
      <c r="AG146" s="20">
        <f t="shared" si="30"/>
        <v>857552.34000000008</v>
      </c>
      <c r="AH146" s="20">
        <f t="shared" si="30"/>
        <v>799167.99999999988</v>
      </c>
      <c r="AI146" s="20">
        <f t="shared" si="30"/>
        <v>783829.79</v>
      </c>
      <c r="AJ146" s="20">
        <f t="shared" si="30"/>
        <v>845545.09</v>
      </c>
      <c r="AK146" s="20">
        <f>AK131+AK134+AK137+AK139+AK140+AK144</f>
        <v>10152919.880000001</v>
      </c>
      <c r="AL146" s="1">
        <f>SUM(AL132:AL144)</f>
        <v>9677678.5099999998</v>
      </c>
      <c r="AN146" s="1">
        <f>AK146-AK139</f>
        <v>9845697.4100000001</v>
      </c>
      <c r="AO146" s="1">
        <f>-'Water Pro forma Rev Req'!H10</f>
        <v>-43497.3</v>
      </c>
    </row>
    <row r="147" spans="1:42" x14ac:dyDescent="0.4">
      <c r="A147" s="69" t="s">
        <v>267</v>
      </c>
      <c r="B147" s="69"/>
      <c r="C147" s="69">
        <v>98.89</v>
      </c>
      <c r="D147" s="8">
        <v>48</v>
      </c>
      <c r="E147" s="8">
        <v>2988940</v>
      </c>
      <c r="F147" s="8">
        <f>(D147*C147)+(E147*$E$123)</f>
        <v>39059.751200000006</v>
      </c>
      <c r="Q147" s="1" t="s">
        <v>34</v>
      </c>
      <c r="AK147" s="1">
        <f>AK132+AK135+AK142</f>
        <v>475241.37</v>
      </c>
      <c r="AO147" s="1">
        <f>-'Water Pro forma Rev Req'!H11</f>
        <v>10410.98</v>
      </c>
    </row>
    <row r="148" spans="1:42" x14ac:dyDescent="0.4">
      <c r="A148" s="69" t="s">
        <v>268</v>
      </c>
      <c r="B148" s="69"/>
      <c r="C148" s="69">
        <v>98.89</v>
      </c>
      <c r="D148" s="8">
        <v>60</v>
      </c>
      <c r="E148" s="8">
        <v>3296040</v>
      </c>
      <c r="F148" s="8">
        <f>(D148*C148)+(E148*$E$123)</f>
        <v>43771.939200000001</v>
      </c>
      <c r="I148" s="38" t="s">
        <v>3422</v>
      </c>
      <c r="J148" s="38"/>
      <c r="M148" s="38"/>
      <c r="N148" s="25">
        <f>F160</f>
        <v>9781005.6952400003</v>
      </c>
      <c r="AO148" s="1">
        <f>-'Water Pro forma Rev Req'!H12</f>
        <v>233892.79</v>
      </c>
      <c r="AP148" s="1">
        <f>SUM(AN146:AO148)</f>
        <v>10046503.879999999</v>
      </c>
    </row>
    <row r="149" spans="1:42" x14ac:dyDescent="0.4">
      <c r="A149" s="69"/>
      <c r="B149" s="69"/>
      <c r="C149" s="69"/>
      <c r="D149" s="26"/>
      <c r="E149" s="26"/>
      <c r="F149" s="8"/>
      <c r="G149" s="38"/>
      <c r="H149" s="38"/>
      <c r="I149" s="38" t="s">
        <v>3423</v>
      </c>
      <c r="M149" s="38"/>
      <c r="N149" s="10">
        <f>-N46</f>
        <v>-9747996.0642399993</v>
      </c>
      <c r="O149" s="38"/>
      <c r="P149" s="38"/>
      <c r="Q149" s="1" t="s">
        <v>35</v>
      </c>
      <c r="AK149" s="1">
        <f>AK146-AK147</f>
        <v>9677678.5100000016</v>
      </c>
    </row>
    <row r="150" spans="1:42" x14ac:dyDescent="0.4">
      <c r="A150" s="69"/>
      <c r="B150" s="69"/>
      <c r="C150" s="69"/>
      <c r="D150" s="26"/>
      <c r="E150" s="26"/>
      <c r="F150" s="8"/>
      <c r="G150" s="38"/>
      <c r="H150" s="38"/>
      <c r="I150" s="38"/>
      <c r="M150" s="38"/>
      <c r="N150" s="38"/>
      <c r="O150" s="38"/>
      <c r="P150" s="38"/>
    </row>
    <row r="151" spans="1:42" s="54" customFormat="1" x14ac:dyDescent="0.4">
      <c r="A151" s="69" t="s">
        <v>269</v>
      </c>
      <c r="B151" s="69"/>
      <c r="C151" s="69">
        <v>125.86</v>
      </c>
      <c r="D151" s="26">
        <v>12</v>
      </c>
      <c r="E151" s="26">
        <v>90900</v>
      </c>
      <c r="F151" s="8">
        <f>(D151*C151)+(E151*$E$123)</f>
        <v>2553.8519999999999</v>
      </c>
      <c r="G151" s="38"/>
      <c r="H151" s="38"/>
      <c r="I151" s="38" t="s">
        <v>3446</v>
      </c>
      <c r="J151" s="1"/>
      <c r="K151" s="38"/>
      <c r="L151" s="38"/>
      <c r="M151" s="38"/>
      <c r="N151" s="26">
        <f>N148+N149</f>
        <v>33009.631000000983</v>
      </c>
      <c r="O151" s="38"/>
      <c r="P151" s="38"/>
      <c r="Q151" s="427" t="s">
        <v>231</v>
      </c>
      <c r="R151" s="427"/>
      <c r="S151" s="427"/>
      <c r="T151" s="427"/>
      <c r="U151" s="427"/>
      <c r="V151" s="427"/>
      <c r="W151" s="427"/>
      <c r="X151" s="427"/>
      <c r="Y151" s="427"/>
      <c r="Z151" s="427"/>
      <c r="AA151" s="427"/>
      <c r="AB151" s="427"/>
      <c r="AC151" s="427"/>
      <c r="AD151" s="427"/>
      <c r="AE151" s="427"/>
      <c r="AF151" s="427"/>
      <c r="AG151" s="427"/>
      <c r="AH151" s="427"/>
      <c r="AI151" s="427"/>
      <c r="AJ151" s="427"/>
      <c r="AK151" s="427"/>
      <c r="AM151" s="54" t="s">
        <v>101</v>
      </c>
    </row>
    <row r="152" spans="1:42" s="38" customFormat="1" x14ac:dyDescent="0.4">
      <c r="A152" s="69" t="s">
        <v>270</v>
      </c>
      <c r="B152" s="69"/>
      <c r="C152" s="69">
        <v>125.86</v>
      </c>
      <c r="D152" s="26">
        <v>60</v>
      </c>
      <c r="E152" s="26">
        <v>12188190</v>
      </c>
      <c r="F152" s="8">
        <f>(D152*C152)+(E152*$E$123)</f>
        <v>147472.02120000002</v>
      </c>
      <c r="I152" s="38" t="s">
        <v>3420</v>
      </c>
      <c r="J152" s="1"/>
      <c r="N152" s="119">
        <f>N151/N149*-1</f>
        <v>3.3862991718980112E-3</v>
      </c>
      <c r="Q152" s="56" t="s">
        <v>87</v>
      </c>
      <c r="AK152" s="57" t="s">
        <v>41</v>
      </c>
      <c r="AL152" s="57" t="s">
        <v>41</v>
      </c>
      <c r="AM152" s="38" t="s">
        <v>102</v>
      </c>
    </row>
    <row r="153" spans="1:42" s="38" customFormat="1" x14ac:dyDescent="0.4">
      <c r="A153" s="69" t="s">
        <v>271</v>
      </c>
      <c r="B153" s="69"/>
      <c r="C153" s="69">
        <v>125.86</v>
      </c>
      <c r="D153" s="26">
        <v>24</v>
      </c>
      <c r="E153" s="26">
        <v>758620</v>
      </c>
      <c r="F153" s="8">
        <f>(D153*C153)+(E153*$E$123)</f>
        <v>11729.597599999999</v>
      </c>
      <c r="I153" s="1"/>
      <c r="J153" s="1"/>
      <c r="M153" s="1"/>
      <c r="N153" s="1"/>
      <c r="AK153" s="57" t="s">
        <v>42</v>
      </c>
      <c r="AL153" s="57" t="s">
        <v>43</v>
      </c>
      <c r="AM153" s="38" t="s">
        <v>103</v>
      </c>
    </row>
    <row r="154" spans="1:42" s="38" customFormat="1" x14ac:dyDescent="0.4">
      <c r="A154" s="69"/>
      <c r="B154" s="69"/>
      <c r="C154" s="69"/>
      <c r="D154" s="26"/>
      <c r="E154" s="26"/>
      <c r="F154" s="8"/>
      <c r="I154" s="1" t="s">
        <v>3421</v>
      </c>
      <c r="J154" s="1"/>
      <c r="M154" s="1"/>
      <c r="N154" s="8">
        <f>-N47</f>
        <v>279453.81</v>
      </c>
      <c r="Q154" s="38" t="s">
        <v>37</v>
      </c>
      <c r="Y154" s="38">
        <v>16540</v>
      </c>
      <c r="Z154" s="38">
        <v>16420</v>
      </c>
      <c r="AA154" s="38">
        <v>16480</v>
      </c>
      <c r="AB154" s="38">
        <v>16491</v>
      </c>
      <c r="AC154" s="38">
        <v>16566</v>
      </c>
      <c r="AD154" s="38">
        <v>16564</v>
      </c>
      <c r="AE154" s="38">
        <v>16617</v>
      </c>
      <c r="AF154" s="38">
        <v>16607</v>
      </c>
      <c r="AG154" s="38">
        <v>16630</v>
      </c>
      <c r="AH154" s="38">
        <v>16597</v>
      </c>
      <c r="AI154" s="38">
        <v>16592</v>
      </c>
      <c r="AJ154" s="38">
        <v>16590</v>
      </c>
      <c r="AK154" s="38">
        <f>SUM(Y154:AJ154)</f>
        <v>198694</v>
      </c>
    </row>
    <row r="155" spans="1:42" s="38" customFormat="1" x14ac:dyDescent="0.4">
      <c r="A155" s="69" t="s">
        <v>272</v>
      </c>
      <c r="B155" s="69"/>
      <c r="C155" s="69">
        <f>188.79</f>
        <v>188.79</v>
      </c>
      <c r="D155" s="26">
        <v>42</v>
      </c>
      <c r="E155" s="26">
        <v>3054800</v>
      </c>
      <c r="F155" s="8">
        <f>(D155*C155)+(E155*$E$123)</f>
        <v>42998.284</v>
      </c>
      <c r="I155" s="1" t="s">
        <v>3447</v>
      </c>
      <c r="J155" s="1"/>
      <c r="M155" s="1"/>
      <c r="N155" s="10">
        <f>N152*N154</f>
        <v>946.31420538674411</v>
      </c>
      <c r="Q155" s="38" t="s">
        <v>38</v>
      </c>
      <c r="Y155" s="38">
        <v>42375</v>
      </c>
      <c r="Z155" s="38">
        <v>41780</v>
      </c>
      <c r="AA155" s="38">
        <v>39914</v>
      </c>
      <c r="AB155" s="38">
        <v>35011</v>
      </c>
      <c r="AC155" s="38">
        <v>35328</v>
      </c>
      <c r="AD155" s="38">
        <v>35139</v>
      </c>
      <c r="AE155" s="38">
        <v>35286</v>
      </c>
      <c r="AF155" s="38">
        <v>35204</v>
      </c>
      <c r="AG155" s="38">
        <v>35295</v>
      </c>
      <c r="AH155" s="38">
        <v>35215</v>
      </c>
      <c r="AI155" s="38">
        <v>35101</v>
      </c>
      <c r="AJ155" s="38">
        <v>34977</v>
      </c>
      <c r="AK155" s="38">
        <f t="shared" ref="AK155:AK157" si="31">SUM(Y155:AJ155)</f>
        <v>440625</v>
      </c>
      <c r="AL155" s="38">
        <v>428053</v>
      </c>
    </row>
    <row r="156" spans="1:42" s="38" customFormat="1" x14ac:dyDescent="0.4">
      <c r="A156" s="69" t="s">
        <v>273</v>
      </c>
      <c r="B156" s="69"/>
      <c r="C156" s="69">
        <f>C132*84</f>
        <v>755.16</v>
      </c>
      <c r="D156" s="26">
        <v>12</v>
      </c>
      <c r="E156" s="26">
        <v>761000</v>
      </c>
      <c r="F156" s="8">
        <f>(D156*C156)+(E156*$E$123)</f>
        <v>17798.2</v>
      </c>
      <c r="I156" s="1"/>
      <c r="J156" s="1"/>
      <c r="M156" s="1"/>
      <c r="N156" s="8"/>
      <c r="Q156" s="56" t="s">
        <v>39</v>
      </c>
      <c r="R156" s="56"/>
      <c r="S156" s="56"/>
      <c r="T156" s="56"/>
      <c r="U156" s="56"/>
      <c r="V156" s="56"/>
      <c r="W156" s="56"/>
      <c r="X156" s="56"/>
      <c r="Y156" s="56">
        <v>956207.67</v>
      </c>
      <c r="Z156" s="56">
        <v>1175578.9099999999</v>
      </c>
      <c r="AA156" s="56">
        <v>966468.44</v>
      </c>
      <c r="AB156" s="56">
        <v>821661.93</v>
      </c>
      <c r="AC156" s="56">
        <v>841621.08</v>
      </c>
      <c r="AD156" s="56">
        <v>921559.93</v>
      </c>
      <c r="AE156" s="56">
        <v>926759.7</v>
      </c>
      <c r="AF156" s="56">
        <v>913892.8</v>
      </c>
      <c r="AG156" s="56">
        <v>907482.35</v>
      </c>
      <c r="AH156" s="56">
        <v>828767.19</v>
      </c>
      <c r="AI156" s="56">
        <v>807749.32</v>
      </c>
      <c r="AJ156" s="56">
        <v>873998.84</v>
      </c>
      <c r="AK156" s="56">
        <f t="shared" si="31"/>
        <v>10941748.16</v>
      </c>
      <c r="AL156" s="57">
        <v>10679260.449999999</v>
      </c>
      <c r="AM156" s="57">
        <f>AK156-AL156</f>
        <v>262487.71000000089</v>
      </c>
    </row>
    <row r="157" spans="1:42" s="38" customFormat="1" ht="16.5" thickBot="1" x14ac:dyDescent="0.45">
      <c r="A157" s="69" t="s">
        <v>274</v>
      </c>
      <c r="B157" s="69"/>
      <c r="C157" s="69">
        <v>188.79</v>
      </c>
      <c r="D157" s="26">
        <v>10</v>
      </c>
      <c r="E157" s="26">
        <v>0</v>
      </c>
      <c r="F157" s="8">
        <f>(D157*C157)+(E157*$E$123)</f>
        <v>1887.8999999999999</v>
      </c>
      <c r="I157" s="1" t="s">
        <v>3424</v>
      </c>
      <c r="J157" s="1"/>
      <c r="M157" s="1"/>
      <c r="N157" s="31">
        <f>N154+N155</f>
        <v>280400.12420538673</v>
      </c>
      <c r="Q157" s="38" t="s">
        <v>40</v>
      </c>
      <c r="Y157" s="26">
        <v>263868170</v>
      </c>
      <c r="Z157" s="26">
        <v>79362890</v>
      </c>
      <c r="AA157" s="26">
        <v>68573828</v>
      </c>
      <c r="AB157" s="26">
        <v>57443157</v>
      </c>
      <c r="AC157" s="26">
        <v>59496987</v>
      </c>
      <c r="AD157" s="26">
        <v>66198233</v>
      </c>
      <c r="AE157" s="26">
        <v>66662800</v>
      </c>
      <c r="AF157" s="26">
        <v>65707308</v>
      </c>
      <c r="AG157" s="26">
        <v>65593675</v>
      </c>
      <c r="AH157" s="26">
        <v>58125739</v>
      </c>
      <c r="AI157" s="26">
        <v>57584261</v>
      </c>
      <c r="AJ157" s="26">
        <v>62807715</v>
      </c>
      <c r="AK157" s="58">
        <f t="shared" si="31"/>
        <v>971424763</v>
      </c>
      <c r="AL157" s="58">
        <v>953065413</v>
      </c>
      <c r="AM157" s="57">
        <f>AK157-AL157</f>
        <v>18359350</v>
      </c>
    </row>
    <row r="158" spans="1:42" s="38" customFormat="1" ht="16.5" thickTop="1" x14ac:dyDescent="0.4">
      <c r="A158" s="69" t="s">
        <v>275</v>
      </c>
      <c r="B158" s="69"/>
      <c r="C158" s="69">
        <v>188.79</v>
      </c>
      <c r="D158" s="10">
        <v>12</v>
      </c>
      <c r="E158" s="10">
        <v>175000</v>
      </c>
      <c r="F158" s="10">
        <f>(D158*C158)+(E158*$E$123)</f>
        <v>4274.4799999999996</v>
      </c>
      <c r="I158" s="1"/>
      <c r="J158" s="1"/>
      <c r="M158" s="1"/>
      <c r="N158" s="1"/>
    </row>
    <row r="159" spans="1:42" s="38" customFormat="1" x14ac:dyDescent="0.4">
      <c r="A159" s="69"/>
      <c r="B159" s="69"/>
      <c r="C159" s="69"/>
      <c r="F159" s="26"/>
      <c r="Q159" s="38" t="s">
        <v>86</v>
      </c>
      <c r="Y159" s="38">
        <f>Y146-Y156</f>
        <v>-117321.76000000013</v>
      </c>
      <c r="Z159" s="38">
        <f t="shared" ref="Z159:AK159" si="32">Z146-Z156</f>
        <v>-212187.65000000002</v>
      </c>
      <c r="AA159" s="38">
        <f t="shared" si="32"/>
        <v>-175896.98999999987</v>
      </c>
      <c r="AB159" s="38">
        <f t="shared" si="32"/>
        <v>-34611.670000000158</v>
      </c>
      <c r="AC159" s="38">
        <f t="shared" si="32"/>
        <v>-16205.880000000005</v>
      </c>
      <c r="AD159" s="38">
        <f t="shared" si="32"/>
        <v>-18126.960000000196</v>
      </c>
      <c r="AE159" s="38">
        <f t="shared" si="32"/>
        <v>-44880.380000000005</v>
      </c>
      <c r="AF159" s="38">
        <f t="shared" si="32"/>
        <v>-37694.509999999893</v>
      </c>
      <c r="AG159" s="38">
        <f t="shared" si="32"/>
        <v>-49930.009999999893</v>
      </c>
      <c r="AH159" s="38">
        <f t="shared" si="32"/>
        <v>-29599.190000000061</v>
      </c>
      <c r="AI159" s="38">
        <f t="shared" si="32"/>
        <v>-23919.529999999912</v>
      </c>
      <c r="AJ159" s="38">
        <f t="shared" si="32"/>
        <v>-28453.75</v>
      </c>
      <c r="AK159" s="38">
        <f t="shared" si="32"/>
        <v>-788828.27999999933</v>
      </c>
    </row>
    <row r="160" spans="1:42" s="60" customFormat="1" x14ac:dyDescent="0.4">
      <c r="A160" s="69" t="s">
        <v>296</v>
      </c>
      <c r="B160" s="69"/>
      <c r="C160" s="69"/>
      <c r="D160" s="26">
        <f>SUM(D126:D159)</f>
        <v>199469</v>
      </c>
      <c r="E160" s="26">
        <f>SUM(E126:E159)</f>
        <v>687512963</v>
      </c>
      <c r="F160" s="26">
        <f>SUM(F126:F159)</f>
        <v>9781005.6952400003</v>
      </c>
      <c r="G160" s="38"/>
      <c r="H160" s="38"/>
      <c r="O160" s="38"/>
      <c r="P160" s="38"/>
    </row>
    <row r="161" spans="1:37" s="38" customFormat="1" x14ac:dyDescent="0.4">
      <c r="A161" s="69" t="s">
        <v>3425</v>
      </c>
      <c r="B161" s="69"/>
      <c r="C161" s="69"/>
      <c r="D161" s="26"/>
      <c r="E161" s="26"/>
      <c r="F161" s="26"/>
    </row>
    <row r="162" spans="1:37" x14ac:dyDescent="0.4">
      <c r="A162" s="1" t="s">
        <v>3426</v>
      </c>
      <c r="B162" s="69"/>
      <c r="C162" s="69"/>
      <c r="D162" s="38"/>
      <c r="E162" s="26"/>
      <c r="F162" s="10">
        <f>-N157</f>
        <v>-280400.12420538673</v>
      </c>
      <c r="G162" s="38"/>
      <c r="H162" s="38"/>
      <c r="O162" s="38"/>
      <c r="P162" s="38"/>
    </row>
    <row r="163" spans="1:37" x14ac:dyDescent="0.4">
      <c r="A163" s="69"/>
      <c r="B163" s="69"/>
      <c r="C163" s="69"/>
      <c r="D163" s="38"/>
      <c r="E163" s="38"/>
      <c r="F163" s="38"/>
      <c r="G163" s="38"/>
      <c r="H163" s="38"/>
      <c r="O163" s="38"/>
      <c r="P163" s="38"/>
    </row>
    <row r="164" spans="1:37" x14ac:dyDescent="0.4">
      <c r="A164" s="69" t="s">
        <v>294</v>
      </c>
      <c r="B164" s="69"/>
      <c r="C164" s="69"/>
      <c r="D164" s="38"/>
      <c r="E164" s="38"/>
      <c r="F164" s="26">
        <f>F160+F162</f>
        <v>9500605.571034614</v>
      </c>
      <c r="G164" s="38"/>
      <c r="H164" s="38"/>
      <c r="O164" s="38"/>
      <c r="P164" s="38"/>
      <c r="Q164" s="1" t="s">
        <v>89</v>
      </c>
      <c r="X164" s="62">
        <v>46014</v>
      </c>
      <c r="Y164" s="1" t="s">
        <v>5</v>
      </c>
      <c r="Z164" s="1" t="s">
        <v>6</v>
      </c>
      <c r="AA164" s="1" t="s">
        <v>7</v>
      </c>
      <c r="AB164" s="1" t="s">
        <v>8</v>
      </c>
      <c r="AC164" s="1" t="s">
        <v>9</v>
      </c>
      <c r="AD164" s="1" t="s">
        <v>10</v>
      </c>
      <c r="AE164" s="1" t="s">
        <v>11</v>
      </c>
      <c r="AF164" s="1" t="s">
        <v>12</v>
      </c>
      <c r="AG164" s="1" t="s">
        <v>13</v>
      </c>
      <c r="AH164" s="1" t="s">
        <v>14</v>
      </c>
      <c r="AI164" s="1" t="s">
        <v>15</v>
      </c>
      <c r="AJ164" s="1" t="s">
        <v>16</v>
      </c>
      <c r="AK164" s="1" t="s">
        <v>25</v>
      </c>
    </row>
    <row r="165" spans="1:37" x14ac:dyDescent="0.4">
      <c r="A165" s="69" t="s">
        <v>3432</v>
      </c>
      <c r="B165" s="69"/>
      <c r="C165" s="69"/>
      <c r="D165" s="38"/>
      <c r="E165" s="38"/>
      <c r="F165" s="10">
        <f>N50</f>
        <v>-9471261.6000000015</v>
      </c>
      <c r="G165" s="38"/>
      <c r="H165" s="38"/>
      <c r="O165" s="38"/>
      <c r="P165" s="38"/>
      <c r="Q165" s="1" t="s">
        <v>90</v>
      </c>
      <c r="R165" s="1" t="s">
        <v>97</v>
      </c>
      <c r="S165" s="1" t="s">
        <v>96</v>
      </c>
      <c r="X165" s="63">
        <v>4955000</v>
      </c>
      <c r="Y165" s="8">
        <v>5225000</v>
      </c>
      <c r="Z165" s="8">
        <v>5132000</v>
      </c>
      <c r="AA165" s="8">
        <v>5016000</v>
      </c>
      <c r="AB165" s="8">
        <v>4462000</v>
      </c>
      <c r="AC165" s="8">
        <v>4513000</v>
      </c>
      <c r="AD165" s="8">
        <v>4685000</v>
      </c>
      <c r="AE165" s="8">
        <v>4951000</v>
      </c>
      <c r="AF165" s="8">
        <v>5173000</v>
      </c>
      <c r="AG165" s="8">
        <v>5266000</v>
      </c>
      <c r="AH165" s="8">
        <v>5717000</v>
      </c>
      <c r="AI165" s="8">
        <v>5089000</v>
      </c>
      <c r="AJ165" s="1">
        <f>AL183</f>
        <v>6194000</v>
      </c>
      <c r="AK165" s="8">
        <f>SUM(X165:AI165)</f>
        <v>60184000</v>
      </c>
    </row>
    <row r="166" spans="1:37" x14ac:dyDescent="0.4">
      <c r="A166" s="69"/>
      <c r="B166" s="69"/>
      <c r="C166" s="69"/>
      <c r="R166" s="1" t="s">
        <v>98</v>
      </c>
      <c r="T166" s="4">
        <v>8.7399999999999995E-3</v>
      </c>
      <c r="U166" s="4"/>
      <c r="V166" s="4"/>
      <c r="W166" s="4">
        <v>4.5199999999999997E-3</v>
      </c>
      <c r="X166" s="63">
        <f>X165*T166</f>
        <v>43306.7</v>
      </c>
      <c r="Y166" s="3">
        <f>Y165*$T$166</f>
        <v>45666.5</v>
      </c>
      <c r="Z166" s="3">
        <f t="shared" ref="Z166:AJ166" si="33">Z165*$W$166</f>
        <v>23196.639999999999</v>
      </c>
      <c r="AA166" s="3">
        <f t="shared" si="33"/>
        <v>22672.32</v>
      </c>
      <c r="AB166" s="3">
        <f t="shared" si="33"/>
        <v>20168.239999999998</v>
      </c>
      <c r="AC166" s="3">
        <f t="shared" si="33"/>
        <v>20398.759999999998</v>
      </c>
      <c r="AD166" s="3">
        <f t="shared" si="33"/>
        <v>21176.199999999997</v>
      </c>
      <c r="AE166" s="3">
        <f t="shared" si="33"/>
        <v>22378.519999999997</v>
      </c>
      <c r="AF166" s="3">
        <f t="shared" si="33"/>
        <v>23381.96</v>
      </c>
      <c r="AG166" s="3">
        <f t="shared" si="33"/>
        <v>23802.32</v>
      </c>
      <c r="AH166" s="3">
        <f t="shared" si="33"/>
        <v>25840.84</v>
      </c>
      <c r="AI166" s="3">
        <f t="shared" si="33"/>
        <v>23002.28</v>
      </c>
      <c r="AJ166" s="3">
        <f t="shared" si="33"/>
        <v>27996.879999999997</v>
      </c>
      <c r="AK166" s="3">
        <f>SUM(Y166:AI166)</f>
        <v>271684.57999999996</v>
      </c>
    </row>
    <row r="167" spans="1:37" ht="16.5" thickBot="1" x14ac:dyDescent="0.45">
      <c r="A167" s="1" t="s">
        <v>182</v>
      </c>
      <c r="F167" s="31">
        <f>F164+F165</f>
        <v>29343.971034612507</v>
      </c>
      <c r="Q167" s="1" t="s">
        <v>91</v>
      </c>
      <c r="R167" s="1" t="s">
        <v>99</v>
      </c>
      <c r="S167" s="1" t="s">
        <v>104</v>
      </c>
      <c r="Y167" s="1">
        <v>211800</v>
      </c>
      <c r="Z167" s="8">
        <v>248200</v>
      </c>
      <c r="AA167" s="8">
        <v>232000</v>
      </c>
      <c r="AB167" s="8">
        <v>122600</v>
      </c>
      <c r="AC167" s="8">
        <v>152700</v>
      </c>
      <c r="AD167" s="8">
        <v>138900</v>
      </c>
      <c r="AE167" s="8">
        <v>153100</v>
      </c>
      <c r="AF167" s="8">
        <v>128100</v>
      </c>
      <c r="AG167" s="8">
        <v>166500</v>
      </c>
      <c r="AH167" s="8">
        <v>142100</v>
      </c>
      <c r="AI167" s="8">
        <v>158900</v>
      </c>
      <c r="AJ167" s="8">
        <v>175500</v>
      </c>
      <c r="AK167" s="8">
        <f>SUM(Y167:AJ167)</f>
        <v>2030400</v>
      </c>
    </row>
    <row r="168" spans="1:37" ht="16.5" thickTop="1" x14ac:dyDescent="0.4">
      <c r="R168" s="1" t="s">
        <v>98</v>
      </c>
      <c r="T168" s="4">
        <v>8.7399999999999995E-3</v>
      </c>
      <c r="U168" s="4"/>
      <c r="V168" s="4"/>
      <c r="W168" s="4">
        <f>W166</f>
        <v>4.5199999999999997E-3</v>
      </c>
      <c r="X168" s="4"/>
      <c r="Y168" s="1">
        <f>Y167*$T$168</f>
        <v>1851.1319999999998</v>
      </c>
      <c r="Z168" s="1">
        <f>Z167*$T$168</f>
        <v>2169.268</v>
      </c>
      <c r="AA168" s="1">
        <f>AA167*$W$168</f>
        <v>1048.6399999999999</v>
      </c>
      <c r="AB168" s="1">
        <f t="shared" ref="AB168:AJ168" si="34">AB167*$W$168</f>
        <v>554.15199999999993</v>
      </c>
      <c r="AC168" s="1">
        <f t="shared" si="34"/>
        <v>690.20399999999995</v>
      </c>
      <c r="AD168" s="1">
        <f t="shared" si="34"/>
        <v>627.82799999999997</v>
      </c>
      <c r="AE168" s="1">
        <f t="shared" si="34"/>
        <v>692.01199999999994</v>
      </c>
      <c r="AF168" s="1">
        <f t="shared" si="34"/>
        <v>579.01199999999994</v>
      </c>
      <c r="AG168" s="1">
        <f t="shared" si="34"/>
        <v>752.57999999999993</v>
      </c>
      <c r="AH168" s="1">
        <f t="shared" si="34"/>
        <v>642.29199999999992</v>
      </c>
      <c r="AI168" s="1">
        <f t="shared" si="34"/>
        <v>718.22799999999995</v>
      </c>
      <c r="AJ168" s="1">
        <f t="shared" si="34"/>
        <v>793.26</v>
      </c>
      <c r="AK168" s="1">
        <f>SUM(Y168:AJ168)</f>
        <v>11118.607999999997</v>
      </c>
    </row>
    <row r="169" spans="1:37" x14ac:dyDescent="0.4">
      <c r="Q169" s="1" t="s">
        <v>92</v>
      </c>
      <c r="S169" s="1" t="s">
        <v>95</v>
      </c>
    </row>
    <row r="171" spans="1:37" x14ac:dyDescent="0.4">
      <c r="A171" s="420" t="s">
        <v>305</v>
      </c>
      <c r="B171" s="420"/>
      <c r="C171" s="420"/>
      <c r="D171" s="420"/>
      <c r="E171" s="420"/>
      <c r="F171" s="420"/>
      <c r="G171" s="420"/>
      <c r="H171" s="420"/>
      <c r="Q171" s="1" t="s">
        <v>93</v>
      </c>
      <c r="S171" s="1" t="s">
        <v>94</v>
      </c>
    </row>
    <row r="173" spans="1:37" ht="16.25" customHeight="1" x14ac:dyDescent="0.4">
      <c r="A173"/>
      <c r="B173"/>
      <c r="D173" s="64" t="s">
        <v>288</v>
      </c>
      <c r="E173" s="94">
        <v>1.1480000000000001E-2</v>
      </c>
      <c r="F173" s="65" t="s">
        <v>249</v>
      </c>
      <c r="Y173" s="1">
        <f t="shared" ref="Y173:AJ173" si="35">X166+Y168</f>
        <v>45157.831999999995</v>
      </c>
      <c r="Z173" s="1">
        <f t="shared" si="35"/>
        <v>47835.767999999996</v>
      </c>
      <c r="AA173" s="1">
        <f t="shared" si="35"/>
        <v>24245.279999999999</v>
      </c>
      <c r="AB173" s="1">
        <f t="shared" si="35"/>
        <v>23226.471999999998</v>
      </c>
      <c r="AC173" s="1">
        <f t="shared" si="35"/>
        <v>20858.444</v>
      </c>
      <c r="AD173" s="1">
        <f t="shared" si="35"/>
        <v>21026.588</v>
      </c>
      <c r="AE173" s="1">
        <f t="shared" si="35"/>
        <v>21868.211999999996</v>
      </c>
      <c r="AF173" s="1">
        <f t="shared" si="35"/>
        <v>22957.531999999996</v>
      </c>
      <c r="AG173" s="1">
        <f t="shared" si="35"/>
        <v>24134.54</v>
      </c>
      <c r="AH173" s="1">
        <f t="shared" si="35"/>
        <v>24444.612000000001</v>
      </c>
      <c r="AI173" s="1">
        <f t="shared" si="35"/>
        <v>26559.067999999999</v>
      </c>
      <c r="AJ173" s="1">
        <f t="shared" si="35"/>
        <v>23795.539999999997</v>
      </c>
      <c r="AK173" s="1">
        <f>AK166+AK168</f>
        <v>282803.18799999997</v>
      </c>
    </row>
    <row r="174" spans="1:37" ht="16.25" customHeight="1" x14ac:dyDescent="0.4">
      <c r="A174"/>
      <c r="B174"/>
      <c r="C174" s="2"/>
      <c r="D174" s="2"/>
      <c r="E174" s="79"/>
      <c r="F174" s="2" t="s">
        <v>97</v>
      </c>
    </row>
    <row r="175" spans="1:37" x14ac:dyDescent="0.4">
      <c r="A175"/>
      <c r="B175"/>
      <c r="C175" s="2" t="s">
        <v>278</v>
      </c>
      <c r="D175" s="2"/>
      <c r="E175" s="79" t="s">
        <v>177</v>
      </c>
      <c r="F175" s="2" t="s">
        <v>301</v>
      </c>
    </row>
    <row r="176" spans="1:37" x14ac:dyDescent="0.4">
      <c r="A176" s="91" t="s">
        <v>286</v>
      </c>
      <c r="B176"/>
      <c r="C176" s="68" t="s">
        <v>279</v>
      </c>
      <c r="D176" s="68" t="s">
        <v>248</v>
      </c>
      <c r="E176" s="68" t="s">
        <v>97</v>
      </c>
      <c r="F176" s="107" t="s">
        <v>307</v>
      </c>
      <c r="H176" s="68" t="s">
        <v>140</v>
      </c>
    </row>
    <row r="177" spans="1:38" x14ac:dyDescent="0.4">
      <c r="A177" s="41" t="s">
        <v>282</v>
      </c>
      <c r="B177"/>
      <c r="C177"/>
    </row>
    <row r="178" spans="1:38" x14ac:dyDescent="0.4">
      <c r="A178" s="69" t="s">
        <v>250</v>
      </c>
      <c r="B178" s="69"/>
      <c r="C178" s="95">
        <f>C180*6</f>
        <v>53.94</v>
      </c>
      <c r="D178" s="8">
        <v>12</v>
      </c>
      <c r="E178" s="8">
        <v>58950</v>
      </c>
      <c r="F178" s="8">
        <f>E178*(1-0.01035)</f>
        <v>58339.8675</v>
      </c>
      <c r="H178" s="8">
        <f>(D178*C178)+(F178*$E$173)</f>
        <v>1317.0216789000001</v>
      </c>
      <c r="J178" s="1">
        <f>E178*0.01035</f>
        <v>610.13249999999994</v>
      </c>
      <c r="L178" s="38">
        <f>E178-J178</f>
        <v>58339.8675</v>
      </c>
    </row>
    <row r="179" spans="1:38" x14ac:dyDescent="0.4">
      <c r="A179" s="69" t="s">
        <v>251</v>
      </c>
      <c r="B179" s="69"/>
      <c r="C179" s="69">
        <f>C180*8</f>
        <v>71.92</v>
      </c>
      <c r="D179" s="8">
        <v>24</v>
      </c>
      <c r="E179" s="8">
        <v>1180900</v>
      </c>
      <c r="F179" s="8">
        <f>E179*(1-0.01035)</f>
        <v>1168677.6850000001</v>
      </c>
      <c r="H179" s="8">
        <f t="shared" ref="H179:H210" si="36">(D179*C179)+(F179*$E$173)</f>
        <v>15142.499823800001</v>
      </c>
      <c r="J179" s="1">
        <f t="shared" ref="J179:J210" si="37">E179*0.01035</f>
        <v>12222.315000000001</v>
      </c>
      <c r="L179" s="38">
        <f t="shared" ref="L179:L210" si="38">E179-J179</f>
        <v>1168677.6850000001</v>
      </c>
    </row>
    <row r="180" spans="1:38" x14ac:dyDescent="0.4">
      <c r="A180" s="69" t="s">
        <v>252</v>
      </c>
      <c r="B180" s="69"/>
      <c r="C180" s="69">
        <v>8.99</v>
      </c>
      <c r="D180" s="8">
        <v>194971</v>
      </c>
      <c r="E180" s="8">
        <v>614070163</v>
      </c>
      <c r="F180" s="8">
        <f>E180*(1-0.01035)</f>
        <v>607714536.81295002</v>
      </c>
      <c r="H180" s="8">
        <f>(D180*C180)+(F180*$E$173)</f>
        <v>8729352.1726126671</v>
      </c>
      <c r="J180" s="1">
        <f>E180*0.01035</f>
        <v>6355626.1870499998</v>
      </c>
      <c r="L180" s="38">
        <f t="shared" si="38"/>
        <v>607714536.81295002</v>
      </c>
    </row>
    <row r="181" spans="1:38" x14ac:dyDescent="0.4">
      <c r="A181" s="69" t="s">
        <v>253</v>
      </c>
      <c r="B181" s="69"/>
      <c r="C181" s="69">
        <f>C180*2</f>
        <v>17.98</v>
      </c>
      <c r="D181" s="8">
        <v>1803</v>
      </c>
      <c r="E181" s="8">
        <v>10922140</v>
      </c>
      <c r="F181" s="8">
        <f t="shared" ref="F181:F210" si="39">E181*(1-0.01035)</f>
        <v>10809095.851</v>
      </c>
      <c r="H181" s="8">
        <f t="shared" si="36"/>
        <v>156506.36036948001</v>
      </c>
      <c r="J181" s="1">
        <f t="shared" si="37"/>
        <v>113044.149</v>
      </c>
      <c r="L181" s="38">
        <f t="shared" si="38"/>
        <v>10809095.851</v>
      </c>
      <c r="Y181" s="1" t="s">
        <v>5</v>
      </c>
      <c r="Z181" s="1" t="s">
        <v>6</v>
      </c>
      <c r="AA181" s="1" t="s">
        <v>7</v>
      </c>
      <c r="AB181" s="1" t="s">
        <v>8</v>
      </c>
      <c r="AC181" s="1" t="s">
        <v>9</v>
      </c>
      <c r="AD181" s="1" t="s">
        <v>10</v>
      </c>
      <c r="AE181" s="1" t="s">
        <v>11</v>
      </c>
      <c r="AF181" s="1" t="s">
        <v>12</v>
      </c>
      <c r="AG181" s="1" t="s">
        <v>13</v>
      </c>
      <c r="AH181" s="1" t="s">
        <v>14</v>
      </c>
      <c r="AI181" s="1" t="s">
        <v>15</v>
      </c>
      <c r="AJ181" s="1" t="s">
        <v>16</v>
      </c>
      <c r="AK181" s="1" t="s">
        <v>25</v>
      </c>
    </row>
    <row r="182" spans="1:38" x14ac:dyDescent="0.4">
      <c r="A182" s="69" t="s">
        <v>254</v>
      </c>
      <c r="B182" s="69"/>
      <c r="C182" s="69">
        <f>C180*3</f>
        <v>26.97</v>
      </c>
      <c r="D182" s="8">
        <v>204</v>
      </c>
      <c r="E182" s="8">
        <v>1479960</v>
      </c>
      <c r="F182" s="8">
        <f t="shared" si="39"/>
        <v>1464642.4140000001</v>
      </c>
      <c r="H182" s="8">
        <f t="shared" si="36"/>
        <v>22315.974912720005</v>
      </c>
      <c r="J182" s="1">
        <f t="shared" si="37"/>
        <v>15317.585999999999</v>
      </c>
      <c r="L182" s="38">
        <f t="shared" si="38"/>
        <v>1464642.4140000001</v>
      </c>
      <c r="Q182" s="1" t="s">
        <v>227</v>
      </c>
    </row>
    <row r="183" spans="1:38" x14ac:dyDescent="0.4">
      <c r="A183" s="70" t="s">
        <v>255</v>
      </c>
      <c r="B183" s="69"/>
      <c r="C183" s="69">
        <f>C180*4</f>
        <v>35.96</v>
      </c>
      <c r="D183" s="8">
        <v>72</v>
      </c>
      <c r="E183" s="8">
        <v>2344890</v>
      </c>
      <c r="F183" s="8">
        <f t="shared" si="39"/>
        <v>2320620.3884999999</v>
      </c>
      <c r="H183" s="8">
        <f t="shared" si="36"/>
        <v>29229.842059979997</v>
      </c>
      <c r="J183" s="1">
        <f t="shared" si="37"/>
        <v>24269.611499999999</v>
      </c>
      <c r="L183" s="38">
        <f t="shared" si="38"/>
        <v>2320620.3884999999</v>
      </c>
      <c r="Q183" s="1" t="s">
        <v>228</v>
      </c>
      <c r="AL183" s="1">
        <v>6194000</v>
      </c>
    </row>
    <row r="184" spans="1:38" x14ac:dyDescent="0.4">
      <c r="A184" s="71" t="s">
        <v>256</v>
      </c>
      <c r="B184" s="69"/>
      <c r="C184" s="69">
        <f>C180</f>
        <v>8.99</v>
      </c>
      <c r="D184" s="8">
        <v>72</v>
      </c>
      <c r="E184" s="8">
        <v>161770</v>
      </c>
      <c r="F184" s="8">
        <f t="shared" si="39"/>
        <v>160095.68050000002</v>
      </c>
      <c r="H184" s="8">
        <f t="shared" si="36"/>
        <v>2485.1784121400005</v>
      </c>
      <c r="J184" s="1">
        <f t="shared" si="37"/>
        <v>1674.3195000000001</v>
      </c>
      <c r="L184" s="38">
        <f t="shared" si="38"/>
        <v>160095.68049999999</v>
      </c>
      <c r="Q184" s="1" t="s">
        <v>90</v>
      </c>
      <c r="Y184" s="1">
        <f>Y139-Y185</f>
        <v>42183.83</v>
      </c>
      <c r="Z184" s="1">
        <v>23192.12</v>
      </c>
      <c r="AA184" s="1">
        <v>22667.8</v>
      </c>
      <c r="AB184" s="1">
        <v>20163.72</v>
      </c>
      <c r="AC184" s="1">
        <v>20394.240000000002</v>
      </c>
      <c r="AD184" s="1">
        <v>21171.68</v>
      </c>
      <c r="AE184" s="1">
        <v>22374</v>
      </c>
      <c r="AF184" s="1">
        <v>23377.4</v>
      </c>
      <c r="AG184" s="1">
        <v>23797.8</v>
      </c>
      <c r="AH184" s="1">
        <v>25836.32</v>
      </c>
      <c r="AI184" s="1">
        <v>22997.759999999998</v>
      </c>
      <c r="AJ184" s="1">
        <v>27992.36</v>
      </c>
    </row>
    <row r="185" spans="1:38" x14ac:dyDescent="0.4">
      <c r="A185" s="69" t="s">
        <v>257</v>
      </c>
      <c r="B185" s="69"/>
      <c r="C185" s="69">
        <v>8.99</v>
      </c>
      <c r="D185" s="8">
        <v>405</v>
      </c>
      <c r="E185" s="8">
        <v>0</v>
      </c>
      <c r="F185" s="8">
        <f t="shared" si="39"/>
        <v>0</v>
      </c>
      <c r="H185" s="8">
        <f t="shared" si="36"/>
        <v>3640.9500000000003</v>
      </c>
      <c r="J185" s="1">
        <f t="shared" si="37"/>
        <v>0</v>
      </c>
      <c r="L185" s="38">
        <f t="shared" si="38"/>
        <v>0</v>
      </c>
      <c r="Q185" s="1" t="s">
        <v>229</v>
      </c>
      <c r="Y185" s="1">
        <v>1851.13</v>
      </c>
      <c r="Z185" s="1">
        <v>2169.27</v>
      </c>
      <c r="AA185" s="1">
        <v>1044.1199999999999</v>
      </c>
      <c r="AB185" s="1">
        <v>549.63</v>
      </c>
      <c r="AC185" s="1">
        <v>685.68</v>
      </c>
      <c r="AD185" s="1">
        <v>623.30999999999995</v>
      </c>
      <c r="AE185" s="1">
        <v>687.49</v>
      </c>
      <c r="AF185" s="1">
        <v>574.49</v>
      </c>
      <c r="AG185" s="1">
        <v>748.06</v>
      </c>
      <c r="AH185" s="1">
        <v>637.77</v>
      </c>
      <c r="AI185" s="1">
        <v>713.71</v>
      </c>
      <c r="AJ185" s="1">
        <v>788.74</v>
      </c>
    </row>
    <row r="186" spans="1:38" x14ac:dyDescent="0.4">
      <c r="A186" s="71"/>
      <c r="B186" s="69"/>
      <c r="C186" s="69"/>
      <c r="D186" s="8"/>
      <c r="E186" s="8"/>
      <c r="F186" s="8"/>
      <c r="H186" s="8"/>
      <c r="J186" s="1">
        <f t="shared" si="37"/>
        <v>0</v>
      </c>
      <c r="L186" s="38">
        <f t="shared" si="38"/>
        <v>0</v>
      </c>
    </row>
    <row r="187" spans="1:38" x14ac:dyDescent="0.4">
      <c r="A187" s="69" t="s">
        <v>258</v>
      </c>
      <c r="B187" s="69"/>
      <c r="C187" s="69">
        <v>12.59</v>
      </c>
      <c r="D187" s="8">
        <v>883</v>
      </c>
      <c r="E187" s="8">
        <v>8543360</v>
      </c>
      <c r="F187" s="8">
        <f t="shared" si="39"/>
        <v>8454936.2239999995</v>
      </c>
      <c r="H187" s="8">
        <f t="shared" si="36"/>
        <v>108179.63785152</v>
      </c>
      <c r="J187" s="1">
        <f t="shared" si="37"/>
        <v>88423.775999999998</v>
      </c>
      <c r="L187" s="38">
        <f t="shared" si="38"/>
        <v>8454936.2239999995</v>
      </c>
      <c r="Y187" s="1">
        <f>SUM(Y184:Y186)</f>
        <v>44034.96</v>
      </c>
      <c r="Z187" s="1">
        <f>SUM(Z184:Z186)</f>
        <v>25361.39</v>
      </c>
      <c r="AA187" s="1">
        <f t="shared" ref="AA187:AJ187" si="40">SUM(AA184:AA186)</f>
        <v>23711.919999999998</v>
      </c>
      <c r="AB187" s="1">
        <f t="shared" si="40"/>
        <v>20713.350000000002</v>
      </c>
      <c r="AC187" s="1">
        <f t="shared" si="40"/>
        <v>21079.920000000002</v>
      </c>
      <c r="AD187" s="1">
        <f t="shared" si="40"/>
        <v>21794.99</v>
      </c>
      <c r="AE187" s="1">
        <f t="shared" si="40"/>
        <v>23061.49</v>
      </c>
      <c r="AF187" s="1">
        <f t="shared" si="40"/>
        <v>23951.890000000003</v>
      </c>
      <c r="AG187" s="1">
        <f t="shared" si="40"/>
        <v>24545.86</v>
      </c>
      <c r="AH187" s="1">
        <f t="shared" si="40"/>
        <v>26474.09</v>
      </c>
      <c r="AI187" s="1">
        <f t="shared" si="40"/>
        <v>23711.469999999998</v>
      </c>
      <c r="AJ187" s="1">
        <f t="shared" si="40"/>
        <v>28781.100000000002</v>
      </c>
    </row>
    <row r="188" spans="1:38" x14ac:dyDescent="0.4">
      <c r="A188" s="69" t="s">
        <v>259</v>
      </c>
      <c r="B188" s="69"/>
      <c r="C188" s="69">
        <f>C180*2</f>
        <v>17.98</v>
      </c>
      <c r="D188" s="8">
        <v>24</v>
      </c>
      <c r="E188" s="8">
        <v>196970</v>
      </c>
      <c r="F188" s="8">
        <f t="shared" si="39"/>
        <v>194931.36050000001</v>
      </c>
      <c r="H188" s="8">
        <f t="shared" si="36"/>
        <v>2669.3320185400003</v>
      </c>
      <c r="J188" s="1">
        <f t="shared" si="37"/>
        <v>2038.6395</v>
      </c>
      <c r="L188" s="38">
        <f t="shared" si="38"/>
        <v>194931.36050000001</v>
      </c>
    </row>
    <row r="189" spans="1:38" x14ac:dyDescent="0.4">
      <c r="A189" s="69" t="s">
        <v>260</v>
      </c>
      <c r="B189" s="69"/>
      <c r="C189" s="69">
        <f>C180*4</f>
        <v>35.96</v>
      </c>
      <c r="D189" s="8">
        <v>24</v>
      </c>
      <c r="E189" s="8">
        <v>52750</v>
      </c>
      <c r="F189" s="8">
        <f t="shared" si="39"/>
        <v>52204.037499999999</v>
      </c>
      <c r="H189" s="8">
        <f t="shared" si="36"/>
        <v>1462.3423505000001</v>
      </c>
      <c r="J189" s="1">
        <f t="shared" si="37"/>
        <v>545.96249999999998</v>
      </c>
      <c r="L189" s="38">
        <f t="shared" si="38"/>
        <v>52204.037499999999</v>
      </c>
    </row>
    <row r="190" spans="1:38" x14ac:dyDescent="0.4">
      <c r="A190" s="69" t="s">
        <v>261</v>
      </c>
      <c r="B190" s="69"/>
      <c r="C190" s="69">
        <f>5*C180</f>
        <v>44.95</v>
      </c>
      <c r="D190" s="8">
        <v>12</v>
      </c>
      <c r="E190" s="8">
        <v>267560</v>
      </c>
      <c r="F190" s="8">
        <f t="shared" si="39"/>
        <v>264790.75400000002</v>
      </c>
      <c r="H190" s="8">
        <f t="shared" si="36"/>
        <v>3579.1978559200006</v>
      </c>
      <c r="J190" s="1">
        <f t="shared" si="37"/>
        <v>2769.2460000000001</v>
      </c>
      <c r="L190" s="38">
        <f t="shared" si="38"/>
        <v>264790.75400000002</v>
      </c>
    </row>
    <row r="191" spans="1:38" x14ac:dyDescent="0.4">
      <c r="A191" s="69"/>
      <c r="B191" s="69"/>
      <c r="C191" s="69"/>
      <c r="D191" s="8"/>
      <c r="E191" s="8"/>
      <c r="F191" s="8"/>
      <c r="H191" s="8"/>
      <c r="J191" s="1">
        <f t="shared" si="37"/>
        <v>0</v>
      </c>
      <c r="L191" s="38">
        <f t="shared" si="38"/>
        <v>0</v>
      </c>
    </row>
    <row r="192" spans="1:38" x14ac:dyDescent="0.4">
      <c r="A192" s="69" t="s">
        <v>262</v>
      </c>
      <c r="B192" s="69"/>
      <c r="C192" s="69">
        <f>C180*52</f>
        <v>467.48</v>
      </c>
      <c r="D192" s="8">
        <v>12</v>
      </c>
      <c r="E192" s="8">
        <v>954000</v>
      </c>
      <c r="F192" s="8">
        <f t="shared" si="39"/>
        <v>944126.1</v>
      </c>
      <c r="H192" s="8">
        <f t="shared" si="36"/>
        <v>16448.327627999999</v>
      </c>
      <c r="J192" s="1">
        <f t="shared" si="37"/>
        <v>9873.9</v>
      </c>
      <c r="L192" s="38">
        <f t="shared" si="38"/>
        <v>944126.1</v>
      </c>
    </row>
    <row r="193" spans="1:12" x14ac:dyDescent="0.4">
      <c r="A193" s="69" t="s">
        <v>263</v>
      </c>
      <c r="B193" s="69"/>
      <c r="C193" s="69">
        <v>26.07</v>
      </c>
      <c r="D193" s="8">
        <v>393</v>
      </c>
      <c r="E193" s="8">
        <v>12265650</v>
      </c>
      <c r="F193" s="8">
        <f>E193*(1-0.01035)</f>
        <v>12138700.522500001</v>
      </c>
      <c r="H193" s="8">
        <f t="shared" si="36"/>
        <v>149597.79199830003</v>
      </c>
      <c r="J193" s="1">
        <f t="shared" si="37"/>
        <v>126949.47749999999</v>
      </c>
      <c r="L193" s="38">
        <f>E193-J193</f>
        <v>12138700.522500001</v>
      </c>
    </row>
    <row r="194" spans="1:12" x14ac:dyDescent="0.4">
      <c r="A194" s="69" t="s">
        <v>264</v>
      </c>
      <c r="B194" s="69"/>
      <c r="C194" s="69">
        <f>C180*16</f>
        <v>143.84</v>
      </c>
      <c r="D194" s="8">
        <v>12</v>
      </c>
      <c r="E194" s="8">
        <v>225300</v>
      </c>
      <c r="F194" s="8">
        <f t="shared" si="39"/>
        <v>222968.14500000002</v>
      </c>
      <c r="H194" s="8">
        <f t="shared" si="36"/>
        <v>4285.7543046000001</v>
      </c>
      <c r="J194" s="1">
        <f t="shared" si="37"/>
        <v>2331.855</v>
      </c>
      <c r="L194" s="38">
        <f t="shared" si="38"/>
        <v>222968.14499999999</v>
      </c>
    </row>
    <row r="195" spans="1:12" x14ac:dyDescent="0.4">
      <c r="A195" s="69" t="s">
        <v>265</v>
      </c>
      <c r="B195" s="69"/>
      <c r="C195" s="69">
        <v>26.07</v>
      </c>
      <c r="D195" s="8">
        <v>254</v>
      </c>
      <c r="E195" s="8">
        <v>9427910</v>
      </c>
      <c r="F195" s="8">
        <f t="shared" si="39"/>
        <v>9330331.1315000001</v>
      </c>
      <c r="H195" s="8">
        <f t="shared" si="36"/>
        <v>113733.98138962001</v>
      </c>
      <c r="J195" s="1">
        <f>E195*0.01035</f>
        <v>97578.868499999997</v>
      </c>
      <c r="L195" s="38">
        <f>E195-J195</f>
        <v>9330331.1315000001</v>
      </c>
    </row>
    <row r="196" spans="1:12" x14ac:dyDescent="0.4">
      <c r="A196" s="69" t="s">
        <v>266</v>
      </c>
      <c r="B196" s="69"/>
      <c r="C196" s="69">
        <f>C180*68</f>
        <v>611.32000000000005</v>
      </c>
      <c r="D196" s="8">
        <v>12</v>
      </c>
      <c r="E196" s="8">
        <v>2047200</v>
      </c>
      <c r="F196" s="8">
        <f t="shared" si="39"/>
        <v>2026011.48</v>
      </c>
      <c r="H196" s="8">
        <f t="shared" si="36"/>
        <v>30594.451790400002</v>
      </c>
      <c r="J196" s="1">
        <f t="shared" si="37"/>
        <v>21188.52</v>
      </c>
      <c r="L196" s="38">
        <f t="shared" si="38"/>
        <v>2026011.48</v>
      </c>
    </row>
    <row r="197" spans="1:12" x14ac:dyDescent="0.4">
      <c r="A197" s="69"/>
      <c r="B197" s="69"/>
      <c r="C197" s="69"/>
      <c r="D197" s="8"/>
      <c r="E197" s="8"/>
      <c r="F197" s="8"/>
      <c r="H197" s="8"/>
      <c r="J197" s="1">
        <f t="shared" si="37"/>
        <v>0</v>
      </c>
      <c r="L197" s="38">
        <f t="shared" si="38"/>
        <v>0</v>
      </c>
    </row>
    <row r="198" spans="1:12" x14ac:dyDescent="0.4">
      <c r="A198" s="69"/>
      <c r="B198" s="69"/>
      <c r="C198" s="69"/>
      <c r="D198" s="8"/>
      <c r="E198" s="8"/>
      <c r="F198" s="8"/>
      <c r="H198" s="8"/>
      <c r="J198" s="1">
        <f t="shared" si="37"/>
        <v>0</v>
      </c>
      <c r="L198" s="38">
        <f t="shared" si="38"/>
        <v>0</v>
      </c>
    </row>
    <row r="199" spans="1:12" x14ac:dyDescent="0.4">
      <c r="A199" s="69" t="s">
        <v>267</v>
      </c>
      <c r="B199" s="69"/>
      <c r="C199" s="69">
        <v>98.89</v>
      </c>
      <c r="D199" s="8">
        <v>48</v>
      </c>
      <c r="E199" s="8">
        <v>2988940</v>
      </c>
      <c r="F199" s="8">
        <f t="shared" si="39"/>
        <v>2958004.4709999999</v>
      </c>
      <c r="H199" s="8">
        <f t="shared" si="36"/>
        <v>38704.611327080005</v>
      </c>
      <c r="J199" s="1">
        <f t="shared" si="37"/>
        <v>30935.528999999999</v>
      </c>
      <c r="L199" s="38">
        <f t="shared" si="38"/>
        <v>2958004.4709999999</v>
      </c>
    </row>
    <row r="200" spans="1:12" x14ac:dyDescent="0.4">
      <c r="A200" s="69" t="s">
        <v>268</v>
      </c>
      <c r="B200" s="69"/>
      <c r="C200" s="69">
        <v>98.89</v>
      </c>
      <c r="D200" s="8">
        <v>60</v>
      </c>
      <c r="E200" s="8">
        <v>3296040</v>
      </c>
      <c r="F200" s="8">
        <f t="shared" si="39"/>
        <v>3261925.986</v>
      </c>
      <c r="H200" s="8">
        <f t="shared" si="36"/>
        <v>43380.310319280004</v>
      </c>
      <c r="J200" s="1">
        <f t="shared" si="37"/>
        <v>34114.014000000003</v>
      </c>
      <c r="L200" s="38">
        <f t="shared" si="38"/>
        <v>3261925.986</v>
      </c>
    </row>
    <row r="201" spans="1:12" x14ac:dyDescent="0.4">
      <c r="A201" s="69"/>
      <c r="B201" s="69"/>
      <c r="C201" s="69"/>
      <c r="D201" s="26"/>
      <c r="E201" s="26"/>
      <c r="F201" s="8"/>
      <c r="H201" s="8"/>
      <c r="J201" s="1">
        <f t="shared" si="37"/>
        <v>0</v>
      </c>
      <c r="L201" s="38">
        <f t="shared" si="38"/>
        <v>0</v>
      </c>
    </row>
    <row r="202" spans="1:12" x14ac:dyDescent="0.4">
      <c r="A202" s="69"/>
      <c r="B202" s="69"/>
      <c r="C202" s="69"/>
      <c r="D202" s="26"/>
      <c r="E202" s="26"/>
      <c r="F202" s="8"/>
      <c r="H202" s="8"/>
      <c r="J202" s="1">
        <f t="shared" si="37"/>
        <v>0</v>
      </c>
      <c r="L202" s="38">
        <f t="shared" si="38"/>
        <v>0</v>
      </c>
    </row>
    <row r="203" spans="1:12" x14ac:dyDescent="0.4">
      <c r="A203" s="69" t="s">
        <v>269</v>
      </c>
      <c r="B203" s="69"/>
      <c r="C203" s="69">
        <v>125.86</v>
      </c>
      <c r="D203" s="26">
        <v>12</v>
      </c>
      <c r="E203" s="26">
        <v>90900</v>
      </c>
      <c r="F203" s="8">
        <f t="shared" si="39"/>
        <v>89959.184999999998</v>
      </c>
      <c r="H203" s="8">
        <f t="shared" si="36"/>
        <v>2543.0514438</v>
      </c>
      <c r="J203" s="1">
        <f t="shared" si="37"/>
        <v>940.81499999999994</v>
      </c>
      <c r="L203" s="38">
        <f t="shared" si="38"/>
        <v>89959.184999999998</v>
      </c>
    </row>
    <row r="204" spans="1:12" x14ac:dyDescent="0.4">
      <c r="A204" s="69" t="s">
        <v>270</v>
      </c>
      <c r="B204" s="69"/>
      <c r="C204" s="69">
        <v>125.86</v>
      </c>
      <c r="D204" s="26">
        <v>60</v>
      </c>
      <c r="E204" s="26">
        <v>12188190</v>
      </c>
      <c r="F204" s="8">
        <f t="shared" si="39"/>
        <v>12062042.2335</v>
      </c>
      <c r="H204" s="8">
        <f t="shared" si="36"/>
        <v>146023.84484058002</v>
      </c>
      <c r="J204" s="1">
        <f t="shared" si="37"/>
        <v>126147.7665</v>
      </c>
      <c r="L204" s="38">
        <f t="shared" si="38"/>
        <v>12062042.2335</v>
      </c>
    </row>
    <row r="205" spans="1:12" x14ac:dyDescent="0.4">
      <c r="A205" s="69" t="s">
        <v>271</v>
      </c>
      <c r="B205" s="69"/>
      <c r="C205" s="69">
        <v>125.86</v>
      </c>
      <c r="D205" s="26">
        <v>24</v>
      </c>
      <c r="E205" s="26">
        <v>758620</v>
      </c>
      <c r="F205" s="8">
        <f t="shared" si="39"/>
        <v>750768.28300000005</v>
      </c>
      <c r="H205" s="8">
        <f t="shared" si="36"/>
        <v>11639.45988884</v>
      </c>
      <c r="J205" s="1">
        <f t="shared" si="37"/>
        <v>7851.7169999999996</v>
      </c>
      <c r="L205" s="38">
        <f t="shared" si="38"/>
        <v>750768.28300000005</v>
      </c>
    </row>
    <row r="206" spans="1:12" x14ac:dyDescent="0.4">
      <c r="A206" s="69"/>
      <c r="B206" s="69"/>
      <c r="C206" s="69"/>
      <c r="D206" s="26"/>
      <c r="E206" s="26"/>
      <c r="F206" s="8"/>
      <c r="H206" s="8"/>
      <c r="J206" s="1">
        <f t="shared" si="37"/>
        <v>0</v>
      </c>
      <c r="L206" s="38">
        <f t="shared" si="38"/>
        <v>0</v>
      </c>
    </row>
    <row r="207" spans="1:12" x14ac:dyDescent="0.4">
      <c r="A207" s="69" t="s">
        <v>272</v>
      </c>
      <c r="B207" s="69"/>
      <c r="C207" s="69">
        <f>188.79</f>
        <v>188.79</v>
      </c>
      <c r="D207" s="26">
        <v>42</v>
      </c>
      <c r="E207" s="26">
        <v>3054800</v>
      </c>
      <c r="F207" s="8">
        <f t="shared" si="39"/>
        <v>3023182.8200000003</v>
      </c>
      <c r="H207" s="8">
        <f t="shared" si="36"/>
        <v>42635.318773600004</v>
      </c>
      <c r="J207" s="1">
        <f t="shared" si="37"/>
        <v>31617.18</v>
      </c>
      <c r="L207" s="38">
        <f t="shared" si="38"/>
        <v>3023182.82</v>
      </c>
    </row>
    <row r="208" spans="1:12" x14ac:dyDescent="0.4">
      <c r="A208" s="69" t="s">
        <v>273</v>
      </c>
      <c r="B208" s="69"/>
      <c r="C208" s="69">
        <f>C184*84</f>
        <v>755.16</v>
      </c>
      <c r="D208" s="26">
        <v>12</v>
      </c>
      <c r="E208" s="26">
        <v>761000</v>
      </c>
      <c r="F208" s="8">
        <f t="shared" si="39"/>
        <v>753123.65</v>
      </c>
      <c r="H208" s="8">
        <f t="shared" si="36"/>
        <v>17707.779502000001</v>
      </c>
      <c r="J208" s="1">
        <f t="shared" si="37"/>
        <v>7876.3499999999995</v>
      </c>
      <c r="L208" s="38">
        <f t="shared" si="38"/>
        <v>753123.65</v>
      </c>
    </row>
    <row r="209" spans="1:15" x14ac:dyDescent="0.4">
      <c r="A209" s="69" t="s">
        <v>274</v>
      </c>
      <c r="B209" s="69"/>
      <c r="C209" s="69">
        <v>188.79</v>
      </c>
      <c r="D209" s="26">
        <v>10</v>
      </c>
      <c r="E209" s="26">
        <v>0</v>
      </c>
      <c r="F209" s="8">
        <f t="shared" si="39"/>
        <v>0</v>
      </c>
      <c r="H209" s="8">
        <f t="shared" si="36"/>
        <v>1887.8999999999999</v>
      </c>
      <c r="J209" s="1">
        <f t="shared" si="37"/>
        <v>0</v>
      </c>
      <c r="L209" s="38">
        <f t="shared" si="38"/>
        <v>0</v>
      </c>
    </row>
    <row r="210" spans="1:15" x14ac:dyDescent="0.4">
      <c r="A210" s="69" t="s">
        <v>275</v>
      </c>
      <c r="B210" s="69"/>
      <c r="C210" s="69">
        <v>188.79</v>
      </c>
      <c r="D210" s="10">
        <v>12</v>
      </c>
      <c r="E210" s="10">
        <v>175000</v>
      </c>
      <c r="F210" s="10">
        <f t="shared" si="39"/>
        <v>173188.75</v>
      </c>
      <c r="H210" s="10">
        <f t="shared" si="36"/>
        <v>4253.68685</v>
      </c>
      <c r="J210" s="1">
        <f t="shared" si="37"/>
        <v>1811.25</v>
      </c>
      <c r="L210" s="38">
        <f t="shared" si="38"/>
        <v>173188.75</v>
      </c>
    </row>
    <row r="211" spans="1:15" x14ac:dyDescent="0.4">
      <c r="A211" s="69"/>
      <c r="B211" s="69"/>
      <c r="C211" s="69"/>
      <c r="D211" s="38"/>
      <c r="E211" s="38"/>
      <c r="F211" s="8"/>
      <c r="H211" s="26"/>
    </row>
    <row r="212" spans="1:15" x14ac:dyDescent="0.4">
      <c r="A212" s="1" t="s">
        <v>3433</v>
      </c>
      <c r="B212" s="69"/>
      <c r="C212" s="69"/>
      <c r="D212" s="26">
        <f>SUM(D178:D211)</f>
        <v>199469</v>
      </c>
      <c r="E212" s="26">
        <f>SUM(E178:E211)</f>
        <v>687512963</v>
      </c>
    </row>
    <row r="213" spans="1:15" x14ac:dyDescent="0.4">
      <c r="A213" s="69" t="s">
        <v>302</v>
      </c>
      <c r="F213" s="26">
        <f>SUM(F178:F211)</f>
        <v>680397203.83294988</v>
      </c>
      <c r="H213" s="26">
        <f>SUM(H178:H211)</f>
        <v>9699316.7800022643</v>
      </c>
    </row>
    <row r="214" spans="1:15" x14ac:dyDescent="0.4">
      <c r="A214" s="69" t="s">
        <v>3448</v>
      </c>
    </row>
    <row r="215" spans="1:15" x14ac:dyDescent="0.4">
      <c r="A215" s="1" t="s">
        <v>3438</v>
      </c>
      <c r="H215" s="10">
        <f>-O223</f>
        <v>-277497.98291986098</v>
      </c>
    </row>
    <row r="217" spans="1:15" x14ac:dyDescent="0.4">
      <c r="A217" s="1" t="s">
        <v>303</v>
      </c>
      <c r="H217" s="8">
        <f>H213+H215</f>
        <v>9421818.7970824037</v>
      </c>
      <c r="J217" s="38" t="s">
        <v>3427</v>
      </c>
      <c r="M217" s="38"/>
      <c r="N217" s="38"/>
      <c r="O217" s="25">
        <f>-F162</f>
        <v>280400.12420538673</v>
      </c>
    </row>
    <row r="218" spans="1:15" x14ac:dyDescent="0.4">
      <c r="A218" s="1" t="s">
        <v>304</v>
      </c>
      <c r="H218" s="10">
        <f>-F164</f>
        <v>-9500605.571034614</v>
      </c>
      <c r="J218" s="38" t="s">
        <v>3449</v>
      </c>
      <c r="K218" s="1"/>
      <c r="M218" s="38"/>
      <c r="N218" s="38"/>
      <c r="O218" s="119">
        <v>-1.035E-2</v>
      </c>
    </row>
    <row r="219" spans="1:15" x14ac:dyDescent="0.4">
      <c r="J219" s="38"/>
      <c r="K219" s="1"/>
      <c r="M219" s="38"/>
      <c r="N219" s="38"/>
      <c r="O219" s="38"/>
    </row>
    <row r="220" spans="1:15" ht="16.5" thickBot="1" x14ac:dyDescent="0.45">
      <c r="A220" s="1" t="s">
        <v>182</v>
      </c>
      <c r="H220" s="31">
        <f>H217+H218</f>
        <v>-78786.773952210322</v>
      </c>
      <c r="J220" s="38" t="s">
        <v>3428</v>
      </c>
      <c r="K220" s="1"/>
      <c r="M220" s="38"/>
      <c r="N220" s="38"/>
      <c r="O220" s="26">
        <f>O217*O218</f>
        <v>-2902.1412855257527</v>
      </c>
    </row>
    <row r="221" spans="1:15" ht="16.5" thickTop="1" x14ac:dyDescent="0.4">
      <c r="H221" s="25"/>
      <c r="J221" s="38" t="s">
        <v>3429</v>
      </c>
      <c r="K221" s="1"/>
      <c r="M221" s="38"/>
      <c r="N221" s="38"/>
      <c r="O221" s="10">
        <f>O217</f>
        <v>280400.12420538673</v>
      </c>
    </row>
    <row r="222" spans="1:15" x14ac:dyDescent="0.4">
      <c r="A222" s="1" t="s">
        <v>309</v>
      </c>
      <c r="K222" s="1"/>
      <c r="M222" s="38"/>
    </row>
    <row r="223" spans="1:15" ht="16.5" thickBot="1" x14ac:dyDescent="0.45">
      <c r="E223" s="73" t="s">
        <v>97</v>
      </c>
      <c r="J223" s="1" t="s">
        <v>3430</v>
      </c>
      <c r="K223" s="1"/>
      <c r="M223" s="38"/>
      <c r="O223" s="31">
        <f>SUM(O220:O222)</f>
        <v>277497.98291986098</v>
      </c>
    </row>
    <row r="224" spans="1:15" ht="16.5" thickTop="1" x14ac:dyDescent="0.4">
      <c r="A224" s="1" t="s">
        <v>310</v>
      </c>
      <c r="E224" s="8">
        <v>61423000</v>
      </c>
      <c r="K224" s="1"/>
      <c r="M224" s="38"/>
      <c r="O224" s="26"/>
    </row>
    <row r="225" spans="1:23" x14ac:dyDescent="0.4">
      <c r="A225" s="1" t="s">
        <v>311</v>
      </c>
      <c r="E225" s="10">
        <v>2030400</v>
      </c>
      <c r="K225" s="1"/>
      <c r="L225" s="1"/>
    </row>
    <row r="226" spans="1:23" x14ac:dyDescent="0.4">
      <c r="K226" s="1"/>
      <c r="M226" s="38"/>
      <c r="O226" s="26"/>
    </row>
    <row r="227" spans="1:23" x14ac:dyDescent="0.4">
      <c r="A227" s="1" t="s">
        <v>312</v>
      </c>
      <c r="E227" s="8">
        <f>SUM(E224:E226)</f>
        <v>63453400</v>
      </c>
      <c r="K227" s="1"/>
      <c r="M227" s="38"/>
      <c r="O227" s="25"/>
    </row>
    <row r="228" spans="1:23" x14ac:dyDescent="0.4">
      <c r="A228" s="1" t="s">
        <v>313</v>
      </c>
      <c r="E228" s="111">
        <v>4.5199999999999997E-3</v>
      </c>
      <c r="K228" s="1"/>
      <c r="M228" s="38"/>
      <c r="O228" s="38"/>
    </row>
    <row r="230" spans="1:23" x14ac:dyDescent="0.4">
      <c r="A230" s="1" t="s">
        <v>314</v>
      </c>
      <c r="E230" s="8">
        <f>E227*E228</f>
        <v>286809.36799999996</v>
      </c>
    </row>
    <row r="231" spans="1:23" x14ac:dyDescent="0.4">
      <c r="A231" s="1" t="s">
        <v>181</v>
      </c>
      <c r="E231" s="10">
        <f>-'Water Pro forma Rev Req'!F20</f>
        <v>-307222.46999999991</v>
      </c>
    </row>
    <row r="232" spans="1:23" x14ac:dyDescent="0.4">
      <c r="E232" s="8"/>
    </row>
    <row r="233" spans="1:23" ht="16.5" thickBot="1" x14ac:dyDescent="0.45">
      <c r="A233" s="1" t="s">
        <v>182</v>
      </c>
      <c r="E233" s="31">
        <f>E230+E231</f>
        <v>-20413.101999999955</v>
      </c>
    </row>
    <row r="234" spans="1:23" ht="16.5" thickTop="1" x14ac:dyDescent="0.4">
      <c r="E234" s="8"/>
    </row>
    <row r="236" spans="1:23" x14ac:dyDescent="0.4">
      <c r="J236" s="182"/>
      <c r="K236" s="386"/>
      <c r="L236" s="386"/>
      <c r="M236" s="386"/>
      <c r="N236" s="386"/>
      <c r="O236" s="386"/>
      <c r="P236" s="386"/>
      <c r="Q236" s="386"/>
      <c r="R236" s="349"/>
      <c r="S236" s="349"/>
      <c r="T236" s="349"/>
      <c r="U236" s="349"/>
      <c r="V236" s="349"/>
      <c r="W236" s="349"/>
    </row>
    <row r="237" spans="1:23" x14ac:dyDescent="0.4">
      <c r="J237" s="426" t="s">
        <v>3519</v>
      </c>
      <c r="K237" s="426"/>
      <c r="L237" s="426"/>
      <c r="M237" s="426"/>
      <c r="N237" s="426"/>
      <c r="O237" s="426"/>
      <c r="P237" s="426"/>
      <c r="Q237" s="426"/>
      <c r="R237" s="237"/>
      <c r="S237" s="237"/>
      <c r="T237" s="237"/>
      <c r="U237" s="237"/>
      <c r="V237" s="237"/>
      <c r="W237" s="237"/>
    </row>
    <row r="238" spans="1:23" x14ac:dyDescent="0.4">
      <c r="A238" s="1" t="s">
        <v>3376</v>
      </c>
      <c r="J238" s="407" t="s">
        <v>3501</v>
      </c>
      <c r="K238" s="407"/>
      <c r="L238" s="407"/>
      <c r="M238" s="407"/>
      <c r="N238" s="407"/>
      <c r="O238" s="407"/>
      <c r="P238" s="407"/>
      <c r="Q238" s="407"/>
      <c r="R238" s="237"/>
      <c r="S238" s="237"/>
      <c r="T238" s="237"/>
      <c r="U238" s="237"/>
      <c r="V238" s="237"/>
      <c r="W238" s="237"/>
    </row>
    <row r="239" spans="1:23" x14ac:dyDescent="0.4">
      <c r="J239" s="407" t="s">
        <v>3479</v>
      </c>
      <c r="K239" s="407"/>
      <c r="L239" s="407"/>
      <c r="M239" s="407"/>
      <c r="N239" s="407"/>
      <c r="O239" s="407"/>
      <c r="P239" s="407"/>
      <c r="Q239" s="407"/>
    </row>
    <row r="240" spans="1:23" x14ac:dyDescent="0.4">
      <c r="A240" s="420" t="s">
        <v>3387</v>
      </c>
      <c r="B240" s="420"/>
      <c r="C240" s="420"/>
      <c r="D240" s="420"/>
      <c r="E240" s="420"/>
      <c r="F240" s="420"/>
      <c r="G240" s="420"/>
      <c r="H240" s="420"/>
      <c r="J240" s="420" t="s">
        <v>3387</v>
      </c>
      <c r="K240" s="420"/>
      <c r="L240" s="420"/>
      <c r="M240" s="420"/>
      <c r="N240" s="420"/>
      <c r="O240" s="420"/>
      <c r="P240" s="420"/>
      <c r="Q240" s="420"/>
    </row>
    <row r="241" spans="1:28" x14ac:dyDescent="0.4">
      <c r="K241" s="1"/>
      <c r="L241" s="1"/>
    </row>
    <row r="242" spans="1:28" x14ac:dyDescent="0.4">
      <c r="A242"/>
      <c r="B242"/>
      <c r="D242" s="64" t="s">
        <v>288</v>
      </c>
      <c r="E242" s="94">
        <f>'Water Retail Rate Calc'!L77</f>
        <v>1.4709896904892442E-2</v>
      </c>
      <c r="F242" s="65" t="s">
        <v>249</v>
      </c>
      <c r="J242"/>
      <c r="K242"/>
      <c r="L242" s="64" t="s">
        <v>288</v>
      </c>
      <c r="M242" s="94">
        <f>ROUND('Water Retail Rate Calc'!AC77,5)</f>
        <v>1.4710000000000001E-2</v>
      </c>
      <c r="N242" s="65" t="s">
        <v>249</v>
      </c>
    </row>
    <row r="243" spans="1:28" x14ac:dyDescent="0.4">
      <c r="A243"/>
      <c r="B243"/>
      <c r="C243" s="2"/>
      <c r="D243" s="2"/>
      <c r="E243" s="79"/>
      <c r="F243" s="2" t="s">
        <v>97</v>
      </c>
      <c r="J243"/>
      <c r="K243"/>
      <c r="L243" s="2"/>
      <c r="M243" s="2"/>
      <c r="N243" s="79"/>
      <c r="O243" s="2" t="s">
        <v>97</v>
      </c>
      <c r="W243" s="1" t="s">
        <v>3499</v>
      </c>
    </row>
    <row r="244" spans="1:28" x14ac:dyDescent="0.4">
      <c r="A244"/>
      <c r="B244"/>
      <c r="C244" s="2" t="s">
        <v>278</v>
      </c>
      <c r="D244" s="2"/>
      <c r="E244" s="79"/>
      <c r="F244" s="2" t="s">
        <v>3378</v>
      </c>
      <c r="J244"/>
      <c r="K244"/>
      <c r="L244" s="2" t="s">
        <v>278</v>
      </c>
      <c r="M244" s="2"/>
      <c r="N244" s="79"/>
      <c r="O244" s="2" t="s">
        <v>3378</v>
      </c>
      <c r="AB244" s="1" t="s">
        <v>3505</v>
      </c>
    </row>
    <row r="245" spans="1:28" x14ac:dyDescent="0.4">
      <c r="A245" s="91" t="s">
        <v>286</v>
      </c>
      <c r="B245"/>
      <c r="C245" s="68" t="s">
        <v>279</v>
      </c>
      <c r="D245" s="68" t="s">
        <v>248</v>
      </c>
      <c r="E245" s="68"/>
      <c r="F245" s="107" t="s">
        <v>113</v>
      </c>
      <c r="H245" s="68" t="s">
        <v>140</v>
      </c>
      <c r="J245" s="91" t="s">
        <v>286</v>
      </c>
      <c r="K245"/>
      <c r="L245" s="68" t="s">
        <v>279</v>
      </c>
      <c r="M245" s="68" t="s">
        <v>248</v>
      </c>
      <c r="N245" s="68"/>
      <c r="O245" s="107" t="s">
        <v>113</v>
      </c>
      <c r="Q245" s="68" t="s">
        <v>140</v>
      </c>
      <c r="W245" s="1" t="s">
        <v>2662</v>
      </c>
      <c r="X245" s="1" t="s">
        <v>3500</v>
      </c>
      <c r="Y245" s="1" t="s">
        <v>2662</v>
      </c>
      <c r="AB245" s="1" t="s">
        <v>3506</v>
      </c>
    </row>
    <row r="246" spans="1:28" x14ac:dyDescent="0.4">
      <c r="A246" s="41" t="s">
        <v>282</v>
      </c>
      <c r="B246"/>
      <c r="C246"/>
      <c r="J246" s="41" t="s">
        <v>282</v>
      </c>
      <c r="K246"/>
      <c r="L246"/>
      <c r="W246" s="1" t="s">
        <v>3498</v>
      </c>
      <c r="X246" s="1" t="s">
        <v>3507</v>
      </c>
      <c r="Y246" s="1" t="s">
        <v>248</v>
      </c>
    </row>
    <row r="247" spans="1:28" x14ac:dyDescent="0.4">
      <c r="A247" s="69" t="s">
        <v>250</v>
      </c>
      <c r="B247" s="69"/>
      <c r="C247" s="95">
        <f>C249*6</f>
        <v>55.38</v>
      </c>
      <c r="D247" s="8">
        <v>12</v>
      </c>
      <c r="E247" s="8"/>
      <c r="F247" s="8">
        <f t="shared" ref="F247:F253" si="41">F178</f>
        <v>58339.8675</v>
      </c>
      <c r="H247" s="8">
        <f>(D247*C247)+(F247*$E$242)</f>
        <v>1522.7334363700852</v>
      </c>
      <c r="J247" s="69" t="s">
        <v>250</v>
      </c>
      <c r="K247" s="69"/>
      <c r="L247" s="95">
        <f>L249*6</f>
        <v>53.699999999999996</v>
      </c>
      <c r="M247" s="8">
        <v>12</v>
      </c>
      <c r="N247" s="8"/>
      <c r="O247" s="8">
        <f>F178</f>
        <v>58339.8675</v>
      </c>
      <c r="Q247" s="9">
        <f t="shared" ref="Q247:Q254" si="42">(M247*L247)+(O247*$M$242)</f>
        <v>1502.5794509249999</v>
      </c>
      <c r="W247" s="1">
        <v>6</v>
      </c>
      <c r="X247" s="1">
        <f>O247</f>
        <v>58339.8675</v>
      </c>
      <c r="Y247" s="1">
        <f>M247</f>
        <v>12</v>
      </c>
      <c r="Z247" s="1">
        <f>X247/Y247</f>
        <v>4861.6556250000003</v>
      </c>
      <c r="AA247" s="1">
        <f>Z247/W247</f>
        <v>810.27593750000005</v>
      </c>
      <c r="AB247" s="1">
        <f>W247*Y247</f>
        <v>72</v>
      </c>
    </row>
    <row r="248" spans="1:28" x14ac:dyDescent="0.4">
      <c r="A248" s="69" t="s">
        <v>251</v>
      </c>
      <c r="B248" s="69"/>
      <c r="C248" s="69">
        <f>C249*8</f>
        <v>73.84</v>
      </c>
      <c r="D248" s="8">
        <v>24</v>
      </c>
      <c r="E248" s="8"/>
      <c r="F248" s="8">
        <f t="shared" si="41"/>
        <v>1168677.6850000001</v>
      </c>
      <c r="H248" s="8">
        <f t="shared" ref="H248:H279" si="43">(D248*C248)+(F248*$E$242)</f>
        <v>18963.288261398364</v>
      </c>
      <c r="J248" s="69" t="s">
        <v>251</v>
      </c>
      <c r="K248" s="69"/>
      <c r="L248" s="69">
        <f>L249*8</f>
        <v>71.599999999999994</v>
      </c>
      <c r="M248" s="8">
        <v>24</v>
      </c>
      <c r="N248" s="8"/>
      <c r="O248" s="8">
        <f t="shared" ref="O248:O279" si="44">F179</f>
        <v>1168677.6850000001</v>
      </c>
      <c r="Q248" s="8">
        <f t="shared" si="42"/>
        <v>18909.648746350002</v>
      </c>
      <c r="W248" s="1">
        <v>8</v>
      </c>
      <c r="X248" s="1">
        <f>O248</f>
        <v>1168677.6850000001</v>
      </c>
      <c r="Y248" s="1">
        <f>M248</f>
        <v>24</v>
      </c>
      <c r="Z248" s="1">
        <f>X248/Y248</f>
        <v>48694.903541666667</v>
      </c>
      <c r="AA248" s="1">
        <f>Z248/W248</f>
        <v>6086.8629427083333</v>
      </c>
      <c r="AB248" s="1">
        <f>W248*Y248</f>
        <v>192</v>
      </c>
    </row>
    <row r="249" spans="1:28" x14ac:dyDescent="0.4">
      <c r="A249" s="69" t="s">
        <v>252</v>
      </c>
      <c r="B249" s="69"/>
      <c r="C249" s="69">
        <f>'Water Retail Rate Calc'!L41</f>
        <v>9.23</v>
      </c>
      <c r="D249" s="8">
        <v>194971</v>
      </c>
      <c r="E249" s="8"/>
      <c r="F249" s="8">
        <f t="shared" si="41"/>
        <v>607714536.81295002</v>
      </c>
      <c r="H249" s="8">
        <f t="shared" si="43"/>
        <v>10739000.514122957</v>
      </c>
      <c r="J249" s="69" t="s">
        <v>252</v>
      </c>
      <c r="K249" s="69"/>
      <c r="L249" s="69">
        <v>8.9499999999999993</v>
      </c>
      <c r="M249" s="8">
        <v>194971</v>
      </c>
      <c r="N249" s="8"/>
      <c r="O249" s="8">
        <f t="shared" si="44"/>
        <v>607714536.81295002</v>
      </c>
      <c r="Q249" s="8">
        <f>(M249*L249)+(O249*$M$242)</f>
        <v>10684471.286518494</v>
      </c>
      <c r="S249" s="1">
        <f>O249/M249</f>
        <v>3116.9483503338961</v>
      </c>
    </row>
    <row r="250" spans="1:28" x14ac:dyDescent="0.4">
      <c r="A250" s="69" t="s">
        <v>253</v>
      </c>
      <c r="B250" s="69"/>
      <c r="C250" s="69">
        <f>C249*2</f>
        <v>18.46</v>
      </c>
      <c r="D250" s="8">
        <v>1803</v>
      </c>
      <c r="E250" s="8"/>
      <c r="F250" s="8">
        <f t="shared" si="41"/>
        <v>10809095.851</v>
      </c>
      <c r="H250" s="8">
        <f t="shared" si="43"/>
        <v>192284.06560331065</v>
      </c>
      <c r="J250" s="69" t="s">
        <v>253</v>
      </c>
      <c r="K250" s="69"/>
      <c r="L250" s="69">
        <f>L249*2</f>
        <v>17.899999999999999</v>
      </c>
      <c r="M250" s="8">
        <v>1803</v>
      </c>
      <c r="N250" s="8"/>
      <c r="O250" s="8">
        <f t="shared" si="44"/>
        <v>10809095.851</v>
      </c>
      <c r="Q250" s="8">
        <f>(M250*L250)+(O250*$M$242)</f>
        <v>191275.49996821</v>
      </c>
      <c r="W250" s="1">
        <v>2</v>
      </c>
      <c r="X250" s="1">
        <f>O250</f>
        <v>10809095.851</v>
      </c>
      <c r="Y250" s="1">
        <f>M250</f>
        <v>1803</v>
      </c>
      <c r="Z250" s="1">
        <f>X250/Y250</f>
        <v>5995.0614814198552</v>
      </c>
      <c r="AA250" s="1">
        <f>Z250/W250</f>
        <v>2997.5307407099276</v>
      </c>
      <c r="AB250" s="1">
        <f>W250*Y250</f>
        <v>3606</v>
      </c>
    </row>
    <row r="251" spans="1:28" x14ac:dyDescent="0.4">
      <c r="A251" s="69" t="s">
        <v>254</v>
      </c>
      <c r="B251" s="69"/>
      <c r="C251" s="69">
        <f>C249*3</f>
        <v>27.69</v>
      </c>
      <c r="D251" s="8">
        <v>204</v>
      </c>
      <c r="E251" s="8"/>
      <c r="F251" s="8">
        <f t="shared" si="41"/>
        <v>1464642.4140000001</v>
      </c>
      <c r="H251" s="8">
        <f t="shared" si="43"/>
        <v>27193.498912472794</v>
      </c>
      <c r="J251" s="69" t="s">
        <v>254</v>
      </c>
      <c r="K251" s="69"/>
      <c r="L251" s="69">
        <f>L249*3</f>
        <v>26.849999999999998</v>
      </c>
      <c r="M251" s="8">
        <v>204</v>
      </c>
      <c r="N251" s="8"/>
      <c r="O251" s="8">
        <f t="shared" si="44"/>
        <v>1464642.4140000001</v>
      </c>
      <c r="Q251" s="8">
        <f t="shared" si="42"/>
        <v>27022.289909940002</v>
      </c>
      <c r="W251" s="1">
        <v>3</v>
      </c>
      <c r="X251" s="1">
        <f>O251</f>
        <v>1464642.4140000001</v>
      </c>
      <c r="Y251" s="1">
        <f>M251</f>
        <v>204</v>
      </c>
      <c r="Z251" s="1">
        <f>X251/Y251</f>
        <v>7179.6196764705892</v>
      </c>
      <c r="AA251" s="1">
        <f>Z251/W251</f>
        <v>2393.2065588235296</v>
      </c>
      <c r="AB251" s="1">
        <f>W251*Y251</f>
        <v>612</v>
      </c>
    </row>
    <row r="252" spans="1:28" x14ac:dyDescent="0.4">
      <c r="A252" s="70" t="s">
        <v>255</v>
      </c>
      <c r="B252" s="69"/>
      <c r="C252" s="69">
        <f>C249*4</f>
        <v>36.92</v>
      </c>
      <c r="D252" s="8">
        <v>72</v>
      </c>
      <c r="E252" s="8"/>
      <c r="F252" s="8">
        <f t="shared" si="41"/>
        <v>2320620.3884999999</v>
      </c>
      <c r="H252" s="8">
        <f t="shared" si="43"/>
        <v>36794.326670226445</v>
      </c>
      <c r="J252" s="70" t="s">
        <v>255</v>
      </c>
      <c r="K252" s="69"/>
      <c r="L252" s="69">
        <f>L249*4</f>
        <v>35.799999999999997</v>
      </c>
      <c r="M252" s="8">
        <v>72</v>
      </c>
      <c r="N252" s="8"/>
      <c r="O252" s="8">
        <f t="shared" si="44"/>
        <v>2320620.3884999999</v>
      </c>
      <c r="Q252" s="8">
        <f t="shared" si="42"/>
        <v>36713.925914834996</v>
      </c>
      <c r="W252" s="1">
        <v>4</v>
      </c>
      <c r="X252" s="1">
        <f>O252</f>
        <v>2320620.3884999999</v>
      </c>
      <c r="Y252" s="1">
        <f>M252</f>
        <v>72</v>
      </c>
      <c r="Z252" s="1">
        <f>X252/Y252</f>
        <v>32230.838729166666</v>
      </c>
      <c r="AA252" s="1">
        <f>Z252/W252</f>
        <v>8057.7096822916665</v>
      </c>
      <c r="AB252" s="1">
        <f>W252*Y252</f>
        <v>288</v>
      </c>
    </row>
    <row r="253" spans="1:28" x14ac:dyDescent="0.4">
      <c r="A253" s="71" t="s">
        <v>256</v>
      </c>
      <c r="B253" s="69"/>
      <c r="C253" s="69">
        <f>C249</f>
        <v>9.23</v>
      </c>
      <c r="D253" s="8">
        <v>72</v>
      </c>
      <c r="E253" s="8"/>
      <c r="F253" s="8">
        <f t="shared" si="41"/>
        <v>160095.68050000002</v>
      </c>
      <c r="H253" s="8">
        <f t="shared" si="43"/>
        <v>3019.5509550735997</v>
      </c>
      <c r="J253" s="71" t="s">
        <v>256</v>
      </c>
      <c r="K253" s="69"/>
      <c r="L253" s="69">
        <f>L249</f>
        <v>8.9499999999999993</v>
      </c>
      <c r="M253" s="8">
        <v>72</v>
      </c>
      <c r="N253" s="8"/>
      <c r="O253" s="8">
        <f t="shared" si="44"/>
        <v>160095.68050000002</v>
      </c>
      <c r="Q253" s="8">
        <f t="shared" si="42"/>
        <v>2999.4074601550005</v>
      </c>
    </row>
    <row r="254" spans="1:28" x14ac:dyDescent="0.4">
      <c r="A254" s="69" t="s">
        <v>257</v>
      </c>
      <c r="B254" s="69"/>
      <c r="C254" s="69">
        <f>C253</f>
        <v>9.23</v>
      </c>
      <c r="D254" s="8">
        <v>405</v>
      </c>
      <c r="E254" s="8"/>
      <c r="F254" s="8"/>
      <c r="H254" s="8">
        <f t="shared" si="43"/>
        <v>3738.15</v>
      </c>
      <c r="J254" s="69" t="s">
        <v>257</v>
      </c>
      <c r="K254" s="69"/>
      <c r="L254" s="69">
        <f>L253</f>
        <v>8.9499999999999993</v>
      </c>
      <c r="M254" s="8">
        <v>405</v>
      </c>
      <c r="N254" s="8"/>
      <c r="O254" s="8">
        <f t="shared" si="44"/>
        <v>0</v>
      </c>
      <c r="Q254" s="8">
        <f t="shared" si="42"/>
        <v>3624.7499999999995</v>
      </c>
    </row>
    <row r="255" spans="1:28" x14ac:dyDescent="0.4">
      <c r="A255" s="71"/>
      <c r="B255" s="69"/>
      <c r="C255" s="69"/>
      <c r="D255" s="8"/>
      <c r="E255" s="8"/>
      <c r="F255" s="8"/>
      <c r="H255" s="8"/>
      <c r="J255" s="71"/>
      <c r="K255" s="69"/>
      <c r="L255" s="69"/>
      <c r="M255" s="8"/>
      <c r="N255" s="8"/>
      <c r="O255" s="8"/>
      <c r="Q255" s="8"/>
    </row>
    <row r="256" spans="1:28" x14ac:dyDescent="0.4">
      <c r="A256" s="69" t="s">
        <v>258</v>
      </c>
      <c r="B256" s="69"/>
      <c r="C256" s="69">
        <f>'Water Retail Rate Calc'!L42</f>
        <v>11.649999999999999</v>
      </c>
      <c r="D256" s="8">
        <v>883</v>
      </c>
      <c r="E256" s="8"/>
      <c r="F256" s="8">
        <f>F187</f>
        <v>8454936.2239999995</v>
      </c>
      <c r="H256" s="8">
        <f t="shared" si="43"/>
        <v>134658.1901924806</v>
      </c>
      <c r="J256" s="69" t="s">
        <v>258</v>
      </c>
      <c r="K256" s="69"/>
      <c r="L256" s="69">
        <f>'Water Retail Rate Calc'!AC42</f>
        <v>17.73</v>
      </c>
      <c r="M256" s="8">
        <v>883</v>
      </c>
      <c r="N256" s="8"/>
      <c r="O256" s="8">
        <f t="shared" si="44"/>
        <v>8454936.2239999995</v>
      </c>
      <c r="Q256" s="8">
        <f>(M256*L256)+(O256*$M$242)</f>
        <v>140027.70185504001</v>
      </c>
      <c r="S256" s="1">
        <f>O256/M256</f>
        <v>9575.2392117780291</v>
      </c>
    </row>
    <row r="257" spans="1:28" x14ac:dyDescent="0.4">
      <c r="A257" s="69" t="s">
        <v>259</v>
      </c>
      <c r="B257" s="69"/>
      <c r="C257" s="69">
        <f>C249*2</f>
        <v>18.46</v>
      </c>
      <c r="D257" s="8">
        <v>24</v>
      </c>
      <c r="E257" s="8"/>
      <c r="F257" s="8">
        <f>F188</f>
        <v>194931.36050000001</v>
      </c>
      <c r="H257" s="8">
        <f t="shared" si="43"/>
        <v>3310.4602164854232</v>
      </c>
      <c r="J257" s="69" t="s">
        <v>259</v>
      </c>
      <c r="K257" s="69"/>
      <c r="L257" s="69">
        <f>L249*2</f>
        <v>17.899999999999999</v>
      </c>
      <c r="M257" s="8">
        <v>24</v>
      </c>
      <c r="N257" s="8"/>
      <c r="O257" s="8">
        <f t="shared" si="44"/>
        <v>194931.36050000001</v>
      </c>
      <c r="Q257" s="8">
        <f>(M257*L257)+(O257*$M$242)</f>
        <v>3297.0403129550004</v>
      </c>
      <c r="W257" s="1">
        <v>2</v>
      </c>
      <c r="X257" s="1">
        <f>O257</f>
        <v>194931.36050000001</v>
      </c>
      <c r="Y257" s="1">
        <f>M257</f>
        <v>24</v>
      </c>
      <c r="Z257" s="1">
        <f>X257/Y257</f>
        <v>8122.1400208333334</v>
      </c>
      <c r="AA257" s="1">
        <f>Z257/W257</f>
        <v>4061.0700104166667</v>
      </c>
      <c r="AB257" s="1">
        <f>W257*Y257</f>
        <v>48</v>
      </c>
    </row>
    <row r="258" spans="1:28" x14ac:dyDescent="0.4">
      <c r="A258" s="69" t="s">
        <v>260</v>
      </c>
      <c r="B258" s="69"/>
      <c r="C258" s="69">
        <f>C249*4</f>
        <v>36.92</v>
      </c>
      <c r="D258" s="8">
        <v>24</v>
      </c>
      <c r="E258" s="8"/>
      <c r="F258" s="8">
        <f>F189</f>
        <v>52204.037499999999</v>
      </c>
      <c r="H258" s="8">
        <f t="shared" si="43"/>
        <v>1653.9960096441391</v>
      </c>
      <c r="J258" s="69" t="s">
        <v>260</v>
      </c>
      <c r="K258" s="69"/>
      <c r="L258" s="69">
        <f>L249*4</f>
        <v>35.799999999999997</v>
      </c>
      <c r="M258" s="8">
        <v>24</v>
      </c>
      <c r="N258" s="8"/>
      <c r="O258" s="8">
        <f t="shared" si="44"/>
        <v>52204.037499999999</v>
      </c>
      <c r="Q258" s="8">
        <f>(M258*L258)+(O258*$M$242)</f>
        <v>1627.1213916249999</v>
      </c>
      <c r="W258" s="1">
        <v>4</v>
      </c>
      <c r="X258" s="1">
        <f>O258</f>
        <v>52204.037499999999</v>
      </c>
      <c r="Y258" s="1">
        <f>M258</f>
        <v>24</v>
      </c>
      <c r="Z258" s="1">
        <f>X258/Y258</f>
        <v>2175.1682291666666</v>
      </c>
      <c r="AA258" s="1">
        <f>Z258/W258</f>
        <v>543.79205729166665</v>
      </c>
      <c r="AB258" s="1">
        <f>W258*Y258</f>
        <v>96</v>
      </c>
    </row>
    <row r="259" spans="1:28" x14ac:dyDescent="0.4">
      <c r="A259" s="69" t="s">
        <v>261</v>
      </c>
      <c r="B259" s="69"/>
      <c r="C259" s="69">
        <f>5*C249</f>
        <v>46.150000000000006</v>
      </c>
      <c r="D259" s="8">
        <v>12</v>
      </c>
      <c r="E259" s="8"/>
      <c r="F259" s="8">
        <f>F190</f>
        <v>264790.75400000002</v>
      </c>
      <c r="H259" s="8">
        <f t="shared" si="43"/>
        <v>4448.8446927087361</v>
      </c>
      <c r="J259" s="69" t="s">
        <v>261</v>
      </c>
      <c r="K259" s="69"/>
      <c r="L259" s="69">
        <f>5*L249</f>
        <v>44.75</v>
      </c>
      <c r="M259" s="8">
        <v>12</v>
      </c>
      <c r="N259" s="8"/>
      <c r="O259" s="8">
        <f t="shared" si="44"/>
        <v>264790.75400000002</v>
      </c>
      <c r="Q259" s="8">
        <f>(M259*L259)+(O259*$M$242)</f>
        <v>4432.0719913400007</v>
      </c>
      <c r="W259" s="1">
        <v>5</v>
      </c>
      <c r="X259" s="1">
        <f>O259</f>
        <v>264790.75400000002</v>
      </c>
      <c r="Y259" s="1">
        <f>M259</f>
        <v>12</v>
      </c>
      <c r="Z259" s="1">
        <f>X259/Y259</f>
        <v>22065.896166666669</v>
      </c>
      <c r="AA259" s="1">
        <f>Z259/W259</f>
        <v>4413.1792333333342</v>
      </c>
      <c r="AB259" s="1">
        <f>W259*Y259</f>
        <v>60</v>
      </c>
    </row>
    <row r="260" spans="1:28" x14ac:dyDescent="0.4">
      <c r="A260" s="69"/>
      <c r="B260" s="69"/>
      <c r="C260" s="69"/>
      <c r="D260" s="8"/>
      <c r="E260" s="8"/>
      <c r="F260" s="8"/>
      <c r="H260" s="8"/>
      <c r="J260" s="69"/>
      <c r="K260" s="69"/>
      <c r="L260" s="69"/>
      <c r="M260" s="8"/>
      <c r="N260" s="8"/>
      <c r="O260" s="8"/>
      <c r="Q260" s="8"/>
    </row>
    <row r="261" spans="1:28" x14ac:dyDescent="0.4">
      <c r="A261" s="69" t="s">
        <v>262</v>
      </c>
      <c r="B261" s="69"/>
      <c r="C261" s="69">
        <f>C249*52</f>
        <v>479.96000000000004</v>
      </c>
      <c r="D261" s="8">
        <v>12</v>
      </c>
      <c r="E261" s="8"/>
      <c r="F261" s="8">
        <f>F192</f>
        <v>944126.1</v>
      </c>
      <c r="H261" s="8">
        <f t="shared" si="43"/>
        <v>19647.517596218175</v>
      </c>
      <c r="J261" s="69" t="s">
        <v>262</v>
      </c>
      <c r="K261" s="69"/>
      <c r="L261" s="69">
        <f>L249*52</f>
        <v>465.4</v>
      </c>
      <c r="M261" s="8">
        <v>12</v>
      </c>
      <c r="N261" s="8"/>
      <c r="O261" s="8">
        <f t="shared" si="44"/>
        <v>944126.1</v>
      </c>
      <c r="Q261" s="8">
        <f>(M261*L261)+(O261*$M$242)</f>
        <v>19472.894930999999</v>
      </c>
      <c r="W261" s="1">
        <v>52</v>
      </c>
      <c r="X261" s="1">
        <f>O261</f>
        <v>944126.1</v>
      </c>
      <c r="Y261" s="1">
        <f>M261</f>
        <v>12</v>
      </c>
      <c r="Z261" s="1">
        <f>X261/Y261</f>
        <v>78677.175000000003</v>
      </c>
      <c r="AA261" s="1">
        <f>Z261/W261</f>
        <v>1513.0225961538463</v>
      </c>
      <c r="AB261" s="1">
        <f>W261*Y261</f>
        <v>624</v>
      </c>
    </row>
    <row r="262" spans="1:28" x14ac:dyDescent="0.4">
      <c r="A262" s="69" t="s">
        <v>263</v>
      </c>
      <c r="B262" s="69"/>
      <c r="C262" s="69">
        <f>'Water Retail Rate Calc'!L43</f>
        <v>20.724999999999998</v>
      </c>
      <c r="D262" s="8">
        <v>393</v>
      </c>
      <c r="E262" s="8"/>
      <c r="F262" s="8">
        <f>F193</f>
        <v>12138700.522500001</v>
      </c>
      <c r="H262" s="8">
        <f t="shared" si="43"/>
        <v>186703.95824533902</v>
      </c>
      <c r="J262" s="69" t="s">
        <v>263</v>
      </c>
      <c r="K262" s="69"/>
      <c r="L262" s="69">
        <f>'Water Retail Rate Calc'!AC43</f>
        <v>49.74</v>
      </c>
      <c r="M262" s="8">
        <v>393</v>
      </c>
      <c r="N262" s="8"/>
      <c r="O262" s="8">
        <f t="shared" si="44"/>
        <v>12138700.522500001</v>
      </c>
      <c r="Q262" s="8">
        <f>(M262*L262)+(O262*$M$242)</f>
        <v>198108.10468597503</v>
      </c>
      <c r="S262" s="1">
        <f>O262/M262</f>
        <v>30887.27868320611</v>
      </c>
    </row>
    <row r="263" spans="1:28" x14ac:dyDescent="0.4">
      <c r="A263" s="69" t="s">
        <v>264</v>
      </c>
      <c r="B263" s="69"/>
      <c r="C263" s="69">
        <f>C249*16</f>
        <v>147.68</v>
      </c>
      <c r="D263" s="8">
        <v>12</v>
      </c>
      <c r="E263" s="8"/>
      <c r="F263" s="8">
        <f>F194</f>
        <v>222968.14500000002</v>
      </c>
      <c r="H263" s="8">
        <f t="shared" si="43"/>
        <v>5051.9984260251094</v>
      </c>
      <c r="J263" s="69" t="s">
        <v>264</v>
      </c>
      <c r="K263" s="69"/>
      <c r="L263" s="69">
        <f>L249*16</f>
        <v>143.19999999999999</v>
      </c>
      <c r="M263" s="8">
        <v>12</v>
      </c>
      <c r="N263" s="8"/>
      <c r="O263" s="8">
        <f t="shared" si="44"/>
        <v>222968.14500000002</v>
      </c>
      <c r="Q263" s="8">
        <f>(M263*L263)+(O263*$M$242)</f>
        <v>4998.2614129500007</v>
      </c>
      <c r="W263" s="1">
        <v>16</v>
      </c>
      <c r="X263" s="1">
        <f>O263</f>
        <v>222968.14500000002</v>
      </c>
      <c r="Y263" s="1">
        <f>M263</f>
        <v>12</v>
      </c>
      <c r="Z263" s="1">
        <f>X263/Y263</f>
        <v>18580.678750000003</v>
      </c>
      <c r="AA263" s="1">
        <f>Z263/W263</f>
        <v>1161.2924218750002</v>
      </c>
      <c r="AB263" s="1">
        <f>W263*Y263</f>
        <v>192</v>
      </c>
    </row>
    <row r="264" spans="1:28" x14ac:dyDescent="0.4">
      <c r="A264" s="69" t="s">
        <v>265</v>
      </c>
      <c r="B264" s="69"/>
      <c r="C264" s="69">
        <f>'Water Retail Rate Calc'!L43</f>
        <v>20.724999999999998</v>
      </c>
      <c r="D264" s="8">
        <v>254</v>
      </c>
      <c r="E264" s="8"/>
      <c r="F264" s="8">
        <f>F195</f>
        <v>9330331.1315000001</v>
      </c>
      <c r="H264" s="8">
        <f t="shared" si="43"/>
        <v>142512.35903287344</v>
      </c>
      <c r="J264" s="69" t="s">
        <v>265</v>
      </c>
      <c r="K264" s="69"/>
      <c r="L264" s="69">
        <f>L262</f>
        <v>49.74</v>
      </c>
      <c r="M264" s="8">
        <v>254</v>
      </c>
      <c r="N264" s="8"/>
      <c r="O264" s="8">
        <f t="shared" si="44"/>
        <v>9330331.1315000001</v>
      </c>
      <c r="Q264" s="8">
        <f>(M264*L264)+(O264*$M$242)</f>
        <v>149883.130944365</v>
      </c>
      <c r="S264" s="1">
        <f>O264/M264</f>
        <v>36733.587131889763</v>
      </c>
      <c r="T264" s="1">
        <f>O264+O262</f>
        <v>21469031.653999999</v>
      </c>
      <c r="U264" s="1">
        <f>M264+M262</f>
        <v>647</v>
      </c>
      <c r="V264" s="1">
        <f>T264/U264</f>
        <v>33182.429140649147</v>
      </c>
    </row>
    <row r="265" spans="1:28" x14ac:dyDescent="0.4">
      <c r="A265" s="69" t="s">
        <v>266</v>
      </c>
      <c r="B265" s="69"/>
      <c r="C265" s="69">
        <f>C249*68</f>
        <v>627.64</v>
      </c>
      <c r="D265" s="8">
        <v>12</v>
      </c>
      <c r="E265" s="8"/>
      <c r="F265" s="8">
        <f>F196</f>
        <v>2026011.48</v>
      </c>
      <c r="H265" s="8">
        <f t="shared" si="43"/>
        <v>37334.099998928556</v>
      </c>
      <c r="J265" s="69" t="s">
        <v>266</v>
      </c>
      <c r="K265" s="69"/>
      <c r="L265" s="69">
        <f>L249*68</f>
        <v>608.59999999999991</v>
      </c>
      <c r="M265" s="8">
        <v>12</v>
      </c>
      <c r="N265" s="8"/>
      <c r="O265" s="8">
        <f t="shared" si="44"/>
        <v>2026011.48</v>
      </c>
      <c r="Q265" s="8">
        <f>(M265*L265)+(O265*$M$242)</f>
        <v>37105.828870800004</v>
      </c>
      <c r="W265" s="1">
        <v>68</v>
      </c>
      <c r="X265" s="1">
        <f>O265</f>
        <v>2026011.48</v>
      </c>
      <c r="Y265" s="1">
        <f>M265</f>
        <v>12</v>
      </c>
      <c r="Z265" s="1">
        <f>X265/Y265</f>
        <v>168834.29</v>
      </c>
      <c r="AA265" s="1">
        <f>Z265/W265</f>
        <v>2482.8572058823529</v>
      </c>
      <c r="AB265" s="1">
        <f>W265*Y265</f>
        <v>816</v>
      </c>
    </row>
    <row r="266" spans="1:28" x14ac:dyDescent="0.4">
      <c r="A266" s="69"/>
      <c r="B266" s="69"/>
      <c r="C266" s="69"/>
      <c r="D266" s="8"/>
      <c r="E266" s="8"/>
      <c r="F266" s="8"/>
      <c r="H266" s="8"/>
      <c r="J266" s="69"/>
      <c r="K266" s="69"/>
      <c r="L266" s="69"/>
      <c r="M266" s="8"/>
      <c r="N266" s="8"/>
      <c r="O266" s="8"/>
      <c r="Q266" s="8"/>
    </row>
    <row r="267" spans="1:28" x14ac:dyDescent="0.4">
      <c r="A267" s="69"/>
      <c r="B267" s="69"/>
      <c r="C267" s="69"/>
      <c r="D267" s="8"/>
      <c r="E267" s="8"/>
      <c r="F267" s="8"/>
      <c r="H267" s="8"/>
      <c r="J267" s="69"/>
      <c r="K267" s="69"/>
      <c r="L267" s="69"/>
      <c r="M267" s="8"/>
      <c r="N267" s="8"/>
      <c r="O267" s="8"/>
      <c r="Q267" s="8"/>
    </row>
    <row r="268" spans="1:28" x14ac:dyDescent="0.4">
      <c r="A268" s="69" t="s">
        <v>267</v>
      </c>
      <c r="B268" s="69"/>
      <c r="C268" s="69">
        <f>'Water Retail Rate Calc'!L44</f>
        <v>69.73</v>
      </c>
      <c r="D268" s="8">
        <v>48</v>
      </c>
      <c r="E268" s="8"/>
      <c r="F268" s="8">
        <f>F199</f>
        <v>2958004.4709999999</v>
      </c>
      <c r="H268" s="8">
        <f t="shared" si="43"/>
        <v>46858.980812620903</v>
      </c>
      <c r="J268" s="69" t="s">
        <v>267</v>
      </c>
      <c r="K268" s="69"/>
      <c r="L268" s="69">
        <f>'Water Retail Rate Calc'!AC44</f>
        <v>96.300000000000011</v>
      </c>
      <c r="M268" s="8">
        <v>48</v>
      </c>
      <c r="N268" s="8"/>
      <c r="O268" s="8">
        <f t="shared" si="44"/>
        <v>2958004.4709999999</v>
      </c>
      <c r="Q268" s="8">
        <f>(M268*L268)+(O268*$M$242)</f>
        <v>48134.645768410002</v>
      </c>
      <c r="S268" s="1">
        <f>O268/M268</f>
        <v>61625.093145833329</v>
      </c>
    </row>
    <row r="269" spans="1:28" x14ac:dyDescent="0.4">
      <c r="A269" s="69" t="s">
        <v>268</v>
      </c>
      <c r="B269" s="69"/>
      <c r="C269" s="69">
        <f>C268</f>
        <v>69.73</v>
      </c>
      <c r="D269" s="8">
        <v>60</v>
      </c>
      <c r="E269" s="8"/>
      <c r="F269" s="8">
        <f>F200</f>
        <v>3261925.986</v>
      </c>
      <c r="H269" s="8">
        <f t="shared" si="43"/>
        <v>52166.394965449632</v>
      </c>
      <c r="J269" s="69" t="s">
        <v>268</v>
      </c>
      <c r="K269" s="69"/>
      <c r="L269" s="69">
        <f>L268</f>
        <v>96.300000000000011</v>
      </c>
      <c r="M269" s="8">
        <v>60</v>
      </c>
      <c r="N269" s="8"/>
      <c r="O269" s="8">
        <f t="shared" si="44"/>
        <v>3261925.986</v>
      </c>
      <c r="Q269" s="8">
        <f>(M269*L269)+(O269*$M$242)</f>
        <v>53760.93125406</v>
      </c>
      <c r="S269" s="1">
        <f>O269/M269</f>
        <v>54365.433100000002</v>
      </c>
      <c r="T269" s="1">
        <f>O269+O268</f>
        <v>6219930.4570000004</v>
      </c>
      <c r="U269" s="1">
        <f>M269+M268</f>
        <v>108</v>
      </c>
      <c r="V269" s="1">
        <f>T269/U269</f>
        <v>57591.948675925931</v>
      </c>
    </row>
    <row r="270" spans="1:28" x14ac:dyDescent="0.4">
      <c r="A270" s="69"/>
      <c r="B270" s="69"/>
      <c r="C270" s="69"/>
      <c r="D270" s="26"/>
      <c r="E270" s="26"/>
      <c r="F270" s="8"/>
      <c r="H270" s="8"/>
      <c r="J270" s="69"/>
      <c r="K270" s="69"/>
      <c r="L270" s="69"/>
      <c r="M270" s="26"/>
      <c r="N270" s="26"/>
      <c r="O270" s="8"/>
      <c r="Q270" s="8"/>
    </row>
    <row r="271" spans="1:28" x14ac:dyDescent="0.4">
      <c r="A271" s="69"/>
      <c r="B271" s="69"/>
      <c r="C271" s="69"/>
      <c r="D271" s="26"/>
      <c r="E271" s="26"/>
      <c r="F271" s="8"/>
      <c r="H271" s="8"/>
      <c r="J271" s="69"/>
      <c r="K271" s="69"/>
      <c r="L271" s="69"/>
      <c r="M271" s="26"/>
      <c r="N271" s="26"/>
      <c r="O271" s="8"/>
      <c r="Q271" s="8"/>
    </row>
    <row r="272" spans="1:28" x14ac:dyDescent="0.4">
      <c r="A272" s="69" t="s">
        <v>269</v>
      </c>
      <c r="B272" s="69"/>
      <c r="C272" s="69">
        <f>'Water Retail Rate Calc'!L45</f>
        <v>87.88000000000001</v>
      </c>
      <c r="D272" s="26">
        <v>12</v>
      </c>
      <c r="E272" s="26"/>
      <c r="F272" s="8">
        <f>F203</f>
        <v>89959.184999999998</v>
      </c>
      <c r="H272" s="8">
        <f t="shared" si="43"/>
        <v>2377.8503369981468</v>
      </c>
      <c r="J272" s="69" t="s">
        <v>269</v>
      </c>
      <c r="K272" s="69"/>
      <c r="L272" s="69">
        <f>'Water Retail Rate Calc'!AC45</f>
        <v>148.68</v>
      </c>
      <c r="M272" s="26">
        <v>12</v>
      </c>
      <c r="N272" s="26"/>
      <c r="O272" s="8">
        <f t="shared" si="44"/>
        <v>89959.184999999998</v>
      </c>
      <c r="Q272" s="8">
        <f>(M272*L272)+(O272*$M$242)</f>
        <v>3107.4596113500002</v>
      </c>
      <c r="S272" s="1">
        <f>O272/M272</f>
        <v>7496.5987500000001</v>
      </c>
    </row>
    <row r="273" spans="1:29" x14ac:dyDescent="0.4">
      <c r="A273" s="69" t="s">
        <v>270</v>
      </c>
      <c r="B273" s="69"/>
      <c r="C273" s="69">
        <f>C272</f>
        <v>87.88000000000001</v>
      </c>
      <c r="D273" s="26">
        <v>60</v>
      </c>
      <c r="E273" s="26"/>
      <c r="F273" s="8">
        <f>F204</f>
        <v>12062042.2335</v>
      </c>
      <c r="H273" s="8">
        <f t="shared" si="43"/>
        <v>182704.19771724357</v>
      </c>
      <c r="J273" s="69" t="s">
        <v>270</v>
      </c>
      <c r="K273" s="69"/>
      <c r="L273" s="69">
        <f>L272</f>
        <v>148.68</v>
      </c>
      <c r="M273" s="26">
        <v>60</v>
      </c>
      <c r="N273" s="26"/>
      <c r="O273" s="8">
        <f t="shared" si="44"/>
        <v>12062042.2335</v>
      </c>
      <c r="Q273" s="8">
        <f>(M273*L273)+(O273*$M$242)</f>
        <v>186353.44125478499</v>
      </c>
      <c r="S273" s="1">
        <f>O273/M273</f>
        <v>201034.03722500001</v>
      </c>
    </row>
    <row r="274" spans="1:29" x14ac:dyDescent="0.4">
      <c r="A274" s="69" t="s">
        <v>271</v>
      </c>
      <c r="B274" s="69"/>
      <c r="C274" s="69">
        <f>C273</f>
        <v>87.88000000000001</v>
      </c>
      <c r="D274" s="26">
        <v>24</v>
      </c>
      <c r="E274" s="26"/>
      <c r="F274" s="8">
        <f>F205</f>
        <v>750768.28300000005</v>
      </c>
      <c r="H274" s="8">
        <f t="shared" si="43"/>
        <v>13152.844042393115</v>
      </c>
      <c r="J274" s="69" t="s">
        <v>271</v>
      </c>
      <c r="K274" s="69"/>
      <c r="L274" s="69">
        <f>L273</f>
        <v>148.68</v>
      </c>
      <c r="M274" s="26">
        <v>24</v>
      </c>
      <c r="N274" s="26"/>
      <c r="O274" s="8">
        <f t="shared" si="44"/>
        <v>750768.28300000005</v>
      </c>
      <c r="Q274" s="8">
        <f>(M274*L274)+(O274*$M$242)</f>
        <v>14612.121442930002</v>
      </c>
      <c r="S274" s="1">
        <f>O274/M274</f>
        <v>31282.011791666668</v>
      </c>
      <c r="T274" s="1">
        <f>O272+O273+O274</f>
        <v>12902769.7015</v>
      </c>
      <c r="U274" s="1">
        <f>M272+M273+M274</f>
        <v>96</v>
      </c>
      <c r="V274" s="1">
        <f>T274/U274</f>
        <v>134403.85105729167</v>
      </c>
    </row>
    <row r="275" spans="1:29" x14ac:dyDescent="0.4">
      <c r="A275" s="69"/>
      <c r="B275" s="69"/>
      <c r="C275" s="69"/>
      <c r="D275" s="26"/>
      <c r="E275" s="26"/>
      <c r="F275" s="8"/>
      <c r="H275" s="8"/>
      <c r="J275" s="69"/>
      <c r="K275" s="69"/>
      <c r="L275" s="69"/>
      <c r="M275" s="26"/>
      <c r="N275" s="26"/>
      <c r="O275" s="8"/>
      <c r="Q275" s="8"/>
    </row>
    <row r="276" spans="1:29" x14ac:dyDescent="0.4">
      <c r="A276" s="69" t="s">
        <v>272</v>
      </c>
      <c r="B276" s="69"/>
      <c r="C276" s="69">
        <f>'Water Retail Rate Calc'!L46</f>
        <v>130.22999999999999</v>
      </c>
      <c r="D276" s="26">
        <v>42</v>
      </c>
      <c r="E276" s="26"/>
      <c r="F276" s="8">
        <f>F207</f>
        <v>3023182.8200000003</v>
      </c>
      <c r="H276" s="8">
        <f t="shared" si="43"/>
        <v>49940.367606842003</v>
      </c>
      <c r="J276" s="69" t="s">
        <v>272</v>
      </c>
      <c r="K276" s="69"/>
      <c r="L276" s="69">
        <f>'Water Retail Rate Calc'!AC46</f>
        <v>294.18</v>
      </c>
      <c r="M276" s="26">
        <v>42</v>
      </c>
      <c r="N276" s="26"/>
      <c r="O276" s="8">
        <f t="shared" si="44"/>
        <v>3023182.8200000003</v>
      </c>
      <c r="Q276" s="8">
        <f>(M276*L276)+(O276*$M$242)</f>
        <v>56826.579282200008</v>
      </c>
      <c r="S276" s="1">
        <f>O276/M276</f>
        <v>71980.543333333335</v>
      </c>
    </row>
    <row r="277" spans="1:29" x14ac:dyDescent="0.4">
      <c r="A277" s="69" t="s">
        <v>273</v>
      </c>
      <c r="B277" s="69"/>
      <c r="C277" s="69">
        <f>C249*84</f>
        <v>775.32</v>
      </c>
      <c r="D277" s="26">
        <v>12</v>
      </c>
      <c r="E277" s="26"/>
      <c r="F277" s="8">
        <f>F208</f>
        <v>753123.65</v>
      </c>
      <c r="H277" s="8">
        <f t="shared" si="43"/>
        <v>20382.2112481363</v>
      </c>
      <c r="J277" s="69" t="s">
        <v>273</v>
      </c>
      <c r="K277" s="69"/>
      <c r="L277" s="69">
        <f>L249*84</f>
        <v>751.8</v>
      </c>
      <c r="M277" s="26">
        <v>12</v>
      </c>
      <c r="N277" s="26"/>
      <c r="O277" s="8">
        <f t="shared" si="44"/>
        <v>753123.65</v>
      </c>
      <c r="Q277" s="8">
        <f>(M277*L277)+(O277*$M$242)</f>
        <v>20100.048891499999</v>
      </c>
      <c r="W277" s="1">
        <v>84</v>
      </c>
      <c r="X277" s="1">
        <f>O277</f>
        <v>753123.65</v>
      </c>
      <c r="Y277" s="1">
        <f>M277</f>
        <v>12</v>
      </c>
      <c r="Z277" s="1">
        <f>X277/Y277</f>
        <v>62760.304166666669</v>
      </c>
      <c r="AA277" s="1">
        <f>Z277/W277</f>
        <v>747.1464781746032</v>
      </c>
      <c r="AB277" s="1">
        <f>W277+Y277</f>
        <v>96</v>
      </c>
    </row>
    <row r="278" spans="1:29" x14ac:dyDescent="0.4">
      <c r="A278" s="69" t="s">
        <v>274</v>
      </c>
      <c r="B278" s="69"/>
      <c r="C278" s="69">
        <f>C276</f>
        <v>130.22999999999999</v>
      </c>
      <c r="D278" s="26">
        <v>10</v>
      </c>
      <c r="E278" s="26"/>
      <c r="F278" s="8"/>
      <c r="H278" s="8">
        <f t="shared" si="43"/>
        <v>1302.3</v>
      </c>
      <c r="J278" s="69" t="s">
        <v>274</v>
      </c>
      <c r="K278" s="69"/>
      <c r="L278" s="69">
        <f>L276</f>
        <v>294.18</v>
      </c>
      <c r="M278" s="26">
        <v>10</v>
      </c>
      <c r="N278" s="26"/>
      <c r="O278" s="8">
        <f t="shared" si="44"/>
        <v>0</v>
      </c>
      <c r="Q278" s="8">
        <f>(M278*L278)+(O278*$M$242)</f>
        <v>2941.8</v>
      </c>
      <c r="S278" s="1">
        <f>O278/M278</f>
        <v>0</v>
      </c>
    </row>
    <row r="279" spans="1:29" x14ac:dyDescent="0.4">
      <c r="A279" s="69" t="s">
        <v>275</v>
      </c>
      <c r="B279" s="69"/>
      <c r="C279" s="69">
        <f>C278</f>
        <v>130.22999999999999</v>
      </c>
      <c r="D279" s="26">
        <v>12</v>
      </c>
      <c r="E279" s="26"/>
      <c r="F279" s="8">
        <f>F210</f>
        <v>173188.75</v>
      </c>
      <c r="H279" s="8">
        <f t="shared" si="43"/>
        <v>4110.3486575871902</v>
      </c>
      <c r="J279" s="69" t="s">
        <v>275</v>
      </c>
      <c r="K279" s="69"/>
      <c r="L279" s="69">
        <f>L278</f>
        <v>294.18</v>
      </c>
      <c r="M279" s="26">
        <v>12</v>
      </c>
      <c r="N279" s="26"/>
      <c r="O279" s="8">
        <f t="shared" si="44"/>
        <v>173188.75</v>
      </c>
      <c r="Q279" s="8">
        <f>(M279*L279)+(O279*$M$242)</f>
        <v>6077.7665125000003</v>
      </c>
      <c r="S279" s="1">
        <f>O279/M279</f>
        <v>14432.395833333334</v>
      </c>
      <c r="T279" s="1">
        <f>O276+O278+O279</f>
        <v>3196371.5700000003</v>
      </c>
      <c r="U279" s="1">
        <f>M276+M278+M279</f>
        <v>64</v>
      </c>
      <c r="V279" s="1">
        <f>T279/U279</f>
        <v>49943.305781250005</v>
      </c>
      <c r="X279" s="1">
        <f>SUM(X247:X278)</f>
        <v>20279531.732999999</v>
      </c>
      <c r="Y279" s="1" t="s">
        <v>3502</v>
      </c>
      <c r="AB279" s="1">
        <f>SUM(AB247:AB278)</f>
        <v>6702</v>
      </c>
      <c r="AC279" s="1" t="s">
        <v>3503</v>
      </c>
    </row>
    <row r="280" spans="1:29" x14ac:dyDescent="0.4">
      <c r="A280" s="69"/>
      <c r="B280" s="69"/>
      <c r="C280" s="69"/>
      <c r="D280" s="38"/>
      <c r="E280" s="38"/>
      <c r="F280" s="8"/>
      <c r="H280" s="26"/>
      <c r="J280" s="69"/>
      <c r="K280" s="69"/>
      <c r="L280" s="69"/>
      <c r="M280" s="38"/>
      <c r="N280" s="38"/>
      <c r="O280" s="8"/>
      <c r="Q280" s="26"/>
      <c r="AB280" s="1">
        <f>X279/AB279</f>
        <v>3025.8925295434196</v>
      </c>
      <c r="AC280" s="1" t="s">
        <v>3504</v>
      </c>
    </row>
    <row r="281" spans="1:29" x14ac:dyDescent="0.4">
      <c r="A281" s="69" t="s">
        <v>3377</v>
      </c>
      <c r="B281" s="69"/>
      <c r="C281" s="69"/>
      <c r="D281" s="38"/>
      <c r="E281" s="38"/>
      <c r="F281" s="8">
        <f>SUM(F247:G280)</f>
        <v>680397203.83294988</v>
      </c>
      <c r="H281" s="26">
        <f>SUM(H247:H280)</f>
        <v>11930833.047759786</v>
      </c>
      <c r="J281" s="69" t="s">
        <v>3377</v>
      </c>
      <c r="K281" s="69"/>
      <c r="L281" s="69"/>
      <c r="M281" s="38"/>
      <c r="N281" s="38"/>
      <c r="O281" s="8">
        <f>SUM(O247:P280)</f>
        <v>680397203.83294988</v>
      </c>
      <c r="Q281" s="26">
        <f>SUM(Q247:Q280)</f>
        <v>11917386.338382693</v>
      </c>
    </row>
    <row r="282" spans="1:29" x14ac:dyDescent="0.4">
      <c r="H282" s="1">
        <f>Q282</f>
        <v>-340220.25738582941</v>
      </c>
      <c r="J282" s="1" t="s">
        <v>3434</v>
      </c>
      <c r="Q282" s="8">
        <f>-'Water Retail Rate Calc'!AC72</f>
        <v>-340220.25738582941</v>
      </c>
    </row>
    <row r="283" spans="1:29" x14ac:dyDescent="0.4">
      <c r="A283" s="69" t="s">
        <v>3380</v>
      </c>
      <c r="H283" s="10">
        <f>E298</f>
        <v>325515.94199999998</v>
      </c>
      <c r="J283" s="69" t="s">
        <v>3380</v>
      </c>
      <c r="K283" s="1"/>
      <c r="L283" s="1"/>
      <c r="Q283" s="10">
        <f>O301</f>
        <v>325515.94199999998</v>
      </c>
    </row>
    <row r="284" spans="1:29" x14ac:dyDescent="0.4">
      <c r="K284" s="1"/>
      <c r="L284" s="1"/>
    </row>
    <row r="285" spans="1:29" x14ac:dyDescent="0.4">
      <c r="A285" s="38" t="s">
        <v>3555</v>
      </c>
      <c r="B285" s="38"/>
      <c r="C285" s="38"/>
      <c r="D285" s="38"/>
      <c r="E285" s="38"/>
      <c r="F285" s="38"/>
      <c r="G285" s="38"/>
      <c r="H285" s="26">
        <f>SUM(H281:H284)</f>
        <v>11916128.732373957</v>
      </c>
      <c r="J285" s="38" t="s">
        <v>3555</v>
      </c>
      <c r="M285" s="38"/>
      <c r="N285" s="38"/>
      <c r="O285" s="38"/>
      <c r="P285" s="38"/>
      <c r="Q285" s="26">
        <f>SUM(Q281:Q284)</f>
        <v>11902682.022996863</v>
      </c>
    </row>
    <row r="286" spans="1:29" x14ac:dyDescent="0.4">
      <c r="A286" s="38" t="s">
        <v>3381</v>
      </c>
      <c r="B286" s="38"/>
      <c r="C286" s="38"/>
      <c r="D286" s="38"/>
      <c r="E286" s="38"/>
      <c r="F286" s="38"/>
      <c r="G286" s="38"/>
      <c r="H286" s="26">
        <f>'Water Pro forma Rev Req'!L97</f>
        <v>11903048.585911872</v>
      </c>
      <c r="J286" s="38" t="s">
        <v>3381</v>
      </c>
      <c r="M286" s="38"/>
      <c r="N286" s="38"/>
      <c r="O286" s="38"/>
      <c r="P286" s="38"/>
      <c r="Q286" s="10">
        <f>-'Water Pro forma Rev Req'!L97</f>
        <v>-11903048.585911872</v>
      </c>
    </row>
    <row r="287" spans="1:29" x14ac:dyDescent="0.4">
      <c r="A287" s="38"/>
      <c r="B287" s="38"/>
      <c r="C287" s="38"/>
      <c r="D287" s="38"/>
      <c r="E287" s="38"/>
      <c r="F287" s="38"/>
      <c r="G287" s="38"/>
      <c r="H287" s="38"/>
      <c r="J287" s="38"/>
      <c r="M287" s="38"/>
      <c r="N287" s="38"/>
      <c r="O287" s="38"/>
      <c r="P287" s="38"/>
      <c r="Q287" s="38"/>
    </row>
    <row r="288" spans="1:29" ht="16.5" thickBot="1" x14ac:dyDescent="0.45">
      <c r="A288" s="38" t="s">
        <v>3382</v>
      </c>
      <c r="B288" s="38"/>
      <c r="C288" s="38"/>
      <c r="D288" s="38"/>
      <c r="E288" s="38"/>
      <c r="F288" s="38"/>
      <c r="G288" s="38"/>
      <c r="H288" s="25">
        <f>H285-H286</f>
        <v>13080.146462084725</v>
      </c>
      <c r="J288" s="38" t="s">
        <v>3392</v>
      </c>
      <c r="M288" s="38"/>
      <c r="N288" s="38"/>
      <c r="O288" s="38"/>
      <c r="P288" s="38"/>
      <c r="Q288" s="31">
        <f>Q285+Q286</f>
        <v>-366.56291500851512</v>
      </c>
    </row>
    <row r="289" spans="1:17" ht="17" thickTop="1" thickBot="1" x14ac:dyDescent="0.45">
      <c r="J289" s="38" t="s">
        <v>293</v>
      </c>
      <c r="M289" s="38"/>
      <c r="N289" s="38"/>
      <c r="O289" s="38"/>
      <c r="P289" s="38"/>
      <c r="Q289" s="388">
        <f>Q288/Q285</f>
        <v>-3.0796665348220544E-5</v>
      </c>
    </row>
    <row r="290" spans="1:17" ht="16.5" thickTop="1" x14ac:dyDescent="0.4">
      <c r="A290" s="1" t="s">
        <v>309</v>
      </c>
    </row>
    <row r="291" spans="1:17" x14ac:dyDescent="0.4">
      <c r="E291" s="73" t="s">
        <v>97</v>
      </c>
    </row>
    <row r="292" spans="1:17" x14ac:dyDescent="0.4">
      <c r="A292" s="1" t="s">
        <v>310</v>
      </c>
      <c r="E292" s="8">
        <v>61423000</v>
      </c>
    </row>
    <row r="293" spans="1:17" x14ac:dyDescent="0.4">
      <c r="A293" s="1" t="s">
        <v>311</v>
      </c>
      <c r="E293" s="10">
        <v>2030400</v>
      </c>
      <c r="J293" s="355" t="s">
        <v>3393</v>
      </c>
      <c r="K293" s="1"/>
      <c r="L293" s="1"/>
    </row>
    <row r="294" spans="1:17" x14ac:dyDescent="0.4">
      <c r="K294" s="1"/>
      <c r="L294" s="1"/>
      <c r="O294" s="73" t="s">
        <v>97</v>
      </c>
    </row>
    <row r="295" spans="1:17" x14ac:dyDescent="0.4">
      <c r="A295" s="1" t="s">
        <v>312</v>
      </c>
      <c r="E295" s="8">
        <f>SUM(E292:E294)</f>
        <v>63453400</v>
      </c>
      <c r="J295" s="1" t="s">
        <v>310</v>
      </c>
      <c r="K295" s="1"/>
      <c r="L295" s="1"/>
      <c r="O295" s="8">
        <v>61423000</v>
      </c>
    </row>
    <row r="296" spans="1:17" x14ac:dyDescent="0.4">
      <c r="A296" s="1" t="s">
        <v>313</v>
      </c>
      <c r="E296" s="111">
        <f>'Sys Info, Allo Facts, Whole Rat'!V105</f>
        <v>5.13E-3</v>
      </c>
      <c r="J296" s="1" t="s">
        <v>311</v>
      </c>
      <c r="K296" s="1"/>
      <c r="L296" s="1"/>
      <c r="O296" s="10">
        <v>2030400</v>
      </c>
    </row>
    <row r="297" spans="1:17" x14ac:dyDescent="0.4">
      <c r="K297" s="1"/>
      <c r="L297" s="1"/>
    </row>
    <row r="298" spans="1:17" ht="16.5" thickBot="1" x14ac:dyDescent="0.45">
      <c r="A298" s="1" t="s">
        <v>3383</v>
      </c>
      <c r="E298" s="31">
        <f>E295*E296</f>
        <v>325515.94199999998</v>
      </c>
      <c r="J298" s="1" t="s">
        <v>312</v>
      </c>
      <c r="K298" s="1"/>
      <c r="L298" s="1"/>
      <c r="O298" s="8">
        <f>SUM(O295:O297)</f>
        <v>63453400</v>
      </c>
    </row>
    <row r="299" spans="1:17" ht="16.5" thickTop="1" x14ac:dyDescent="0.4">
      <c r="A299" s="38"/>
      <c r="B299" s="38"/>
      <c r="C299" s="38"/>
      <c r="D299" s="38"/>
      <c r="E299" s="26"/>
      <c r="J299" s="1" t="s">
        <v>313</v>
      </c>
      <c r="K299" s="1"/>
      <c r="L299" s="1"/>
      <c r="O299" s="111">
        <f>'Sys Info, Allo Facts, Whole Rat'!V105</f>
        <v>5.13E-3</v>
      </c>
    </row>
    <row r="300" spans="1:17" x14ac:dyDescent="0.4">
      <c r="A300" s="38"/>
      <c r="B300" s="38"/>
      <c r="C300" s="38"/>
      <c r="D300" s="38"/>
      <c r="E300" s="25"/>
      <c r="K300" s="1"/>
      <c r="L300" s="1"/>
    </row>
    <row r="301" spans="1:17" ht="16.5" thickBot="1" x14ac:dyDescent="0.45">
      <c r="A301" s="38"/>
      <c r="B301" s="38"/>
      <c r="C301" s="38"/>
      <c r="D301" s="38"/>
      <c r="E301" s="26"/>
      <c r="J301" s="1" t="s">
        <v>3383</v>
      </c>
      <c r="K301" s="1"/>
      <c r="L301" s="1"/>
      <c r="O301" s="31">
        <f>O298*O299</f>
        <v>325515.94199999998</v>
      </c>
    </row>
    <row r="302" spans="1:17" ht="16.5" thickTop="1" x14ac:dyDescent="0.4">
      <c r="J302" s="38"/>
      <c r="M302" s="38"/>
      <c r="N302" s="26"/>
    </row>
  </sheetData>
  <mergeCells count="22">
    <mergeCell ref="A240:H240"/>
    <mergeCell ref="A171:H171"/>
    <mergeCell ref="A4:N4"/>
    <mergeCell ref="A70:N70"/>
    <mergeCell ref="D71:F71"/>
    <mergeCell ref="H71:J71"/>
    <mergeCell ref="D72:F72"/>
    <mergeCell ref="H72:J72"/>
    <mergeCell ref="J240:Q240"/>
    <mergeCell ref="J239:Q239"/>
    <mergeCell ref="J237:Q237"/>
    <mergeCell ref="J238:Q238"/>
    <mergeCell ref="Q151:AK151"/>
    <mergeCell ref="D5:F5"/>
    <mergeCell ref="D6:F6"/>
    <mergeCell ref="H5:J5"/>
    <mergeCell ref="A121:F121"/>
    <mergeCell ref="H6:J6"/>
    <mergeCell ref="D7:F7"/>
    <mergeCell ref="H7:J7"/>
    <mergeCell ref="D73:F73"/>
    <mergeCell ref="H73:J73"/>
  </mergeCells>
  <pageMargins left="0.25" right="0.2" top="0.75" bottom="0.75" header="0.3" footer="0.3"/>
  <pageSetup scale="28" orientation="landscape" r:id="rId1"/>
  <ignoredErrors>
    <ignoredError sqref="C26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LTD-STD</vt:lpstr>
      <vt:lpstr>Allocation of Debt</vt:lpstr>
      <vt:lpstr>Sys Info, Allo Facts, Whole Rat</vt:lpstr>
      <vt:lpstr>Allo to Retail Rate</vt:lpstr>
      <vt:lpstr>Water Retail Rate Calc</vt:lpstr>
      <vt:lpstr>Sewer Rate</vt:lpstr>
      <vt:lpstr>Rate Comparison</vt:lpstr>
      <vt:lpstr>Water Pro forma Rev Req</vt:lpstr>
      <vt:lpstr>Rev-Water</vt:lpstr>
      <vt:lpstr>Sewer Pro forma Rev Req</vt:lpstr>
      <vt:lpstr>Rev-Sewer</vt:lpstr>
      <vt:lpstr>Other Rev</vt:lpstr>
      <vt:lpstr>Water Exp Function</vt:lpstr>
      <vt:lpstr>Wages, Bene Pro forma, Temp Emp</vt:lpstr>
      <vt:lpstr>New Connections Wage Cap Rate</vt:lpstr>
      <vt:lpstr>Purch Pow. Water Loss</vt:lpstr>
      <vt:lpstr>Materials and Supplies</vt:lpstr>
      <vt:lpstr>Depreciation Water</vt:lpstr>
      <vt:lpstr>Depreciation Sewer</vt:lpstr>
      <vt:lpstr>Transportaion</vt:lpstr>
      <vt:lpstr>General &amp; Workers Comp Ins</vt:lpstr>
      <vt:lpstr>Acct.RateCase,PSCFees,IntIn,Bad</vt:lpstr>
      <vt:lpstr>Misc</vt:lpstr>
      <vt:lpstr>Sheet4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2025-12-12T16:55:55Z</dcterms:created>
  <dcterms:modified xsi:type="dcterms:W3CDTF">2025-12-12T16:56:33Z</dcterms:modified>
</cp:coreProperties>
</file>