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penergy.sharepoint.com/sites/RegulatoryServices/OPCO/Kentucky Power/Riders/2025-00307 PPA-Decommissioning Rider/Discovery/Rehearing/Set 2/"/>
    </mc:Choice>
  </mc:AlternateContent>
  <xr:revisionPtr revIDLastSave="8" documentId="13_ncr:1_{40CECEE7-5713-46BA-B079-00E6397D1A5D}" xr6:coauthVersionLast="47" xr6:coauthVersionMax="47" xr10:uidLastSave="{BBA4BAE9-3DF2-4E99-86C8-2AE91A3A5FA1}"/>
  <bookViews>
    <workbookView xWindow="-38520" yWindow="-120" windowWidth="38640" windowHeight="21120" tabRatio="813" xr2:uid="{00000000-000D-0000-FFFF-FFFF00000000}"/>
  </bookViews>
  <sheets>
    <sheet name="PPA Form 1.0" sheetId="1" r:id="rId1"/>
    <sheet name="PPA Form 2.0" sheetId="22" r:id="rId2"/>
    <sheet name="PPA Form 3.0" sheetId="21" r:id="rId3"/>
    <sheet name="PPA Form 3.0a" sheetId="19" r:id="rId4"/>
    <sheet name="PPA Form 4.0" sheetId="5" r:id="rId5"/>
    <sheet name="PPA Form 5.0" sheetId="6" r:id="rId6"/>
    <sheet name="Input Sheet" sheetId="10" r:id="rId7"/>
    <sheet name="GRCF" sheetId="11" r:id="rId8"/>
  </sheets>
  <externalReferences>
    <externalReference r:id="rId9"/>
  </externalReferences>
  <definedNames>
    <definedName name="Katy">#REF!</definedName>
    <definedName name="Marshall_Rate">'[1]Property Tax'!$B$2</definedName>
    <definedName name="PC_Percent">'[1]Property Tax'!$B$6</definedName>
    <definedName name="_xlnm.Print_Area" localSheetId="7">GRCF!$A$1:$S$2</definedName>
    <definedName name="_xlnm.Print_Area" localSheetId="6">'Input Sheet'!#REF!</definedName>
    <definedName name="_xlnm.Print_Area" localSheetId="0">'PPA Form 1.0'!$A$1:$C$26</definedName>
    <definedName name="_xlnm.Print_Area" localSheetId="1">'PPA Form 2.0'!$B$1:$L$28</definedName>
    <definedName name="_xlnm.Print_Area" localSheetId="2">'PPA Form 3.0'!$A$1:$D$20</definedName>
    <definedName name="_xlnm.Print_Area" localSheetId="3">'PPA Form 3.0a'!$A$2:$O$33</definedName>
    <definedName name="_xlnm.Print_Area" localSheetId="4">'PPA Form 4.0'!#REF!</definedName>
    <definedName name="_xlnm.Print_Area" localSheetId="5">'PPA Form 5.0'!#REF!</definedName>
    <definedName name="tim" localSheetId="7">#REF!</definedName>
    <definedName name="tim">#REF!</definedName>
    <definedName name="WV_List">'[1]Property Tax'!$B$4</definedName>
    <definedName name="Z_0BD4BC22_E7A2_4140_8384_5A5B3339DEED_.wvu.PrintArea" localSheetId="7" hidden="1">GRCF!$A$1:$S$2</definedName>
    <definedName name="Z_0BD4BC22_E7A2_4140_8384_5A5B3339DEED_.wvu.PrintArea" localSheetId="6" hidden="1">'Input Sheet'!#REF!</definedName>
    <definedName name="Z_0BD4BC22_E7A2_4140_8384_5A5B3339DEED_.wvu.PrintArea" localSheetId="0" hidden="1">'PPA Form 1.0'!$A$1:$C$26</definedName>
    <definedName name="Z_0BD4BC22_E7A2_4140_8384_5A5B3339DEED_.wvu.PrintArea" localSheetId="1" hidden="1">'PPA Form 2.0'!$B$1:$L$26</definedName>
    <definedName name="Z_0BD4BC22_E7A2_4140_8384_5A5B3339DEED_.wvu.PrintArea" localSheetId="2" hidden="1">'PPA Form 3.0'!$A$1:$D$17</definedName>
    <definedName name="Z_0BD4BC22_E7A2_4140_8384_5A5B3339DEED_.wvu.PrintArea" localSheetId="3" hidden="1">'PPA Form 3.0a'!$A$2:$O$33</definedName>
    <definedName name="Z_0BD4BC22_E7A2_4140_8384_5A5B3339DEED_.wvu.PrintArea" localSheetId="4" hidden="1">'PPA Form 4.0'!#REF!</definedName>
    <definedName name="Z_0BD4BC22_E7A2_4140_8384_5A5B3339DEED_.wvu.PrintArea" localSheetId="5" hidden="1">'PPA Form 5.0'!#REF!</definedName>
    <definedName name="Z_0BD4BC22_E7A2_4140_8384_5A5B3339DEED_.wvu.Rows" localSheetId="7" hidden="1">GRCF!#REF!</definedName>
    <definedName name="Z_4EF176FC_448F_4BD8_8859_C810312E84E7_.wvu.PrintArea" localSheetId="7" hidden="1">GRCF!$A$1:$S$2</definedName>
    <definedName name="Z_4EF176FC_448F_4BD8_8859_C810312E84E7_.wvu.PrintArea" localSheetId="6" hidden="1">'Input Sheet'!#REF!</definedName>
    <definedName name="Z_4EF176FC_448F_4BD8_8859_C810312E84E7_.wvu.PrintArea" localSheetId="0" hidden="1">'PPA Form 1.0'!$A$1:$C$26</definedName>
    <definedName name="Z_4EF176FC_448F_4BD8_8859_C810312E84E7_.wvu.PrintArea" localSheetId="1" hidden="1">'PPA Form 2.0'!$B$1:$L$26</definedName>
    <definedName name="Z_4EF176FC_448F_4BD8_8859_C810312E84E7_.wvu.PrintArea" localSheetId="2" hidden="1">'PPA Form 3.0'!$A$1:$D$17</definedName>
    <definedName name="Z_4EF176FC_448F_4BD8_8859_C810312E84E7_.wvu.PrintArea" localSheetId="3" hidden="1">'PPA Form 3.0a'!$A$2:$O$33</definedName>
    <definedName name="Z_4EF176FC_448F_4BD8_8859_C810312E84E7_.wvu.PrintArea" localSheetId="4" hidden="1">'PPA Form 4.0'!#REF!</definedName>
    <definedName name="Z_4EF176FC_448F_4BD8_8859_C810312E84E7_.wvu.PrintArea" localSheetId="5" hidden="1">'PPA Form 5.0'!#REF!</definedName>
    <definedName name="Z_4EF176FC_448F_4BD8_8859_C810312E84E7_.wvu.Rows" localSheetId="7" hidden="1">GRCF!#REF!</definedName>
    <definedName name="Z_567BA860_460A_4CE0_A629_0EA7372574F1_.wvu.PrintArea" localSheetId="7" hidden="1">GRCF!$A$1:$S$2</definedName>
    <definedName name="Z_567BA860_460A_4CE0_A629_0EA7372574F1_.wvu.PrintArea" localSheetId="6" hidden="1">'Input Sheet'!#REF!</definedName>
    <definedName name="Z_567BA860_460A_4CE0_A629_0EA7372574F1_.wvu.PrintArea" localSheetId="0" hidden="1">'PPA Form 1.0'!$A$1:$C$26</definedName>
    <definedName name="Z_567BA860_460A_4CE0_A629_0EA7372574F1_.wvu.PrintArea" localSheetId="1" hidden="1">'PPA Form 2.0'!$B$1:$L$26</definedName>
    <definedName name="Z_567BA860_460A_4CE0_A629_0EA7372574F1_.wvu.PrintArea" localSheetId="2" hidden="1">'PPA Form 3.0'!$A$1:$D$17</definedName>
    <definedName name="Z_567BA860_460A_4CE0_A629_0EA7372574F1_.wvu.PrintArea" localSheetId="3" hidden="1">'PPA Form 3.0a'!$A$2:$O$33</definedName>
    <definedName name="Z_567BA860_460A_4CE0_A629_0EA7372574F1_.wvu.PrintArea" localSheetId="4" hidden="1">'PPA Form 4.0'!#REF!</definedName>
    <definedName name="Z_567BA860_460A_4CE0_A629_0EA7372574F1_.wvu.PrintArea" localSheetId="5" hidden="1">'PPA Form 5.0'!#REF!</definedName>
    <definedName name="Z_567BA860_460A_4CE0_A629_0EA7372574F1_.wvu.Rows" localSheetId="7" hidden="1">GRCF!#REF!</definedName>
  </definedNames>
  <calcPr calcId="191029"/>
  <customWorkbookViews>
    <customWorkbookView name="s290792 - Personal View" guid="{4EF176FC-448F-4BD8-8859-C810312E84E7}" mergeInterval="0" personalView="1" maximized="1" xWindow="-8" yWindow="-8" windowWidth="1936" windowHeight="1056" tabRatio="813" activeSheetId="6"/>
    <customWorkbookView name="s207409 - Personal View" guid="{567BA860-460A-4CE0-A629-0EA7372574F1}" mergeInterval="0" personalView="1" maximized="1" windowWidth="1600" windowHeight="675" tabRatio="813" activeSheetId="1"/>
    <customWorkbookView name="s203707 - Personal View" guid="{0BD4BC22-E7A2-4140-8384-5A5B3339DEED}" mergeInterval="0" personalView="1" maximized="1" xWindow="2869" yWindow="-11" windowWidth="2902" windowHeight="1582" tabRatio="813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9" i="19" l="1"/>
  <c r="N40" i="19"/>
  <c r="M33" i="19"/>
  <c r="N33" i="19" s="1"/>
  <c r="M39" i="19"/>
  <c r="M40" i="19"/>
  <c r="I14" i="10"/>
  <c r="O33" i="19" l="1"/>
  <c r="D18" i="1"/>
  <c r="G10" i="10"/>
  <c r="N27" i="19"/>
  <c r="M27" i="19"/>
  <c r="L27" i="19"/>
  <c r="K27" i="19"/>
  <c r="J27" i="19"/>
  <c r="J31" i="19" s="1"/>
  <c r="I27" i="19"/>
  <c r="I31" i="19" s="1"/>
  <c r="H27" i="19"/>
  <c r="G27" i="19"/>
  <c r="F27" i="19"/>
  <c r="E27" i="19"/>
  <c r="D27" i="19"/>
  <c r="C27" i="19"/>
  <c r="F11" i="5"/>
  <c r="F9" i="5"/>
  <c r="F8" i="5"/>
  <c r="O27" i="19" l="1"/>
  <c r="S33" i="11"/>
  <c r="O33" i="11"/>
  <c r="S31" i="11"/>
  <c r="S29" i="11"/>
  <c r="S27" i="11"/>
  <c r="S25" i="11"/>
  <c r="S23" i="11"/>
  <c r="O23" i="11"/>
  <c r="S21" i="11"/>
  <c r="S19" i="11"/>
  <c r="S17" i="11"/>
  <c r="S12" i="11"/>
  <c r="M12" i="11"/>
  <c r="H12" i="11"/>
  <c r="F12" i="11"/>
  <c r="B12" i="11"/>
  <c r="S10" i="11"/>
  <c r="O10" i="11"/>
  <c r="M10" i="11"/>
  <c r="H10" i="11"/>
  <c r="B10" i="11"/>
  <c r="S9" i="11"/>
  <c r="O9" i="11"/>
  <c r="M9" i="11"/>
  <c r="H9" i="11"/>
  <c r="B9" i="11"/>
  <c r="S8" i="11"/>
  <c r="O8" i="11"/>
  <c r="M8" i="11"/>
  <c r="H8" i="11"/>
  <c r="B8" i="11"/>
  <c r="S7" i="11"/>
  <c r="O7" i="11"/>
  <c r="M7" i="11"/>
  <c r="H7" i="11"/>
  <c r="F14" i="10"/>
  <c r="D14" i="10"/>
  <c r="C14" i="10"/>
  <c r="I13" i="10"/>
  <c r="I12" i="10"/>
  <c r="I11" i="10"/>
  <c r="I10" i="10"/>
  <c r="I9" i="10"/>
  <c r="I8" i="10"/>
  <c r="G8" i="10"/>
  <c r="D20" i="22" s="1"/>
  <c r="I7" i="10"/>
  <c r="I6" i="10"/>
  <c r="F16" i="5"/>
  <c r="A16" i="5"/>
  <c r="A14" i="5"/>
  <c r="A13" i="5"/>
  <c r="A12" i="5"/>
  <c r="A11" i="5"/>
  <c r="A10" i="5"/>
  <c r="A9" i="5"/>
  <c r="A8" i="5"/>
  <c r="J32" i="19"/>
  <c r="I32" i="19"/>
  <c r="N29" i="19"/>
  <c r="M29" i="19"/>
  <c r="L29" i="19"/>
  <c r="L31" i="19" s="1"/>
  <c r="L32" i="19" s="1"/>
  <c r="K29" i="19"/>
  <c r="H29" i="19"/>
  <c r="G29" i="19"/>
  <c r="G31" i="19" s="1"/>
  <c r="G32" i="19" s="1"/>
  <c r="F29" i="19"/>
  <c r="E29" i="19"/>
  <c r="E31" i="19" s="1"/>
  <c r="D29" i="19"/>
  <c r="D31" i="19" s="1"/>
  <c r="D32" i="19" s="1"/>
  <c r="C29" i="19"/>
  <c r="C31" i="19" s="1"/>
  <c r="C32" i="19" s="1"/>
  <c r="C33" i="19" s="1"/>
  <c r="D33" i="19" s="1"/>
  <c r="O26" i="19"/>
  <c r="B9" i="21" s="1"/>
  <c r="D9" i="21" s="1"/>
  <c r="O25" i="19"/>
  <c r="B8" i="21" s="1"/>
  <c r="D8" i="21" s="1"/>
  <c r="O24" i="19"/>
  <c r="O23" i="19"/>
  <c r="N7" i="19"/>
  <c r="M7" i="19"/>
  <c r="M8" i="19" s="1"/>
  <c r="O6" i="19"/>
  <c r="I25" i="22"/>
  <c r="C25" i="22"/>
  <c r="F25" i="22" s="1"/>
  <c r="I24" i="22"/>
  <c r="C24" i="22"/>
  <c r="F24" i="22" s="1"/>
  <c r="I23" i="22"/>
  <c r="C23" i="22"/>
  <c r="F23" i="22" s="1"/>
  <c r="D22" i="22"/>
  <c r="C22" i="22"/>
  <c r="F22" i="22" s="1"/>
  <c r="I21" i="22"/>
  <c r="E21" i="22"/>
  <c r="C21" i="22"/>
  <c r="F21" i="22" s="1"/>
  <c r="C20" i="22"/>
  <c r="F20" i="22" s="1"/>
  <c r="I19" i="22"/>
  <c r="C19" i="22"/>
  <c r="F19" i="22" s="1"/>
  <c r="I18" i="22"/>
  <c r="F18" i="22"/>
  <c r="C18" i="22"/>
  <c r="C26" i="22" s="1"/>
  <c r="A20" i="1"/>
  <c r="A18" i="1"/>
  <c r="A16" i="1"/>
  <c r="A14" i="1"/>
  <c r="A12" i="1"/>
  <c r="A10" i="1"/>
  <c r="O7" i="19" l="1"/>
  <c r="F18" i="5"/>
  <c r="F20" i="5" s="1"/>
  <c r="F26" i="22"/>
  <c r="N8" i="19"/>
  <c r="O8" i="19" s="1"/>
  <c r="O29" i="19"/>
  <c r="B10" i="21" s="1"/>
  <c r="D10" i="21" s="1"/>
  <c r="D10" i="1" s="1"/>
  <c r="F31" i="19"/>
  <c r="F32" i="19" s="1"/>
  <c r="H31" i="19"/>
  <c r="H32" i="19" s="1"/>
  <c r="N31" i="19"/>
  <c r="N32" i="19" s="1"/>
  <c r="M31" i="19"/>
  <c r="M32" i="19" s="1"/>
  <c r="K31" i="19"/>
  <c r="D8" i="1"/>
  <c r="D16" i="21"/>
  <c r="B16" i="21"/>
  <c r="M9" i="19"/>
  <c r="B17" i="21"/>
  <c r="D17" i="21"/>
  <c r="E32" i="19"/>
  <c r="E33" i="19" s="1"/>
  <c r="D26" i="22"/>
  <c r="G14" i="10"/>
  <c r="N9" i="19" l="1"/>
  <c r="O9" i="19" s="1"/>
  <c r="D12" i="1"/>
  <c r="F33" i="19"/>
  <c r="G33" i="19" s="1"/>
  <c r="K32" i="19"/>
  <c r="D11" i="21"/>
  <c r="H33" i="19"/>
  <c r="I33" i="19" s="1"/>
  <c r="J33" i="19" s="1"/>
  <c r="D18" i="21"/>
  <c r="C17" i="21" s="1"/>
  <c r="D14" i="1"/>
  <c r="D16" i="1" s="1"/>
  <c r="D20" i="1" s="1"/>
  <c r="K33" i="19" l="1"/>
  <c r="L33" i="19" s="1"/>
  <c r="D24" i="1"/>
  <c r="H8" i="22" s="1"/>
  <c r="C16" i="21"/>
  <c r="D23" i="1" s="1"/>
  <c r="H18" i="22" l="1"/>
  <c r="H19" i="22"/>
  <c r="H21" i="22"/>
  <c r="H22" i="22"/>
  <c r="J22" i="22" s="1"/>
  <c r="H24" i="22"/>
  <c r="H25" i="22"/>
  <c r="H20" i="22"/>
  <c r="J20" i="22" s="1"/>
  <c r="H23" i="22"/>
  <c r="G8" i="22"/>
  <c r="I8" i="22" s="1"/>
  <c r="D25" i="1"/>
  <c r="G25" i="22" l="1"/>
  <c r="J25" i="22" s="1"/>
  <c r="K25" i="22" s="1"/>
  <c r="L25" i="22" s="1"/>
  <c r="G21" i="22"/>
  <c r="J21" i="22" s="1"/>
  <c r="K21" i="22" s="1"/>
  <c r="L21" i="22" s="1"/>
  <c r="G23" i="22"/>
  <c r="J23" i="22" s="1"/>
  <c r="K23" i="22" s="1"/>
  <c r="L23" i="22" s="1"/>
  <c r="G22" i="22"/>
  <c r="I22" i="22" s="1"/>
  <c r="K22" i="22" s="1"/>
  <c r="L22" i="22" s="1"/>
  <c r="G20" i="22"/>
  <c r="I20" i="22" s="1"/>
  <c r="K20" i="22" s="1"/>
  <c r="L20" i="22" s="1"/>
  <c r="G24" i="22"/>
  <c r="J24" i="22" s="1"/>
  <c r="K24" i="22" s="1"/>
  <c r="L24" i="22" s="1"/>
  <c r="G18" i="22"/>
  <c r="J18" i="22" s="1"/>
  <c r="K18" i="22" s="1"/>
  <c r="G19" i="22"/>
  <c r="J19" i="22" s="1"/>
  <c r="K19" i="22" s="1"/>
  <c r="L19" i="22" s="1"/>
  <c r="H26" i="22"/>
  <c r="G26" i="22" l="1"/>
  <c r="K26" i="22"/>
  <c r="L18" i="22" l="1"/>
  <c r="L26" i="22" s="1"/>
</calcChain>
</file>

<file path=xl/sharedStrings.xml><?xml version="1.0" encoding="utf-8"?>
<sst xmlns="http://schemas.openxmlformats.org/spreadsheetml/2006/main" count="210" uniqueCount="146">
  <si>
    <t>Kentucky Power Company</t>
  </si>
  <si>
    <t>Tariff Class</t>
  </si>
  <si>
    <t>Description</t>
  </si>
  <si>
    <t>Demand</t>
  </si>
  <si>
    <t>Total Revenue Collected</t>
  </si>
  <si>
    <t>Energy</t>
  </si>
  <si>
    <t>Total</t>
  </si>
  <si>
    <t>Revenue Requirement</t>
  </si>
  <si>
    <t>KY Retail Jurisdiction</t>
  </si>
  <si>
    <t>CP</t>
  </si>
  <si>
    <t>Allocated</t>
  </si>
  <si>
    <t>Test Year</t>
  </si>
  <si>
    <t>Billing</t>
  </si>
  <si>
    <t>CP / kWh</t>
  </si>
  <si>
    <t>Allocation</t>
  </si>
  <si>
    <t>Related</t>
  </si>
  <si>
    <t>$ / kW</t>
  </si>
  <si>
    <t>$ / kWh</t>
  </si>
  <si>
    <t>Revenue</t>
  </si>
  <si>
    <t>Class</t>
  </si>
  <si>
    <t>Ratio</t>
  </si>
  <si>
    <t>Factor</t>
  </si>
  <si>
    <t>Costs</t>
  </si>
  <si>
    <t>Rate</t>
  </si>
  <si>
    <t>Verification</t>
  </si>
  <si>
    <t>Difference</t>
  </si>
  <si>
    <t>(5) = (2) x (4)</t>
  </si>
  <si>
    <t>(8) = (6) / (3)</t>
  </si>
  <si>
    <t>(9) = (7) / (2)</t>
  </si>
  <si>
    <t>(11) =</t>
  </si>
  <si>
    <t>on (5)</t>
  </si>
  <si>
    <t>on (2)</t>
  </si>
  <si>
    <t>(10) - (6) - (7)</t>
  </si>
  <si>
    <t>RES</t>
  </si>
  <si>
    <t>LGS</t>
  </si>
  <si>
    <t>LGS  LMTOD</t>
  </si>
  <si>
    <t>MW</t>
  </si>
  <si>
    <t>OL</t>
  </si>
  <si>
    <t>SL</t>
  </si>
  <si>
    <t>Class Billing Determinants</t>
  </si>
  <si>
    <t>LGS LMTOD</t>
  </si>
  <si>
    <t xml:space="preserve"> </t>
  </si>
  <si>
    <t>LINE NO.</t>
  </si>
  <si>
    <t>Component</t>
  </si>
  <si>
    <t>Balances</t>
  </si>
  <si>
    <t>Cap.                                Structure</t>
  </si>
  <si>
    <t>Cost                                                Rates</t>
  </si>
  <si>
    <t>WACC                                              (Net of Tax)</t>
  </si>
  <si>
    <t>GRCF</t>
  </si>
  <si>
    <t>WACC       (PRE-TAX)</t>
  </si>
  <si>
    <t>L/T DEBT</t>
  </si>
  <si>
    <t>S/T DEBT</t>
  </si>
  <si>
    <t>ACCTS REC FINANCING</t>
  </si>
  <si>
    <t>C EQUITY</t>
  </si>
  <si>
    <t>TOTAL</t>
  </si>
  <si>
    <t>Debt</t>
  </si>
  <si>
    <t>Equity</t>
  </si>
  <si>
    <t>Operating Revenues</t>
  </si>
  <si>
    <t>Less Uncollectible Accounts Expense</t>
  </si>
  <si>
    <t>KPSC Maintenance Assessment Fee</t>
  </si>
  <si>
    <t>Income Before Income Taxes</t>
  </si>
  <si>
    <t>Operating  Income Percentage</t>
  </si>
  <si>
    <t>Gross Up Factor  (100.00/Ln 9)</t>
  </si>
  <si>
    <t xml:space="preserve">KENTUCKY POWER COMPANY </t>
  </si>
  <si>
    <t>Total Demand</t>
  </si>
  <si>
    <t>Total Energy</t>
  </si>
  <si>
    <t>$</t>
  </si>
  <si>
    <t>%</t>
  </si>
  <si>
    <t>GS (SGS/MGS)</t>
  </si>
  <si>
    <t xml:space="preserve">IGS </t>
  </si>
  <si>
    <t>Line</t>
  </si>
  <si>
    <t xml:space="preserve">Gross Revenue Conversion </t>
  </si>
  <si>
    <t>GS (Includes SGS-TOD and MGS-TOD)</t>
  </si>
  <si>
    <t>PPA Rider Over Under Recovery</t>
  </si>
  <si>
    <t>January</t>
  </si>
  <si>
    <t>February</t>
  </si>
  <si>
    <t>March</t>
  </si>
  <si>
    <t>April</t>
  </si>
  <si>
    <t>May</t>
  </si>
  <si>
    <t>June</t>
  </si>
  <si>
    <t>Revenue:</t>
  </si>
  <si>
    <t>Base Rates:</t>
  </si>
  <si>
    <t>Expense:</t>
  </si>
  <si>
    <t>Actual Forced Outage Related Purchase Power and CS IRP Credits Paid</t>
  </si>
  <si>
    <t>Forced Outage Related Purchase Power and CS IRP Credits in Base Rates</t>
  </si>
  <si>
    <t>December</t>
  </si>
  <si>
    <t>November</t>
  </si>
  <si>
    <t>October</t>
  </si>
  <si>
    <t>September</t>
  </si>
  <si>
    <t>August</t>
  </si>
  <si>
    <t>July</t>
  </si>
  <si>
    <t>Subtotal - Billed Revenue</t>
  </si>
  <si>
    <t>Estimated, Unbilled &amp; Gross-up</t>
  </si>
  <si>
    <t>Billed &amp; Accrued Revenue</t>
  </si>
  <si>
    <t>Taxable Income for Federal Income Taxes</t>
  </si>
  <si>
    <t>Less Federal Income Taxes (Ln 11*21%)</t>
  </si>
  <si>
    <t>Billing Energy</t>
  </si>
  <si>
    <t>Billing Demand</t>
  </si>
  <si>
    <t>N/A</t>
  </si>
  <si>
    <t>Capacity Charges in 5550004/5550023</t>
  </si>
  <si>
    <t>Capacity Charges</t>
  </si>
  <si>
    <t>Less State Income Taxes (Ln 4 x 5.0065)</t>
  </si>
  <si>
    <t>Actual</t>
  </si>
  <si>
    <t>Forecast</t>
  </si>
  <si>
    <t xml:space="preserve">Form 1.0 - Purchase Power Adjustment </t>
  </si>
  <si>
    <t>Form 2.0 - Purchase Power Adjustment Rate Design</t>
  </si>
  <si>
    <t>Form 3.0 - PPA Costs</t>
  </si>
  <si>
    <t>Form 4.0 - PPA Revenue Collected</t>
  </si>
  <si>
    <t>PPA Revenue Requirement before Prior Period Over/Under</t>
  </si>
  <si>
    <t>Calculated Going Level PPA Revenue Requirement</t>
  </si>
  <si>
    <t>Forecast Compared to Actual</t>
  </si>
  <si>
    <t>Form no longer used</t>
  </si>
  <si>
    <t>Gross-Up (.005523)</t>
  </si>
  <si>
    <t>Tariff CC Amortization (Oct 24 through Sept 25)</t>
  </si>
  <si>
    <t>Based on 12 -Month Period ended June 30, 2026</t>
  </si>
  <si>
    <t>For October 2026 through September 2027 Billing</t>
  </si>
  <si>
    <t>Actual Operating Expenses for the 12 Month period ended June 30, 2026</t>
  </si>
  <si>
    <t>12 -Month Period ended June 30, 2026</t>
  </si>
  <si>
    <t>Cumulative (Over)/Under</t>
  </si>
  <si>
    <t>Current Month Expenses Less Base</t>
  </si>
  <si>
    <t>(Over)/Under for Current Month</t>
  </si>
  <si>
    <t>12 -Month Period Ended June 30, 2026</t>
  </si>
  <si>
    <t>12-Month Period Ended June 2026</t>
  </si>
  <si>
    <t>Forecasted - 12 Month Period Ended September 2027</t>
  </si>
  <si>
    <t>PPA Base Rate Amount</t>
  </si>
  <si>
    <t>Current Period Revenue Requirement</t>
  </si>
  <si>
    <t>Actual PPA Costs</t>
  </si>
  <si>
    <t>Cumulative</t>
  </si>
  <si>
    <t>Over/Under</t>
  </si>
  <si>
    <t>Monthly Revenue Target</t>
  </si>
  <si>
    <t>Rev v. Expense:</t>
  </si>
  <si>
    <t>Post 2025-00307 Order</t>
  </si>
  <si>
    <t>Profit or (Loss):</t>
  </si>
  <si>
    <t>Monthly</t>
  </si>
  <si>
    <t>Pre 2025-00307 Order</t>
  </si>
  <si>
    <t>Rockport True-up</t>
  </si>
  <si>
    <t>Avoided Cost Payments to NMS II, Interruptible Credits, FO Related to Purchase Power Expense, Incidental Sales of Gas (capped at $3M)</t>
  </si>
  <si>
    <t>PJM NITS Expense - Non-Affiliated</t>
  </si>
  <si>
    <t>PJM TO Serv Expense - Affiliated</t>
  </si>
  <si>
    <t>Firm and Non-Firm Point to Point Transmision Revenues</t>
  </si>
  <si>
    <t>RTO Formation Costs</t>
  </si>
  <si>
    <t>Purchase Power VCS Credit</t>
  </si>
  <si>
    <t>Network Integrated Transmission Service</t>
  </si>
  <si>
    <t>Schedule 1a Charges</t>
  </si>
  <si>
    <t>Transmission Enhancement Charges</t>
  </si>
  <si>
    <t>PJM NITS Expense - Affilated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</si>
</sst>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_);\(0\)"/>
    <numFmt numFmtId="167" formatCode="0.0000000%"/>
    <numFmt numFmtId="168" formatCode="&quot;$&quot;#,##0.00000"/>
    <numFmt numFmtId="169" formatCode="&quot;$&quot;#,##0"/>
    <numFmt numFmtId="170" formatCode="_(&quot;$&quot;* #,##0_);_(&quot;$&quot;* \(#,##0\);_(&quot;$&quot;* &quot;-&quot;??_);_(@_)"/>
    <numFmt numFmtId="171" formatCode="0.000%"/>
    <numFmt numFmtId="172" formatCode="0.000000"/>
    <numFmt numFmtId="173" formatCode="_(* #,##0.0000_);_(* \(#,##0.0000\);_(* &quot;-&quot;??_);_(@_)"/>
    <numFmt numFmtId="174" formatCode="0.0000"/>
    <numFmt numFmtId="175" formatCode="0.000"/>
    <numFmt numFmtId="176" formatCode="&quot;$&quot;#,##0.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color theme="1"/>
      <name val="Calibri"/>
      <family val="2"/>
      <scheme val="minor"/>
    </font>
    <font>
      <sz val="10"/>
      <name val="Arial Unicode MS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vertAlign val="superscript"/>
      <sz val="10"/>
      <name val="Times New Roman"/>
      <family val="1"/>
    </font>
    <font>
      <i/>
      <sz val="10"/>
      <color theme="1"/>
      <name val="Times New Roman"/>
      <family val="1"/>
    </font>
    <font>
      <u/>
      <sz val="10"/>
      <name val="Times New Roman"/>
      <family val="1"/>
    </font>
    <font>
      <u/>
      <sz val="10"/>
      <color theme="1"/>
      <name val="Times New Roman"/>
      <family val="1"/>
    </font>
    <font>
      <b/>
      <i/>
      <sz val="10"/>
      <color rgb="FFFF0000"/>
      <name val="Times New Roman"/>
      <family val="1"/>
    </font>
    <font>
      <sz val="1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lightUp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8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3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11" applyNumberFormat="0" applyAlignment="0" applyProtection="0"/>
    <xf numFmtId="0" fontId="10" fillId="22" borderId="12" applyNumberFormat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11" applyNumberFormat="0" applyAlignment="0" applyProtection="0"/>
    <xf numFmtId="0" fontId="17" fillId="0" borderId="16" applyNumberFormat="0" applyFill="0" applyAlignment="0" applyProtection="0"/>
    <xf numFmtId="0" fontId="18" fillId="23" borderId="0" applyNumberFormat="0" applyBorder="0" applyAlignment="0" applyProtection="0"/>
    <xf numFmtId="0" fontId="3" fillId="24" borderId="17" applyNumberFormat="0" applyFont="0" applyAlignment="0" applyProtection="0"/>
    <xf numFmtId="0" fontId="19" fillId="21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19" applyNumberFormat="0" applyFill="0" applyAlignment="0" applyProtection="0"/>
    <xf numFmtId="0" fontId="2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4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0" fontId="5" fillId="0" borderId="9">
      <alignment horizontal="center"/>
    </xf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0" fontId="4" fillId="2" borderId="0" applyNumberFormat="0" applyFon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6" fillId="0" borderId="0"/>
  </cellStyleXfs>
  <cellXfs count="180">
    <xf numFmtId="0" fontId="0" fillId="0" borderId="0" xfId="0"/>
    <xf numFmtId="0" fontId="27" fillId="25" borderId="0" xfId="0" applyFont="1" applyFill="1" applyAlignment="1">
      <alignment horizontal="center"/>
    </xf>
    <xf numFmtId="0" fontId="27" fillId="25" borderId="0" xfId="0" applyFont="1" applyFill="1"/>
    <xf numFmtId="0" fontId="32" fillId="0" borderId="0" xfId="1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165" fontId="27" fillId="0" borderId="0" xfId="1" applyNumberFormat="1" applyFont="1" applyFill="1" applyAlignment="1">
      <alignment horizontal="right"/>
    </xf>
    <xf numFmtId="165" fontId="27" fillId="0" borderId="0" xfId="1" applyNumberFormat="1" applyFont="1" applyFill="1"/>
    <xf numFmtId="166" fontId="28" fillId="0" borderId="0" xfId="0" applyNumberFormat="1" applyFont="1" applyAlignment="1">
      <alignment horizontal="center"/>
    </xf>
    <xf numFmtId="164" fontId="27" fillId="0" borderId="0" xfId="0" applyNumberFormat="1" applyFont="1"/>
    <xf numFmtId="165" fontId="27" fillId="0" borderId="0" xfId="0" applyNumberFormat="1" applyFont="1"/>
    <xf numFmtId="0" fontId="28" fillId="0" borderId="0" xfId="0" applyFont="1"/>
    <xf numFmtId="164" fontId="28" fillId="0" borderId="0" xfId="0" applyNumberFormat="1" applyFont="1"/>
    <xf numFmtId="0" fontId="31" fillId="0" borderId="0" xfId="11" applyFont="1"/>
    <xf numFmtId="165" fontId="30" fillId="0" borderId="0" xfId="4" applyNumberFormat="1" applyFont="1" applyFill="1"/>
    <xf numFmtId="3" fontId="27" fillId="0" borderId="0" xfId="0" applyNumberFormat="1" applyFont="1"/>
    <xf numFmtId="165" fontId="31" fillId="0" borderId="0" xfId="11" applyNumberFormat="1" applyFont="1"/>
    <xf numFmtId="0" fontId="30" fillId="0" borderId="0" xfId="0" applyFont="1"/>
    <xf numFmtId="171" fontId="30" fillId="0" borderId="0" xfId="785" applyNumberFormat="1" applyFont="1" applyFill="1"/>
    <xf numFmtId="38" fontId="30" fillId="0" borderId="0" xfId="0" applyNumberFormat="1" applyFont="1"/>
    <xf numFmtId="0" fontId="34" fillId="0" borderId="0" xfId="0" applyFont="1"/>
    <xf numFmtId="0" fontId="30" fillId="25" borderId="0" xfId="55" applyFont="1" applyFill="1"/>
    <xf numFmtId="0" fontId="30" fillId="25" borderId="0" xfId="55" applyFont="1" applyFill="1" applyAlignment="1">
      <alignment horizontal="center"/>
    </xf>
    <xf numFmtId="49" fontId="30" fillId="25" borderId="22" xfId="56" applyNumberFormat="1" applyFont="1" applyFill="1" applyBorder="1" applyAlignment="1">
      <alignment horizontal="center" wrapText="1"/>
    </xf>
    <xf numFmtId="49" fontId="30" fillId="25" borderId="4" xfId="56" applyNumberFormat="1" applyFont="1" applyFill="1" applyBorder="1" applyAlignment="1">
      <alignment wrapText="1"/>
    </xf>
    <xf numFmtId="49" fontId="30" fillId="25" borderId="20" xfId="56" applyNumberFormat="1" applyFont="1" applyFill="1" applyBorder="1" applyAlignment="1">
      <alignment horizontal="center" wrapText="1"/>
    </xf>
    <xf numFmtId="49" fontId="30" fillId="25" borderId="23" xfId="56" applyNumberFormat="1" applyFont="1" applyFill="1" applyBorder="1" applyAlignment="1">
      <alignment wrapText="1"/>
    </xf>
    <xf numFmtId="49" fontId="30" fillId="25" borderId="23" xfId="56" applyNumberFormat="1" applyFont="1" applyFill="1" applyBorder="1" applyAlignment="1">
      <alignment horizontal="center" wrapText="1"/>
    </xf>
    <xf numFmtId="49" fontId="30" fillId="25" borderId="22" xfId="56" applyNumberFormat="1" applyFont="1" applyFill="1" applyBorder="1" applyAlignment="1">
      <alignment wrapText="1"/>
    </xf>
    <xf numFmtId="0" fontId="30" fillId="25" borderId="23" xfId="56" applyFont="1" applyFill="1" applyBorder="1"/>
    <xf numFmtId="0" fontId="30" fillId="25" borderId="23" xfId="56" applyFont="1" applyFill="1" applyBorder="1" applyAlignment="1">
      <alignment horizontal="center"/>
    </xf>
    <xf numFmtId="49" fontId="30" fillId="25" borderId="21" xfId="56" applyNumberFormat="1" applyFont="1" applyFill="1" applyBorder="1" applyAlignment="1">
      <alignment horizontal="center" wrapText="1"/>
    </xf>
    <xf numFmtId="49" fontId="30" fillId="25" borderId="6" xfId="56" applyNumberFormat="1" applyFont="1" applyFill="1" applyBorder="1" applyAlignment="1">
      <alignment horizontal="center" wrapText="1"/>
    </xf>
    <xf numFmtId="49" fontId="30" fillId="25" borderId="0" xfId="56" applyNumberFormat="1" applyFont="1" applyFill="1" applyAlignment="1">
      <alignment wrapText="1"/>
    </xf>
    <xf numFmtId="49" fontId="30" fillId="25" borderId="0" xfId="56" applyNumberFormat="1" applyFont="1" applyFill="1" applyAlignment="1">
      <alignment horizontal="center" wrapText="1"/>
    </xf>
    <xf numFmtId="49" fontId="30" fillId="25" borderId="24" xfId="56" applyNumberFormat="1" applyFont="1" applyFill="1" applyBorder="1" applyAlignment="1">
      <alignment wrapText="1"/>
    </xf>
    <xf numFmtId="0" fontId="30" fillId="25" borderId="0" xfId="56" applyFont="1" applyFill="1"/>
    <xf numFmtId="0" fontId="30" fillId="25" borderId="0" xfId="56" applyFont="1" applyFill="1" applyAlignment="1">
      <alignment horizontal="center"/>
    </xf>
    <xf numFmtId="49" fontId="30" fillId="25" borderId="7" xfId="56" applyNumberFormat="1" applyFont="1" applyFill="1" applyBorder="1" applyAlignment="1">
      <alignment horizontal="center" wrapText="1"/>
    </xf>
    <xf numFmtId="0" fontId="30" fillId="25" borderId="25" xfId="56" applyFont="1" applyFill="1" applyBorder="1" applyAlignment="1">
      <alignment horizontal="center"/>
    </xf>
    <xf numFmtId="0" fontId="30" fillId="25" borderId="4" xfId="56" applyFont="1" applyFill="1" applyBorder="1"/>
    <xf numFmtId="0" fontId="30" fillId="25" borderId="25" xfId="56" applyFont="1" applyFill="1" applyBorder="1"/>
    <xf numFmtId="0" fontId="30" fillId="25" borderId="5" xfId="56" applyFont="1" applyFill="1" applyBorder="1"/>
    <xf numFmtId="10" fontId="30" fillId="25" borderId="0" xfId="56" applyNumberFormat="1" applyFont="1" applyFill="1"/>
    <xf numFmtId="0" fontId="30" fillId="25" borderId="24" xfId="56" applyFont="1" applyFill="1" applyBorder="1"/>
    <xf numFmtId="10" fontId="30" fillId="25" borderId="7" xfId="56" applyNumberFormat="1" applyFont="1" applyFill="1" applyBorder="1"/>
    <xf numFmtId="0" fontId="30" fillId="25" borderId="24" xfId="56" applyFont="1" applyFill="1" applyBorder="1" applyAlignment="1">
      <alignment horizontal="center"/>
    </xf>
    <xf numFmtId="171" fontId="30" fillId="25" borderId="0" xfId="56" applyNumberFormat="1" applyFont="1" applyFill="1"/>
    <xf numFmtId="10" fontId="31" fillId="25" borderId="0" xfId="56" applyNumberFormat="1" applyFont="1" applyFill="1"/>
    <xf numFmtId="0" fontId="30" fillId="25" borderId="7" xfId="56" applyFont="1" applyFill="1" applyBorder="1"/>
    <xf numFmtId="0" fontId="30" fillId="25" borderId="9" xfId="56" applyFont="1" applyFill="1" applyBorder="1"/>
    <xf numFmtId="0" fontId="30" fillId="25" borderId="26" xfId="56" applyFont="1" applyFill="1" applyBorder="1"/>
    <xf numFmtId="0" fontId="30" fillId="25" borderId="10" xfId="56" applyFont="1" applyFill="1" applyBorder="1"/>
    <xf numFmtId="0" fontId="32" fillId="25" borderId="0" xfId="55" applyFont="1" applyFill="1" applyAlignment="1">
      <alignment horizontal="center"/>
    </xf>
    <xf numFmtId="173" fontId="30" fillId="25" borderId="0" xfId="57" applyNumberFormat="1" applyFont="1" applyFill="1" applyBorder="1"/>
    <xf numFmtId="174" fontId="30" fillId="25" borderId="0" xfId="56" applyNumberFormat="1" applyFont="1" applyFill="1"/>
    <xf numFmtId="172" fontId="30" fillId="25" borderId="0" xfId="56" applyNumberFormat="1" applyFont="1" applyFill="1"/>
    <xf numFmtId="10" fontId="31" fillId="25" borderId="7" xfId="56" quotePrefix="1" applyNumberFormat="1" applyFont="1" applyFill="1" applyBorder="1" applyAlignment="1">
      <alignment horizontal="right" wrapText="1"/>
    </xf>
    <xf numFmtId="173" fontId="30" fillId="25" borderId="0" xfId="57" applyNumberFormat="1" applyFont="1" applyFill="1"/>
    <xf numFmtId="173" fontId="30" fillId="25" borderId="0" xfId="57" applyNumberFormat="1" applyFont="1" applyFill="1" applyAlignment="1">
      <alignment vertical="center"/>
    </xf>
    <xf numFmtId="0" fontId="30" fillId="25" borderId="0" xfId="55" applyFont="1" applyFill="1" applyAlignment="1">
      <alignment horizontal="center" vertical="center"/>
    </xf>
    <xf numFmtId="174" fontId="30" fillId="25" borderId="0" xfId="56" applyNumberFormat="1" applyFont="1" applyFill="1" applyAlignment="1">
      <alignment horizontal="center"/>
    </xf>
    <xf numFmtId="0" fontId="31" fillId="0" borderId="0" xfId="11" applyFont="1" applyAlignment="1">
      <alignment horizontal="center" wrapText="1"/>
    </xf>
    <xf numFmtId="165" fontId="27" fillId="0" borderId="0" xfId="1" applyNumberFormat="1" applyFont="1" applyFill="1" applyAlignment="1">
      <alignment horizontal="left"/>
    </xf>
    <xf numFmtId="0" fontId="30" fillId="0" borderId="0" xfId="0" applyFont="1" applyAlignment="1">
      <alignment horizontal="center"/>
    </xf>
    <xf numFmtId="165" fontId="30" fillId="0" borderId="0" xfId="58" applyNumberFormat="1" applyFont="1" applyFill="1"/>
    <xf numFmtId="170" fontId="30" fillId="0" borderId="0" xfId="382" applyNumberFormat="1" applyFont="1" applyFill="1" applyAlignment="1">
      <alignment horizontal="right"/>
    </xf>
    <xf numFmtId="170" fontId="30" fillId="0" borderId="0" xfId="0" applyNumberFormat="1" applyFont="1"/>
    <xf numFmtId="0" fontId="31" fillId="0" borderId="0" xfId="0" applyFont="1"/>
    <xf numFmtId="43" fontId="30" fillId="0" borderId="0" xfId="0" applyNumberFormat="1" applyFont="1"/>
    <xf numFmtId="0" fontId="33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40" fontId="30" fillId="0" borderId="0" xfId="0" applyNumberFormat="1" applyFont="1"/>
    <xf numFmtId="0" fontId="29" fillId="0" borderId="1" xfId="0" applyFont="1" applyBorder="1" applyAlignment="1">
      <alignment horizontal="center"/>
    </xf>
    <xf numFmtId="0" fontId="38" fillId="0" borderId="1" xfId="0" applyFont="1" applyBorder="1"/>
    <xf numFmtId="0" fontId="39" fillId="25" borderId="0" xfId="0" applyFont="1" applyFill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11" applyFont="1" applyAlignment="1">
      <alignment horizontal="center"/>
    </xf>
    <xf numFmtId="165" fontId="28" fillId="0" borderId="0" xfId="0" applyNumberFormat="1" applyFont="1"/>
    <xf numFmtId="0" fontId="30" fillId="0" borderId="1" xfId="0" applyFont="1" applyBorder="1"/>
    <xf numFmtId="170" fontId="30" fillId="0" borderId="0" xfId="54" applyNumberFormat="1" applyFont="1"/>
    <xf numFmtId="0" fontId="31" fillId="0" borderId="0" xfId="0" applyFont="1" applyAlignment="1">
      <alignment horizontal="center"/>
    </xf>
    <xf numFmtId="0" fontId="30" fillId="0" borderId="0" xfId="787" applyFont="1"/>
    <xf numFmtId="38" fontId="30" fillId="0" borderId="0" xfId="54" applyNumberFormat="1" applyFont="1" applyFill="1" applyBorder="1"/>
    <xf numFmtId="38" fontId="32" fillId="26" borderId="0" xfId="0" applyNumberFormat="1" applyFont="1" applyFill="1" applyAlignment="1">
      <alignment horizontal="center"/>
    </xf>
    <xf numFmtId="38" fontId="30" fillId="0" borderId="0" xfId="3" applyNumberFormat="1" applyFont="1" applyFill="1" applyBorder="1"/>
    <xf numFmtId="38" fontId="30" fillId="0" borderId="0" xfId="1" applyNumberFormat="1" applyFont="1" applyFill="1" applyBorder="1"/>
    <xf numFmtId="38" fontId="32" fillId="26" borderId="1" xfId="0" applyNumberFormat="1" applyFont="1" applyFill="1" applyBorder="1" applyAlignment="1">
      <alignment horizontal="center"/>
    </xf>
    <xf numFmtId="38" fontId="30" fillId="0" borderId="1" xfId="1" applyNumberFormat="1" applyFont="1" applyFill="1" applyBorder="1"/>
    <xf numFmtId="0" fontId="30" fillId="0" borderId="0" xfId="0" applyFont="1" applyAlignment="1">
      <alignment horizontal="left"/>
    </xf>
    <xf numFmtId="0" fontId="30" fillId="0" borderId="1" xfId="0" applyFont="1" applyBorder="1" applyAlignment="1">
      <alignment horizontal="left"/>
    </xf>
    <xf numFmtId="38" fontId="30" fillId="0" borderId="1" xfId="3" applyNumberFormat="1" applyFont="1" applyFill="1" applyBorder="1"/>
    <xf numFmtId="0" fontId="30" fillId="0" borderId="0" xfId="787" applyFont="1" applyAlignment="1">
      <alignment vertical="top" wrapText="1"/>
    </xf>
    <xf numFmtId="43" fontId="30" fillId="0" borderId="1" xfId="0" applyNumberFormat="1" applyFont="1" applyBorder="1"/>
    <xf numFmtId="38" fontId="30" fillId="0" borderId="1" xfId="0" applyNumberFormat="1" applyFont="1" applyBorder="1"/>
    <xf numFmtId="38" fontId="32" fillId="0" borderId="0" xfId="0" applyNumberFormat="1" applyFont="1" applyAlignment="1">
      <alignment horizontal="center"/>
    </xf>
    <xf numFmtId="0" fontId="31" fillId="0" borderId="0" xfId="787" applyFont="1"/>
    <xf numFmtId="0" fontId="32" fillId="0" borderId="1" xfId="0" applyFont="1" applyBorder="1"/>
    <xf numFmtId="38" fontId="30" fillId="0" borderId="1" xfId="54" applyNumberFormat="1" applyFont="1" applyFill="1" applyBorder="1"/>
    <xf numFmtId="0" fontId="30" fillId="0" borderId="1" xfId="787" applyFont="1" applyBorder="1" applyAlignment="1">
      <alignment vertical="top" wrapText="1"/>
    </xf>
    <xf numFmtId="0" fontId="32" fillId="0" borderId="0" xfId="0" applyFont="1" applyAlignment="1">
      <alignment horizontal="center" wrapText="1"/>
    </xf>
    <xf numFmtId="0" fontId="30" fillId="0" borderId="20" xfId="0" applyFont="1" applyBorder="1"/>
    <xf numFmtId="170" fontId="30" fillId="0" borderId="21" xfId="0" applyNumberFormat="1" applyFont="1" applyBorder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165" fontId="27" fillId="0" borderId="0" xfId="1" applyNumberFormat="1" applyFont="1" applyFill="1" applyBorder="1" applyAlignment="1"/>
    <xf numFmtId="165" fontId="36" fillId="0" borderId="0" xfId="0" applyNumberFormat="1" applyFont="1"/>
    <xf numFmtId="0" fontId="34" fillId="0" borderId="0" xfId="0" applyFont="1" applyAlignment="1">
      <alignment horizontal="left"/>
    </xf>
    <xf numFmtId="165" fontId="27" fillId="0" borderId="28" xfId="1" applyNumberFormat="1" applyFont="1" applyFill="1" applyBorder="1" applyAlignment="1"/>
    <xf numFmtId="43" fontId="27" fillId="0" borderId="0" xfId="0" applyNumberFormat="1" applyFont="1"/>
    <xf numFmtId="165" fontId="27" fillId="0" borderId="1" xfId="0" applyNumberFormat="1" applyFont="1" applyBorder="1"/>
    <xf numFmtId="0" fontId="30" fillId="0" borderId="3" xfId="0" applyFont="1" applyBorder="1"/>
    <xf numFmtId="0" fontId="30" fillId="0" borderId="4" xfId="0" applyFont="1" applyBorder="1"/>
    <xf numFmtId="0" fontId="37" fillId="0" borderId="4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0" fillId="0" borderId="6" xfId="0" applyFont="1" applyBorder="1"/>
    <xf numFmtId="0" fontId="37" fillId="0" borderId="0" xfId="0" applyFont="1" applyAlignment="1">
      <alignment horizontal="center"/>
    </xf>
    <xf numFmtId="0" fontId="37" fillId="0" borderId="7" xfId="0" applyFont="1" applyBorder="1" applyAlignment="1">
      <alignment horizontal="center"/>
    </xf>
    <xf numFmtId="0" fontId="30" fillId="0" borderId="8" xfId="0" applyFont="1" applyBorder="1"/>
    <xf numFmtId="0" fontId="30" fillId="0" borderId="9" xfId="0" applyFont="1" applyBorder="1"/>
    <xf numFmtId="5" fontId="30" fillId="0" borderId="9" xfId="0" applyNumberFormat="1" applyFont="1" applyBorder="1"/>
    <xf numFmtId="5" fontId="30" fillId="0" borderId="10" xfId="0" applyNumberFormat="1" applyFont="1" applyBorder="1"/>
    <xf numFmtId="37" fontId="30" fillId="0" borderId="0" xfId="0" applyNumberFormat="1" applyFont="1"/>
    <xf numFmtId="166" fontId="30" fillId="0" borderId="0" xfId="0" applyNumberFormat="1" applyFont="1" applyAlignment="1">
      <alignment horizontal="center"/>
    </xf>
    <xf numFmtId="166" fontId="30" fillId="0" borderId="0" xfId="0" quotePrefix="1" applyNumberFormat="1" applyFont="1" applyAlignment="1">
      <alignment horizontal="center"/>
    </xf>
    <xf numFmtId="165" fontId="30" fillId="0" borderId="0" xfId="1" applyNumberFormat="1" applyFont="1" applyFill="1"/>
    <xf numFmtId="167" fontId="30" fillId="0" borderId="0" xfId="0" applyNumberFormat="1" applyFont="1"/>
    <xf numFmtId="6" fontId="30" fillId="0" borderId="0" xfId="382" applyNumberFormat="1" applyFont="1" applyFill="1"/>
    <xf numFmtId="44" fontId="30" fillId="0" borderId="0" xfId="382" applyFont="1" applyFill="1"/>
    <xf numFmtId="168" fontId="30" fillId="0" borderId="0" xfId="382" applyNumberFormat="1" applyFont="1" applyFill="1"/>
    <xf numFmtId="169" fontId="30" fillId="0" borderId="0" xfId="382" applyNumberFormat="1" applyFont="1" applyFill="1"/>
    <xf numFmtId="176" fontId="30" fillId="0" borderId="0" xfId="0" applyNumberFormat="1" applyFont="1"/>
    <xf numFmtId="6" fontId="30" fillId="0" borderId="0" xfId="0" applyNumberFormat="1" applyFont="1"/>
    <xf numFmtId="38" fontId="30" fillId="0" borderId="0" xfId="382" applyNumberFormat="1" applyFont="1" applyFill="1"/>
    <xf numFmtId="0" fontId="30" fillId="0" borderId="2" xfId="0" applyFont="1" applyBorder="1"/>
    <xf numFmtId="38" fontId="30" fillId="0" borderId="2" xfId="0" applyNumberFormat="1" applyFont="1" applyBorder="1"/>
    <xf numFmtId="3" fontId="30" fillId="0" borderId="2" xfId="0" applyNumberFormat="1" applyFont="1" applyBorder="1"/>
    <xf numFmtId="6" fontId="30" fillId="0" borderId="2" xfId="0" applyNumberFormat="1" applyFont="1" applyBorder="1"/>
    <xf numFmtId="0" fontId="35" fillId="0" borderId="0" xfId="0" applyFont="1"/>
    <xf numFmtId="166" fontId="35" fillId="0" borderId="0" xfId="0" applyNumberFormat="1" applyFont="1"/>
    <xf numFmtId="38" fontId="27" fillId="0" borderId="0" xfId="0" applyNumberFormat="1" applyFont="1"/>
    <xf numFmtId="0" fontId="28" fillId="0" borderId="0" xfId="0" applyFont="1" applyAlignment="1">
      <alignment wrapText="1"/>
    </xf>
    <xf numFmtId="170" fontId="28" fillId="0" borderId="0" xfId="0" applyNumberFormat="1" applyFont="1"/>
    <xf numFmtId="6" fontId="28" fillId="0" borderId="0" xfId="0" applyNumberFormat="1" applyFont="1"/>
    <xf numFmtId="2" fontId="27" fillId="0" borderId="0" xfId="0" applyNumberFormat="1" applyFont="1"/>
    <xf numFmtId="170" fontId="27" fillId="0" borderId="0" xfId="54" applyNumberFormat="1" applyFont="1" applyFill="1"/>
    <xf numFmtId="0" fontId="27" fillId="0" borderId="0" xfId="0" applyFont="1" applyAlignment="1">
      <alignment horizontal="right"/>
    </xf>
    <xf numFmtId="170" fontId="27" fillId="0" borderId="0" xfId="0" applyNumberFormat="1" applyFont="1"/>
    <xf numFmtId="170" fontId="28" fillId="0" borderId="27" xfId="0" applyNumberFormat="1" applyFont="1" applyBorder="1"/>
    <xf numFmtId="4" fontId="27" fillId="0" borderId="0" xfId="0" applyNumberFormat="1" applyFont="1"/>
    <xf numFmtId="44" fontId="27" fillId="0" borderId="0" xfId="0" applyNumberFormat="1" applyFont="1"/>
    <xf numFmtId="175" fontId="27" fillId="0" borderId="0" xfId="0" applyNumberFormat="1" applyFont="1" applyAlignment="1">
      <alignment horizontal="center"/>
    </xf>
    <xf numFmtId="0" fontId="28" fillId="0" borderId="1" xfId="0" applyFont="1" applyBorder="1" applyAlignment="1">
      <alignment horizontal="center"/>
    </xf>
    <xf numFmtId="9" fontId="27" fillId="0" borderId="0" xfId="785" applyFont="1" applyFill="1" applyAlignment="1">
      <alignment horizontal="center"/>
    </xf>
    <xf numFmtId="170" fontId="27" fillId="0" borderId="29" xfId="0" applyNumberFormat="1" applyFont="1" applyBorder="1"/>
    <xf numFmtId="0" fontId="29" fillId="0" borderId="0" xfId="0" applyFont="1"/>
    <xf numFmtId="165" fontId="30" fillId="0" borderId="0" xfId="4" applyNumberFormat="1" applyFont="1" applyFill="1" applyAlignment="1">
      <alignment horizontal="right"/>
    </xf>
    <xf numFmtId="10" fontId="27" fillId="0" borderId="0" xfId="785" applyNumberFormat="1" applyFont="1" applyFill="1" applyAlignment="1">
      <alignment horizontal="center"/>
    </xf>
    <xf numFmtId="49" fontId="31" fillId="25" borderId="0" xfId="56" applyNumberFormat="1" applyFont="1" applyFill="1" applyAlignment="1">
      <alignment horizontal="center" wrapText="1"/>
    </xf>
    <xf numFmtId="0" fontId="40" fillId="25" borderId="24" xfId="56" applyFont="1" applyFill="1" applyBorder="1" applyAlignment="1">
      <alignment horizontal="center"/>
    </xf>
    <xf numFmtId="5" fontId="30" fillId="25" borderId="0" xfId="56" applyNumberFormat="1" applyFont="1" applyFill="1"/>
    <xf numFmtId="0" fontId="40" fillId="25" borderId="0" xfId="56" applyFont="1" applyFill="1"/>
    <xf numFmtId="174" fontId="31" fillId="25" borderId="0" xfId="56" applyNumberFormat="1" applyFont="1" applyFill="1" applyAlignment="1">
      <alignment horizontal="center"/>
    </xf>
    <xf numFmtId="0" fontId="40" fillId="25" borderId="0" xfId="56" applyFont="1" applyFill="1" applyAlignment="1">
      <alignment horizontal="center"/>
    </xf>
    <xf numFmtId="5" fontId="31" fillId="25" borderId="0" xfId="56" applyNumberFormat="1" applyFont="1" applyFill="1"/>
    <xf numFmtId="0" fontId="40" fillId="25" borderId="26" xfId="56" applyFont="1" applyFill="1" applyBorder="1" applyAlignment="1">
      <alignment horizontal="center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11" applyFont="1" applyAlignment="1">
      <alignment horizontal="center" wrapText="1"/>
    </xf>
    <xf numFmtId="0" fontId="31" fillId="0" borderId="0" xfId="11" applyFont="1" applyAlignment="1">
      <alignment horizontal="center"/>
    </xf>
    <xf numFmtId="49" fontId="30" fillId="25" borderId="0" xfId="55" applyNumberFormat="1" applyFont="1" applyFill="1" applyAlignment="1">
      <alignment horizontal="center"/>
    </xf>
    <xf numFmtId="0" fontId="30" fillId="25" borderId="0" xfId="55" applyFont="1" applyFill="1" applyAlignment="1">
      <alignment horizontal="center" wrapText="1"/>
    </xf>
    <xf numFmtId="0" fontId="30" fillId="0" borderId="0" xfId="55" applyFont="1" applyAlignment="1">
      <alignment horizontal="left" wrapText="1"/>
    </xf>
    <xf numFmtId="43" fontId="30" fillId="0" borderId="0" xfId="1" applyFont="1"/>
  </cellXfs>
  <cellStyles count="789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" xfId="1" builtinId="3"/>
    <cellStyle name="Comma 10" xfId="58" xr:uid="{00000000-0005-0000-0000-00001C000000}"/>
    <cellStyle name="Comma 10 2" xfId="59" xr:uid="{00000000-0005-0000-0000-00001D000000}"/>
    <cellStyle name="Comma 10 3" xfId="60" xr:uid="{00000000-0005-0000-0000-00001E000000}"/>
    <cellStyle name="Comma 10 3 2" xfId="61" xr:uid="{00000000-0005-0000-0000-00001F000000}"/>
    <cellStyle name="Comma 10 3 3" xfId="62" xr:uid="{00000000-0005-0000-0000-000020000000}"/>
    <cellStyle name="Comma 10 4" xfId="63" xr:uid="{00000000-0005-0000-0000-000021000000}"/>
    <cellStyle name="Comma 10 4 2" xfId="64" xr:uid="{00000000-0005-0000-0000-000022000000}"/>
    <cellStyle name="Comma 10 4 3" xfId="65" xr:uid="{00000000-0005-0000-0000-000023000000}"/>
    <cellStyle name="Comma 10 4 4" xfId="66" xr:uid="{00000000-0005-0000-0000-000024000000}"/>
    <cellStyle name="Comma 10 5" xfId="67" xr:uid="{00000000-0005-0000-0000-000025000000}"/>
    <cellStyle name="Comma 10 5 2" xfId="68" xr:uid="{00000000-0005-0000-0000-000026000000}"/>
    <cellStyle name="Comma 10 5 2 2" xfId="69" xr:uid="{00000000-0005-0000-0000-000027000000}"/>
    <cellStyle name="Comma 10 5 2 3" xfId="70" xr:uid="{00000000-0005-0000-0000-000028000000}"/>
    <cellStyle name="Comma 10 5 2 3 2" xfId="71" xr:uid="{00000000-0005-0000-0000-000029000000}"/>
    <cellStyle name="Comma 10 5 3" xfId="72" xr:uid="{00000000-0005-0000-0000-00002A000000}"/>
    <cellStyle name="Comma 10 6" xfId="73" xr:uid="{00000000-0005-0000-0000-00002B000000}"/>
    <cellStyle name="Comma 10 6 2" xfId="74" xr:uid="{00000000-0005-0000-0000-00002C000000}"/>
    <cellStyle name="Comma 10 6 3" xfId="75" xr:uid="{00000000-0005-0000-0000-00002D000000}"/>
    <cellStyle name="Comma 10 6 3 2" xfId="76" xr:uid="{00000000-0005-0000-0000-00002E000000}"/>
    <cellStyle name="Comma 10 7" xfId="77" xr:uid="{00000000-0005-0000-0000-00002F000000}"/>
    <cellStyle name="Comma 10 8" xfId="78" xr:uid="{00000000-0005-0000-0000-000030000000}"/>
    <cellStyle name="Comma 10 8 2" xfId="79" xr:uid="{00000000-0005-0000-0000-000031000000}"/>
    <cellStyle name="Comma 11" xfId="80" xr:uid="{00000000-0005-0000-0000-000032000000}"/>
    <cellStyle name="Comma 11 10" xfId="81" xr:uid="{00000000-0005-0000-0000-000033000000}"/>
    <cellStyle name="Comma 11 11" xfId="82" xr:uid="{00000000-0005-0000-0000-000034000000}"/>
    <cellStyle name="Comma 11 11 2" xfId="83" xr:uid="{00000000-0005-0000-0000-000035000000}"/>
    <cellStyle name="Comma 11 11 2 2" xfId="84" xr:uid="{00000000-0005-0000-0000-000036000000}"/>
    <cellStyle name="Comma 11 11 2 3" xfId="85" xr:uid="{00000000-0005-0000-0000-000037000000}"/>
    <cellStyle name="Comma 11 11 2 3 2" xfId="86" xr:uid="{00000000-0005-0000-0000-000038000000}"/>
    <cellStyle name="Comma 11 12" xfId="87" xr:uid="{00000000-0005-0000-0000-000039000000}"/>
    <cellStyle name="Comma 11 13" xfId="88" xr:uid="{00000000-0005-0000-0000-00003A000000}"/>
    <cellStyle name="Comma 11 13 2" xfId="89" xr:uid="{00000000-0005-0000-0000-00003B000000}"/>
    <cellStyle name="Comma 11 13 2 2" xfId="90" xr:uid="{00000000-0005-0000-0000-00003C000000}"/>
    <cellStyle name="Comma 11 13 2 3" xfId="91" xr:uid="{00000000-0005-0000-0000-00003D000000}"/>
    <cellStyle name="Comma 11 13 2 3 2" xfId="92" xr:uid="{00000000-0005-0000-0000-00003E000000}"/>
    <cellStyle name="Comma 11 2" xfId="93" xr:uid="{00000000-0005-0000-0000-00003F000000}"/>
    <cellStyle name="Comma 11 3" xfId="94" xr:uid="{00000000-0005-0000-0000-000040000000}"/>
    <cellStyle name="Comma 11 4" xfId="95" xr:uid="{00000000-0005-0000-0000-000041000000}"/>
    <cellStyle name="Comma 11 5" xfId="96" xr:uid="{00000000-0005-0000-0000-000042000000}"/>
    <cellStyle name="Comma 11 6" xfId="97" xr:uid="{00000000-0005-0000-0000-000043000000}"/>
    <cellStyle name="Comma 11 7" xfId="98" xr:uid="{00000000-0005-0000-0000-000044000000}"/>
    <cellStyle name="Comma 11 7 2" xfId="99" xr:uid="{00000000-0005-0000-0000-000045000000}"/>
    <cellStyle name="Comma 11 7 2 2" xfId="100" xr:uid="{00000000-0005-0000-0000-000046000000}"/>
    <cellStyle name="Comma 11 7 2 3" xfId="101" xr:uid="{00000000-0005-0000-0000-000047000000}"/>
    <cellStyle name="Comma 11 8" xfId="102" xr:uid="{00000000-0005-0000-0000-000048000000}"/>
    <cellStyle name="Comma 11 9" xfId="103" xr:uid="{00000000-0005-0000-0000-000049000000}"/>
    <cellStyle name="Comma 12" xfId="104" xr:uid="{00000000-0005-0000-0000-00004A000000}"/>
    <cellStyle name="Comma 12 10" xfId="105" xr:uid="{00000000-0005-0000-0000-00004B000000}"/>
    <cellStyle name="Comma 12 10 2" xfId="106" xr:uid="{00000000-0005-0000-0000-00004C000000}"/>
    <cellStyle name="Comma 12 10 2 2" xfId="107" xr:uid="{00000000-0005-0000-0000-00004D000000}"/>
    <cellStyle name="Comma 12 10 2 3" xfId="108" xr:uid="{00000000-0005-0000-0000-00004E000000}"/>
    <cellStyle name="Comma 12 10 2 3 2" xfId="109" xr:uid="{00000000-0005-0000-0000-00004F000000}"/>
    <cellStyle name="Comma 12 11" xfId="110" xr:uid="{00000000-0005-0000-0000-000050000000}"/>
    <cellStyle name="Comma 12 12" xfId="111" xr:uid="{00000000-0005-0000-0000-000051000000}"/>
    <cellStyle name="Comma 12 12 2" xfId="112" xr:uid="{00000000-0005-0000-0000-000052000000}"/>
    <cellStyle name="Comma 12 12 2 2" xfId="113" xr:uid="{00000000-0005-0000-0000-000053000000}"/>
    <cellStyle name="Comma 12 12 2 3" xfId="114" xr:uid="{00000000-0005-0000-0000-000054000000}"/>
    <cellStyle name="Comma 12 12 2 3 2" xfId="115" xr:uid="{00000000-0005-0000-0000-000055000000}"/>
    <cellStyle name="Comma 12 2" xfId="116" xr:uid="{00000000-0005-0000-0000-000056000000}"/>
    <cellStyle name="Comma 12 3" xfId="117" xr:uid="{00000000-0005-0000-0000-000057000000}"/>
    <cellStyle name="Comma 12 4" xfId="118" xr:uid="{00000000-0005-0000-0000-000058000000}"/>
    <cellStyle name="Comma 12 5" xfId="119" xr:uid="{00000000-0005-0000-0000-000059000000}"/>
    <cellStyle name="Comma 12 6" xfId="120" xr:uid="{00000000-0005-0000-0000-00005A000000}"/>
    <cellStyle name="Comma 12 6 2" xfId="121" xr:uid="{00000000-0005-0000-0000-00005B000000}"/>
    <cellStyle name="Comma 12 6 2 2" xfId="122" xr:uid="{00000000-0005-0000-0000-00005C000000}"/>
    <cellStyle name="Comma 12 6 2 3" xfId="123" xr:uid="{00000000-0005-0000-0000-00005D000000}"/>
    <cellStyle name="Comma 12 7" xfId="124" xr:uid="{00000000-0005-0000-0000-00005E000000}"/>
    <cellStyle name="Comma 12 8" xfId="125" xr:uid="{00000000-0005-0000-0000-00005F000000}"/>
    <cellStyle name="Comma 12 9" xfId="126" xr:uid="{00000000-0005-0000-0000-000060000000}"/>
    <cellStyle name="Comma 13" xfId="127" xr:uid="{00000000-0005-0000-0000-000061000000}"/>
    <cellStyle name="Comma 13 2" xfId="128" xr:uid="{00000000-0005-0000-0000-000062000000}"/>
    <cellStyle name="Comma 13 3" xfId="129" xr:uid="{00000000-0005-0000-0000-000063000000}"/>
    <cellStyle name="Comma 13 4" xfId="130" xr:uid="{00000000-0005-0000-0000-000064000000}"/>
    <cellStyle name="Comma 13 5" xfId="131" xr:uid="{00000000-0005-0000-0000-000065000000}"/>
    <cellStyle name="Comma 13 6" xfId="132" xr:uid="{00000000-0005-0000-0000-000066000000}"/>
    <cellStyle name="Comma 14" xfId="133" xr:uid="{00000000-0005-0000-0000-000067000000}"/>
    <cellStyle name="Comma 14 2" xfId="134" xr:uid="{00000000-0005-0000-0000-000068000000}"/>
    <cellStyle name="Comma 14 3" xfId="135" xr:uid="{00000000-0005-0000-0000-000069000000}"/>
    <cellStyle name="Comma 14 4" xfId="136" xr:uid="{00000000-0005-0000-0000-00006A000000}"/>
    <cellStyle name="Comma 14 5" xfId="137" xr:uid="{00000000-0005-0000-0000-00006B000000}"/>
    <cellStyle name="Comma 15" xfId="138" xr:uid="{00000000-0005-0000-0000-00006C000000}"/>
    <cellStyle name="Comma 15 2" xfId="139" xr:uid="{00000000-0005-0000-0000-00006D000000}"/>
    <cellStyle name="Comma 15 3" xfId="140" xr:uid="{00000000-0005-0000-0000-00006E000000}"/>
    <cellStyle name="Comma 15 4" xfId="141" xr:uid="{00000000-0005-0000-0000-00006F000000}"/>
    <cellStyle name="Comma 15 5" xfId="142" xr:uid="{00000000-0005-0000-0000-000070000000}"/>
    <cellStyle name="Comma 16" xfId="143" xr:uid="{00000000-0005-0000-0000-000071000000}"/>
    <cellStyle name="Comma 16 2" xfId="144" xr:uid="{00000000-0005-0000-0000-000072000000}"/>
    <cellStyle name="Comma 16 3" xfId="145" xr:uid="{00000000-0005-0000-0000-000073000000}"/>
    <cellStyle name="Comma 16 3 2" xfId="146" xr:uid="{00000000-0005-0000-0000-000074000000}"/>
    <cellStyle name="Comma 16 3 3" xfId="147" xr:uid="{00000000-0005-0000-0000-000075000000}"/>
    <cellStyle name="Comma 16 3 3 2" xfId="148" xr:uid="{00000000-0005-0000-0000-000076000000}"/>
    <cellStyle name="Comma 17" xfId="149" xr:uid="{00000000-0005-0000-0000-000077000000}"/>
    <cellStyle name="Comma 17 2" xfId="150" xr:uid="{00000000-0005-0000-0000-000078000000}"/>
    <cellStyle name="Comma 17 3" xfId="151" xr:uid="{00000000-0005-0000-0000-000079000000}"/>
    <cellStyle name="Comma 17 3 2" xfId="152" xr:uid="{00000000-0005-0000-0000-00007A000000}"/>
    <cellStyle name="Comma 17 4" xfId="786" xr:uid="{00000000-0005-0000-0000-00007B000000}"/>
    <cellStyle name="Comma 18" xfId="153" xr:uid="{00000000-0005-0000-0000-00007C000000}"/>
    <cellStyle name="Comma 18 2" xfId="154" xr:uid="{00000000-0005-0000-0000-00007D000000}"/>
    <cellStyle name="Comma 18 3" xfId="155" xr:uid="{00000000-0005-0000-0000-00007E000000}"/>
    <cellStyle name="Comma 18 3 2" xfId="156" xr:uid="{00000000-0005-0000-0000-00007F000000}"/>
    <cellStyle name="Comma 19" xfId="157" xr:uid="{00000000-0005-0000-0000-000080000000}"/>
    <cellStyle name="Comma 19 2" xfId="158" xr:uid="{00000000-0005-0000-0000-000081000000}"/>
    <cellStyle name="Comma 19 3" xfId="159" xr:uid="{00000000-0005-0000-0000-000082000000}"/>
    <cellStyle name="Comma 19 3 2" xfId="160" xr:uid="{00000000-0005-0000-0000-000083000000}"/>
    <cellStyle name="Comma 2" xfId="4" xr:uid="{00000000-0005-0000-0000-000084000000}"/>
    <cellStyle name="Comma 2 2" xfId="57" xr:uid="{00000000-0005-0000-0000-000085000000}"/>
    <cellStyle name="Comma 2 2 2" xfId="161" xr:uid="{00000000-0005-0000-0000-000086000000}"/>
    <cellStyle name="Comma 2 2 3" xfId="162" xr:uid="{00000000-0005-0000-0000-000087000000}"/>
    <cellStyle name="Comma 2 2 4" xfId="163" xr:uid="{00000000-0005-0000-0000-000088000000}"/>
    <cellStyle name="Comma 2 2 5" xfId="164" xr:uid="{00000000-0005-0000-0000-000089000000}"/>
    <cellStyle name="Comma 2 3" xfId="165" xr:uid="{00000000-0005-0000-0000-00008A000000}"/>
    <cellStyle name="Comma 2 3 2" xfId="166" xr:uid="{00000000-0005-0000-0000-00008B000000}"/>
    <cellStyle name="Comma 2 3 3" xfId="167" xr:uid="{00000000-0005-0000-0000-00008C000000}"/>
    <cellStyle name="Comma 2 3 4" xfId="168" xr:uid="{00000000-0005-0000-0000-00008D000000}"/>
    <cellStyle name="Comma 2 3 4 2" xfId="169" xr:uid="{00000000-0005-0000-0000-00008E000000}"/>
    <cellStyle name="Comma 2 3 4 2 2" xfId="170" xr:uid="{00000000-0005-0000-0000-00008F000000}"/>
    <cellStyle name="Comma 2 3 4 3" xfId="171" xr:uid="{00000000-0005-0000-0000-000090000000}"/>
    <cellStyle name="Comma 2 3 4 4" xfId="172" xr:uid="{00000000-0005-0000-0000-000091000000}"/>
    <cellStyle name="Comma 2 3 4 5" xfId="173" xr:uid="{00000000-0005-0000-0000-000092000000}"/>
    <cellStyle name="Comma 2 3 4 5 2" xfId="174" xr:uid="{00000000-0005-0000-0000-000093000000}"/>
    <cellStyle name="Comma 2 3 5" xfId="175" xr:uid="{00000000-0005-0000-0000-000094000000}"/>
    <cellStyle name="Comma 2 4" xfId="176" xr:uid="{00000000-0005-0000-0000-000095000000}"/>
    <cellStyle name="Comma 2 5" xfId="177" xr:uid="{00000000-0005-0000-0000-000096000000}"/>
    <cellStyle name="Comma 20" xfId="178" xr:uid="{00000000-0005-0000-0000-000097000000}"/>
    <cellStyle name="Comma 20 2" xfId="179" xr:uid="{00000000-0005-0000-0000-000098000000}"/>
    <cellStyle name="Comma 20 3" xfId="180" xr:uid="{00000000-0005-0000-0000-000099000000}"/>
    <cellStyle name="Comma 20 3 2" xfId="181" xr:uid="{00000000-0005-0000-0000-00009A000000}"/>
    <cellStyle name="Comma 21" xfId="182" xr:uid="{00000000-0005-0000-0000-00009B000000}"/>
    <cellStyle name="Comma 21 2" xfId="183" xr:uid="{00000000-0005-0000-0000-00009C000000}"/>
    <cellStyle name="Comma 21 3" xfId="184" xr:uid="{00000000-0005-0000-0000-00009D000000}"/>
    <cellStyle name="Comma 21 3 2" xfId="185" xr:uid="{00000000-0005-0000-0000-00009E000000}"/>
    <cellStyle name="Comma 22" xfId="186" xr:uid="{00000000-0005-0000-0000-00009F000000}"/>
    <cellStyle name="Comma 22 2" xfId="187" xr:uid="{00000000-0005-0000-0000-0000A0000000}"/>
    <cellStyle name="Comma 22 3" xfId="188" xr:uid="{00000000-0005-0000-0000-0000A1000000}"/>
    <cellStyle name="Comma 22 3 2" xfId="189" xr:uid="{00000000-0005-0000-0000-0000A2000000}"/>
    <cellStyle name="Comma 23" xfId="190" xr:uid="{00000000-0005-0000-0000-0000A3000000}"/>
    <cellStyle name="Comma 23 2" xfId="191" xr:uid="{00000000-0005-0000-0000-0000A4000000}"/>
    <cellStyle name="Comma 23 3" xfId="192" xr:uid="{00000000-0005-0000-0000-0000A5000000}"/>
    <cellStyle name="Comma 23 3 2" xfId="193" xr:uid="{00000000-0005-0000-0000-0000A6000000}"/>
    <cellStyle name="Comma 24" xfId="194" xr:uid="{00000000-0005-0000-0000-0000A7000000}"/>
    <cellStyle name="Comma 24 2" xfId="195" xr:uid="{00000000-0005-0000-0000-0000A8000000}"/>
    <cellStyle name="Comma 24 3" xfId="196" xr:uid="{00000000-0005-0000-0000-0000A9000000}"/>
    <cellStyle name="Comma 24 3 2" xfId="197" xr:uid="{00000000-0005-0000-0000-0000AA000000}"/>
    <cellStyle name="Comma 25" xfId="198" xr:uid="{00000000-0005-0000-0000-0000AB000000}"/>
    <cellStyle name="Comma 25 2" xfId="199" xr:uid="{00000000-0005-0000-0000-0000AC000000}"/>
    <cellStyle name="Comma 25 3" xfId="200" xr:uid="{00000000-0005-0000-0000-0000AD000000}"/>
    <cellStyle name="Comma 25 3 2" xfId="201" xr:uid="{00000000-0005-0000-0000-0000AE000000}"/>
    <cellStyle name="Comma 26" xfId="202" xr:uid="{00000000-0005-0000-0000-0000AF000000}"/>
    <cellStyle name="Comma 26 2" xfId="203" xr:uid="{00000000-0005-0000-0000-0000B0000000}"/>
    <cellStyle name="Comma 26 3" xfId="204" xr:uid="{00000000-0005-0000-0000-0000B1000000}"/>
    <cellStyle name="Comma 26 3 2" xfId="205" xr:uid="{00000000-0005-0000-0000-0000B2000000}"/>
    <cellStyle name="Comma 27" xfId="206" xr:uid="{00000000-0005-0000-0000-0000B3000000}"/>
    <cellStyle name="Comma 27 2" xfId="207" xr:uid="{00000000-0005-0000-0000-0000B4000000}"/>
    <cellStyle name="Comma 27 3" xfId="208" xr:uid="{00000000-0005-0000-0000-0000B5000000}"/>
    <cellStyle name="Comma 27 3 2" xfId="209" xr:uid="{00000000-0005-0000-0000-0000B6000000}"/>
    <cellStyle name="Comma 28" xfId="210" xr:uid="{00000000-0005-0000-0000-0000B7000000}"/>
    <cellStyle name="Comma 28 2" xfId="211" xr:uid="{00000000-0005-0000-0000-0000B8000000}"/>
    <cellStyle name="Comma 29" xfId="212" xr:uid="{00000000-0005-0000-0000-0000B9000000}"/>
    <cellStyle name="Comma 29 2" xfId="213" xr:uid="{00000000-0005-0000-0000-0000BA000000}"/>
    <cellStyle name="Comma 3" xfId="214" xr:uid="{00000000-0005-0000-0000-0000BB000000}"/>
    <cellStyle name="Comma 3 2" xfId="215" xr:uid="{00000000-0005-0000-0000-0000BC000000}"/>
    <cellStyle name="Comma 3 3" xfId="216" xr:uid="{00000000-0005-0000-0000-0000BD000000}"/>
    <cellStyle name="Comma 3 4" xfId="217" xr:uid="{00000000-0005-0000-0000-0000BE000000}"/>
    <cellStyle name="Comma 30" xfId="218" xr:uid="{00000000-0005-0000-0000-0000BF000000}"/>
    <cellStyle name="Comma 31" xfId="219" xr:uid="{00000000-0005-0000-0000-0000C0000000}"/>
    <cellStyle name="Comma 31 2" xfId="220" xr:uid="{00000000-0005-0000-0000-0000C1000000}"/>
    <cellStyle name="Comma 31 3" xfId="221" xr:uid="{00000000-0005-0000-0000-0000C2000000}"/>
    <cellStyle name="Comma 31 3 2" xfId="222" xr:uid="{00000000-0005-0000-0000-0000C3000000}"/>
    <cellStyle name="Comma 32" xfId="223" xr:uid="{00000000-0005-0000-0000-0000C4000000}"/>
    <cellStyle name="Comma 32 2" xfId="224" xr:uid="{00000000-0005-0000-0000-0000C5000000}"/>
    <cellStyle name="Comma 32 2 2" xfId="225" xr:uid="{00000000-0005-0000-0000-0000C6000000}"/>
    <cellStyle name="Comma 32 3" xfId="226" xr:uid="{00000000-0005-0000-0000-0000C7000000}"/>
    <cellStyle name="Comma 32 4" xfId="227" xr:uid="{00000000-0005-0000-0000-0000C8000000}"/>
    <cellStyle name="Comma 32 4 2" xfId="228" xr:uid="{00000000-0005-0000-0000-0000C9000000}"/>
    <cellStyle name="Comma 33" xfId="229" xr:uid="{00000000-0005-0000-0000-0000CA000000}"/>
    <cellStyle name="Comma 33 2" xfId="230" xr:uid="{00000000-0005-0000-0000-0000CB000000}"/>
    <cellStyle name="Comma 33 3" xfId="231" xr:uid="{00000000-0005-0000-0000-0000CC000000}"/>
    <cellStyle name="Comma 33 3 2" xfId="232" xr:uid="{00000000-0005-0000-0000-0000CD000000}"/>
    <cellStyle name="Comma 34" xfId="233" xr:uid="{00000000-0005-0000-0000-0000CE000000}"/>
    <cellStyle name="Comma 35" xfId="234" xr:uid="{00000000-0005-0000-0000-0000CF000000}"/>
    <cellStyle name="Comma 35 2" xfId="235" xr:uid="{00000000-0005-0000-0000-0000D0000000}"/>
    <cellStyle name="Comma 36" xfId="236" xr:uid="{00000000-0005-0000-0000-0000D1000000}"/>
    <cellStyle name="Comma 37" xfId="237" xr:uid="{00000000-0005-0000-0000-0000D2000000}"/>
    <cellStyle name="Comma 38" xfId="238" xr:uid="{00000000-0005-0000-0000-0000D3000000}"/>
    <cellStyle name="Comma 4" xfId="239" xr:uid="{00000000-0005-0000-0000-0000D4000000}"/>
    <cellStyle name="Comma 4 2" xfId="240" xr:uid="{00000000-0005-0000-0000-0000D5000000}"/>
    <cellStyle name="Comma 4 3" xfId="241" xr:uid="{00000000-0005-0000-0000-0000D6000000}"/>
    <cellStyle name="Comma 4 4" xfId="242" xr:uid="{00000000-0005-0000-0000-0000D7000000}"/>
    <cellStyle name="Comma 4 5" xfId="243" xr:uid="{00000000-0005-0000-0000-0000D8000000}"/>
    <cellStyle name="Comma 5" xfId="244" xr:uid="{00000000-0005-0000-0000-0000D9000000}"/>
    <cellStyle name="Comma 5 2" xfId="245" xr:uid="{00000000-0005-0000-0000-0000DA000000}"/>
    <cellStyle name="Comma 5 3" xfId="246" xr:uid="{00000000-0005-0000-0000-0000DB000000}"/>
    <cellStyle name="Comma 5 4" xfId="247" xr:uid="{00000000-0005-0000-0000-0000DC000000}"/>
    <cellStyle name="Comma 5 5" xfId="248" xr:uid="{00000000-0005-0000-0000-0000DD000000}"/>
    <cellStyle name="Comma 5 6" xfId="249" xr:uid="{00000000-0005-0000-0000-0000DE000000}"/>
    <cellStyle name="Comma 6" xfId="250" xr:uid="{00000000-0005-0000-0000-0000DF000000}"/>
    <cellStyle name="Comma 6 2" xfId="251" xr:uid="{00000000-0005-0000-0000-0000E0000000}"/>
    <cellStyle name="Comma 6 3" xfId="252" xr:uid="{00000000-0005-0000-0000-0000E1000000}"/>
    <cellStyle name="Comma 6 4" xfId="253" xr:uid="{00000000-0005-0000-0000-0000E2000000}"/>
    <cellStyle name="Comma 6 4 2" xfId="254" xr:uid="{00000000-0005-0000-0000-0000E3000000}"/>
    <cellStyle name="Comma 6 4 2 2" xfId="255" xr:uid="{00000000-0005-0000-0000-0000E4000000}"/>
    <cellStyle name="Comma 6 4 3" xfId="256" xr:uid="{00000000-0005-0000-0000-0000E5000000}"/>
    <cellStyle name="Comma 6 4 4" xfId="257" xr:uid="{00000000-0005-0000-0000-0000E6000000}"/>
    <cellStyle name="Comma 6 4 5" xfId="258" xr:uid="{00000000-0005-0000-0000-0000E7000000}"/>
    <cellStyle name="Comma 6 4 5 2" xfId="259" xr:uid="{00000000-0005-0000-0000-0000E8000000}"/>
    <cellStyle name="Comma 6 5" xfId="260" xr:uid="{00000000-0005-0000-0000-0000E9000000}"/>
    <cellStyle name="Comma 7" xfId="261" xr:uid="{00000000-0005-0000-0000-0000EA000000}"/>
    <cellStyle name="Comma 7 2" xfId="262" xr:uid="{00000000-0005-0000-0000-0000EB000000}"/>
    <cellStyle name="Comma 7 2 2" xfId="263" xr:uid="{00000000-0005-0000-0000-0000EC000000}"/>
    <cellStyle name="Comma 7 2 2 2" xfId="264" xr:uid="{00000000-0005-0000-0000-0000ED000000}"/>
    <cellStyle name="Comma 7 2 2 2 2" xfId="265" xr:uid="{00000000-0005-0000-0000-0000EE000000}"/>
    <cellStyle name="Comma 7 2 2 3" xfId="266" xr:uid="{00000000-0005-0000-0000-0000EF000000}"/>
    <cellStyle name="Comma 7 2 2 3 2" xfId="267" xr:uid="{00000000-0005-0000-0000-0000F0000000}"/>
    <cellStyle name="Comma 7 2 2 3 2 2" xfId="268" xr:uid="{00000000-0005-0000-0000-0000F1000000}"/>
    <cellStyle name="Comma 7 2 2 3 3" xfId="269" xr:uid="{00000000-0005-0000-0000-0000F2000000}"/>
    <cellStyle name="Comma 7 2 2 4" xfId="270" xr:uid="{00000000-0005-0000-0000-0000F3000000}"/>
    <cellStyle name="Comma 7 2 3" xfId="271" xr:uid="{00000000-0005-0000-0000-0000F4000000}"/>
    <cellStyle name="Comma 7 3" xfId="272" xr:uid="{00000000-0005-0000-0000-0000F5000000}"/>
    <cellStyle name="Comma 7 3 2" xfId="273" xr:uid="{00000000-0005-0000-0000-0000F6000000}"/>
    <cellStyle name="Comma 7 3 2 2" xfId="274" xr:uid="{00000000-0005-0000-0000-0000F7000000}"/>
    <cellStyle name="Comma 7 3 3" xfId="275" xr:uid="{00000000-0005-0000-0000-0000F8000000}"/>
    <cellStyle name="Comma 7 3 3 2" xfId="276" xr:uid="{00000000-0005-0000-0000-0000F9000000}"/>
    <cellStyle name="Comma 7 3 3 2 2" xfId="277" xr:uid="{00000000-0005-0000-0000-0000FA000000}"/>
    <cellStyle name="Comma 7 3 3 3" xfId="278" xr:uid="{00000000-0005-0000-0000-0000FB000000}"/>
    <cellStyle name="Comma 7 3 4" xfId="279" xr:uid="{00000000-0005-0000-0000-0000FC000000}"/>
    <cellStyle name="Comma 7 4" xfId="280" xr:uid="{00000000-0005-0000-0000-0000FD000000}"/>
    <cellStyle name="Comma 7 4 2" xfId="281" xr:uid="{00000000-0005-0000-0000-0000FE000000}"/>
    <cellStyle name="Comma 7 5" xfId="282" xr:uid="{00000000-0005-0000-0000-0000FF000000}"/>
    <cellStyle name="Comma 7 5 2" xfId="283" xr:uid="{00000000-0005-0000-0000-000000010000}"/>
    <cellStyle name="Comma 7 5 2 2" xfId="284" xr:uid="{00000000-0005-0000-0000-000001010000}"/>
    <cellStyle name="Comma 7 5 3" xfId="285" xr:uid="{00000000-0005-0000-0000-000002010000}"/>
    <cellStyle name="Comma 7 6" xfId="286" xr:uid="{00000000-0005-0000-0000-000003010000}"/>
    <cellStyle name="Comma 8" xfId="287" xr:uid="{00000000-0005-0000-0000-000004010000}"/>
    <cellStyle name="Comma 8 2" xfId="288" xr:uid="{00000000-0005-0000-0000-000005010000}"/>
    <cellStyle name="Comma 8 2 2" xfId="289" xr:uid="{00000000-0005-0000-0000-000006010000}"/>
    <cellStyle name="Comma 8 2 3" xfId="290" xr:uid="{00000000-0005-0000-0000-000007010000}"/>
    <cellStyle name="Comma 8 2 4" xfId="291" xr:uid="{00000000-0005-0000-0000-000008010000}"/>
    <cellStyle name="Comma 8 2 4 10" xfId="292" xr:uid="{00000000-0005-0000-0000-000009010000}"/>
    <cellStyle name="Comma 8 2 4 11" xfId="293" xr:uid="{00000000-0005-0000-0000-00000A010000}"/>
    <cellStyle name="Comma 8 2 4 11 2" xfId="294" xr:uid="{00000000-0005-0000-0000-00000B010000}"/>
    <cellStyle name="Comma 8 2 4 11 2 2" xfId="295" xr:uid="{00000000-0005-0000-0000-00000C010000}"/>
    <cellStyle name="Comma 8 2 4 11 2 3" xfId="296" xr:uid="{00000000-0005-0000-0000-00000D010000}"/>
    <cellStyle name="Comma 8 2 4 11 2 3 2" xfId="297" xr:uid="{00000000-0005-0000-0000-00000E010000}"/>
    <cellStyle name="Comma 8 2 4 2" xfId="298" xr:uid="{00000000-0005-0000-0000-00000F010000}"/>
    <cellStyle name="Comma 8 2 4 3" xfId="299" xr:uid="{00000000-0005-0000-0000-000010010000}"/>
    <cellStyle name="Comma 8 2 4 4" xfId="300" xr:uid="{00000000-0005-0000-0000-000011010000}"/>
    <cellStyle name="Comma 8 2 4 5" xfId="301" xr:uid="{00000000-0005-0000-0000-000012010000}"/>
    <cellStyle name="Comma 8 2 4 5 2" xfId="302" xr:uid="{00000000-0005-0000-0000-000013010000}"/>
    <cellStyle name="Comma 8 2 4 5 2 2" xfId="303" xr:uid="{00000000-0005-0000-0000-000014010000}"/>
    <cellStyle name="Comma 8 2 4 5 2 3" xfId="304" xr:uid="{00000000-0005-0000-0000-000015010000}"/>
    <cellStyle name="Comma 8 2 4 6" xfId="305" xr:uid="{00000000-0005-0000-0000-000016010000}"/>
    <cellStyle name="Comma 8 2 4 7" xfId="306" xr:uid="{00000000-0005-0000-0000-000017010000}"/>
    <cellStyle name="Comma 8 2 4 8" xfId="307" xr:uid="{00000000-0005-0000-0000-000018010000}"/>
    <cellStyle name="Comma 8 2 4 9" xfId="308" xr:uid="{00000000-0005-0000-0000-000019010000}"/>
    <cellStyle name="Comma 8 2 4 9 2" xfId="309" xr:uid="{00000000-0005-0000-0000-00001A010000}"/>
    <cellStyle name="Comma 8 2 4 9 2 2" xfId="310" xr:uid="{00000000-0005-0000-0000-00001B010000}"/>
    <cellStyle name="Comma 8 2 4 9 2 3" xfId="311" xr:uid="{00000000-0005-0000-0000-00001C010000}"/>
    <cellStyle name="Comma 8 2 4 9 2 3 2" xfId="312" xr:uid="{00000000-0005-0000-0000-00001D010000}"/>
    <cellStyle name="Comma 8 2 5" xfId="313" xr:uid="{00000000-0005-0000-0000-00001E010000}"/>
    <cellStyle name="Comma 8 2 5 2" xfId="314" xr:uid="{00000000-0005-0000-0000-00001F010000}"/>
    <cellStyle name="Comma 8 2 5 3" xfId="315" xr:uid="{00000000-0005-0000-0000-000020010000}"/>
    <cellStyle name="Comma 8 2 5 4" xfId="316" xr:uid="{00000000-0005-0000-0000-000021010000}"/>
    <cellStyle name="Comma 8 2 6" xfId="317" xr:uid="{00000000-0005-0000-0000-000022010000}"/>
    <cellStyle name="Comma 8 2 6 2" xfId="318" xr:uid="{00000000-0005-0000-0000-000023010000}"/>
    <cellStyle name="Comma 8 2 6 2 2" xfId="319" xr:uid="{00000000-0005-0000-0000-000024010000}"/>
    <cellStyle name="Comma 8 2 6 2 3" xfId="320" xr:uid="{00000000-0005-0000-0000-000025010000}"/>
    <cellStyle name="Comma 8 2 6 2 3 2" xfId="321" xr:uid="{00000000-0005-0000-0000-000026010000}"/>
    <cellStyle name="Comma 8 2 6 3" xfId="322" xr:uid="{00000000-0005-0000-0000-000027010000}"/>
    <cellStyle name="Comma 8 2 7" xfId="323" xr:uid="{00000000-0005-0000-0000-000028010000}"/>
    <cellStyle name="Comma 8 2 7 2" xfId="324" xr:uid="{00000000-0005-0000-0000-000029010000}"/>
    <cellStyle name="Comma 8 2 7 3" xfId="325" xr:uid="{00000000-0005-0000-0000-00002A010000}"/>
    <cellStyle name="Comma 8 2 7 3 2" xfId="326" xr:uid="{00000000-0005-0000-0000-00002B010000}"/>
    <cellStyle name="Comma 8 2 8" xfId="327" xr:uid="{00000000-0005-0000-0000-00002C010000}"/>
    <cellStyle name="Comma 8 2 9" xfId="328" xr:uid="{00000000-0005-0000-0000-00002D010000}"/>
    <cellStyle name="Comma 8 2 9 2" xfId="329" xr:uid="{00000000-0005-0000-0000-00002E010000}"/>
    <cellStyle name="Comma 8 3" xfId="330" xr:uid="{00000000-0005-0000-0000-00002F010000}"/>
    <cellStyle name="Comma 8 4" xfId="331" xr:uid="{00000000-0005-0000-0000-000030010000}"/>
    <cellStyle name="Comma 8 5" xfId="332" xr:uid="{00000000-0005-0000-0000-000031010000}"/>
    <cellStyle name="Comma 8 5 2" xfId="333" xr:uid="{00000000-0005-0000-0000-000032010000}"/>
    <cellStyle name="Comma 8 6" xfId="334" xr:uid="{00000000-0005-0000-0000-000033010000}"/>
    <cellStyle name="Comma 8 6 2" xfId="335" xr:uid="{00000000-0005-0000-0000-000034010000}"/>
    <cellStyle name="Comma 9" xfId="336" xr:uid="{00000000-0005-0000-0000-000035010000}"/>
    <cellStyle name="Comma 9 2" xfId="337" xr:uid="{00000000-0005-0000-0000-000036010000}"/>
    <cellStyle name="Comma 9 2 2" xfId="338" xr:uid="{00000000-0005-0000-0000-000037010000}"/>
    <cellStyle name="Comma 9 2 3" xfId="339" xr:uid="{00000000-0005-0000-0000-000038010000}"/>
    <cellStyle name="Comma 9 2 3 2" xfId="340" xr:uid="{00000000-0005-0000-0000-000039010000}"/>
    <cellStyle name="Comma 9 2 3 3" xfId="341" xr:uid="{00000000-0005-0000-0000-00003A010000}"/>
    <cellStyle name="Comma 9 2 3 4" xfId="342" xr:uid="{00000000-0005-0000-0000-00003B010000}"/>
    <cellStyle name="Comma 9 2 4" xfId="343" xr:uid="{00000000-0005-0000-0000-00003C010000}"/>
    <cellStyle name="Comma 9 2 4 2" xfId="344" xr:uid="{00000000-0005-0000-0000-00003D010000}"/>
    <cellStyle name="Comma 9 2 4 2 2" xfId="345" xr:uid="{00000000-0005-0000-0000-00003E010000}"/>
    <cellStyle name="Comma 9 2 4 2 3" xfId="346" xr:uid="{00000000-0005-0000-0000-00003F010000}"/>
    <cellStyle name="Comma 9 2 4 2 3 2" xfId="347" xr:uid="{00000000-0005-0000-0000-000040010000}"/>
    <cellStyle name="Comma 9 2 4 3" xfId="348" xr:uid="{00000000-0005-0000-0000-000041010000}"/>
    <cellStyle name="Comma 9 2 5" xfId="349" xr:uid="{00000000-0005-0000-0000-000042010000}"/>
    <cellStyle name="Comma 9 2 5 2" xfId="350" xr:uid="{00000000-0005-0000-0000-000043010000}"/>
    <cellStyle name="Comma 9 2 5 3" xfId="351" xr:uid="{00000000-0005-0000-0000-000044010000}"/>
    <cellStyle name="Comma 9 2 5 3 2" xfId="352" xr:uid="{00000000-0005-0000-0000-000045010000}"/>
    <cellStyle name="Comma 9 2 6" xfId="353" xr:uid="{00000000-0005-0000-0000-000046010000}"/>
    <cellStyle name="Comma 9 2 7" xfId="354" xr:uid="{00000000-0005-0000-0000-000047010000}"/>
    <cellStyle name="Comma 9 2 7 2" xfId="355" xr:uid="{00000000-0005-0000-0000-000048010000}"/>
    <cellStyle name="Comma 9 3" xfId="356" xr:uid="{00000000-0005-0000-0000-000049010000}"/>
    <cellStyle name="Comma 9 4" xfId="357" xr:uid="{00000000-0005-0000-0000-00004A010000}"/>
    <cellStyle name="Comma 9 5" xfId="358" xr:uid="{00000000-0005-0000-0000-00004B010000}"/>
    <cellStyle name="Comma 9 6" xfId="359" xr:uid="{00000000-0005-0000-0000-00004C010000}"/>
    <cellStyle name="Comma 9 6 10" xfId="360" xr:uid="{00000000-0005-0000-0000-00004D010000}"/>
    <cellStyle name="Comma 9 6 11" xfId="361" xr:uid="{00000000-0005-0000-0000-00004E010000}"/>
    <cellStyle name="Comma 9 6 11 2" xfId="362" xr:uid="{00000000-0005-0000-0000-00004F010000}"/>
    <cellStyle name="Comma 9 6 11 2 2" xfId="363" xr:uid="{00000000-0005-0000-0000-000050010000}"/>
    <cellStyle name="Comma 9 6 11 2 3" xfId="364" xr:uid="{00000000-0005-0000-0000-000051010000}"/>
    <cellStyle name="Comma 9 6 11 2 3 2" xfId="365" xr:uid="{00000000-0005-0000-0000-000052010000}"/>
    <cellStyle name="Comma 9 6 2" xfId="366" xr:uid="{00000000-0005-0000-0000-000053010000}"/>
    <cellStyle name="Comma 9 6 3" xfId="367" xr:uid="{00000000-0005-0000-0000-000054010000}"/>
    <cellStyle name="Comma 9 6 4" xfId="368" xr:uid="{00000000-0005-0000-0000-000055010000}"/>
    <cellStyle name="Comma 9 6 5" xfId="369" xr:uid="{00000000-0005-0000-0000-000056010000}"/>
    <cellStyle name="Comma 9 6 5 2" xfId="370" xr:uid="{00000000-0005-0000-0000-000057010000}"/>
    <cellStyle name="Comma 9 6 5 2 2" xfId="371" xr:uid="{00000000-0005-0000-0000-000058010000}"/>
    <cellStyle name="Comma 9 6 5 2 3" xfId="372" xr:uid="{00000000-0005-0000-0000-000059010000}"/>
    <cellStyle name="Comma 9 6 6" xfId="373" xr:uid="{00000000-0005-0000-0000-00005A010000}"/>
    <cellStyle name="Comma 9 6 7" xfId="374" xr:uid="{00000000-0005-0000-0000-00005B010000}"/>
    <cellStyle name="Comma 9 6 8" xfId="375" xr:uid="{00000000-0005-0000-0000-00005C010000}"/>
    <cellStyle name="Comma 9 6 9" xfId="376" xr:uid="{00000000-0005-0000-0000-00005D010000}"/>
    <cellStyle name="Comma 9 6 9 2" xfId="377" xr:uid="{00000000-0005-0000-0000-00005E010000}"/>
    <cellStyle name="Comma 9 6 9 2 2" xfId="378" xr:uid="{00000000-0005-0000-0000-00005F010000}"/>
    <cellStyle name="Comma 9 6 9 2 3" xfId="379" xr:uid="{00000000-0005-0000-0000-000060010000}"/>
    <cellStyle name="Comma 9 6 9 2 3 2" xfId="380" xr:uid="{00000000-0005-0000-0000-000061010000}"/>
    <cellStyle name="Currency" xfId="54" builtinId="4"/>
    <cellStyle name="Currency 2" xfId="3" xr:uid="{00000000-0005-0000-0000-000063010000}"/>
    <cellStyle name="Currency 3" xfId="381" xr:uid="{00000000-0005-0000-0000-000064010000}"/>
    <cellStyle name="Currency 4" xfId="382" xr:uid="{00000000-0005-0000-0000-000065010000}"/>
    <cellStyle name="Currency 4 2" xfId="383" xr:uid="{00000000-0005-0000-0000-000066010000}"/>
    <cellStyle name="Currency 4 3" xfId="384" xr:uid="{00000000-0005-0000-0000-000067010000}"/>
    <cellStyle name="Currency 4 3 2" xfId="385" xr:uid="{00000000-0005-0000-0000-000068010000}"/>
    <cellStyle name="Currency 5" xfId="386" xr:uid="{00000000-0005-0000-0000-000069010000}"/>
    <cellStyle name="Currency 5 2" xfId="387" xr:uid="{00000000-0005-0000-0000-00006A010000}"/>
    <cellStyle name="Currency 5 3" xfId="388" xr:uid="{00000000-0005-0000-0000-00006B010000}"/>
    <cellStyle name="Currency 5 3 2" xfId="389" xr:uid="{00000000-0005-0000-0000-00006C010000}"/>
    <cellStyle name="Currency 6" xfId="390" xr:uid="{00000000-0005-0000-0000-00006D010000}"/>
    <cellStyle name="Currency 7" xfId="391" xr:uid="{00000000-0005-0000-0000-00006E010000}"/>
    <cellStyle name="Currency 7 2" xfId="392" xr:uid="{00000000-0005-0000-0000-00006F010000}"/>
    <cellStyle name="Explanatory Text 2" xfId="39" xr:uid="{00000000-0005-0000-0000-000070010000}"/>
    <cellStyle name="Good 2" xfId="40" xr:uid="{00000000-0005-0000-0000-000071010000}"/>
    <cellStyle name="Heading 1 2" xfId="41" xr:uid="{00000000-0005-0000-0000-000072010000}"/>
    <cellStyle name="Heading 2 2" xfId="42" xr:uid="{00000000-0005-0000-0000-000073010000}"/>
    <cellStyle name="Heading 3 2" xfId="43" xr:uid="{00000000-0005-0000-0000-000074010000}"/>
    <cellStyle name="Heading 4 2" xfId="44" xr:uid="{00000000-0005-0000-0000-000075010000}"/>
    <cellStyle name="Input 2" xfId="45" xr:uid="{00000000-0005-0000-0000-000076010000}"/>
    <cellStyle name="Linked Cell 2" xfId="46" xr:uid="{00000000-0005-0000-0000-000077010000}"/>
    <cellStyle name="Neutral 2" xfId="47" xr:uid="{00000000-0005-0000-0000-000078010000}"/>
    <cellStyle name="Normal" xfId="0" builtinId="0"/>
    <cellStyle name="Normal 10" xfId="393" xr:uid="{00000000-0005-0000-0000-00007A010000}"/>
    <cellStyle name="Normal 11" xfId="394" xr:uid="{00000000-0005-0000-0000-00007B010000}"/>
    <cellStyle name="Normal 12" xfId="395" xr:uid="{00000000-0005-0000-0000-00007C010000}"/>
    <cellStyle name="Normal 13" xfId="396" xr:uid="{00000000-0005-0000-0000-00007D010000}"/>
    <cellStyle name="Normal 13 2" xfId="788" xr:uid="{00000000-0005-0000-0000-00007E010000}"/>
    <cellStyle name="Normal 14" xfId="397" xr:uid="{00000000-0005-0000-0000-00007F010000}"/>
    <cellStyle name="Normal 2" xfId="2" xr:uid="{00000000-0005-0000-0000-000080010000}"/>
    <cellStyle name="Normal 2 2" xfId="56" xr:uid="{00000000-0005-0000-0000-000081010000}"/>
    <cellStyle name="Normal 2 2 2" xfId="398" xr:uid="{00000000-0005-0000-0000-000082010000}"/>
    <cellStyle name="Normal 2 2 3" xfId="399" xr:uid="{00000000-0005-0000-0000-000083010000}"/>
    <cellStyle name="Normal 2 2 4" xfId="400" xr:uid="{00000000-0005-0000-0000-000084010000}"/>
    <cellStyle name="Normal 2 2 4 2" xfId="401" xr:uid="{00000000-0005-0000-0000-000085010000}"/>
    <cellStyle name="Normal 2 2 4 2 2" xfId="402" xr:uid="{00000000-0005-0000-0000-000086010000}"/>
    <cellStyle name="Normal 2 2 4 3" xfId="403" xr:uid="{00000000-0005-0000-0000-000087010000}"/>
    <cellStyle name="Normal 2 2 4 4" xfId="404" xr:uid="{00000000-0005-0000-0000-000088010000}"/>
    <cellStyle name="Normal 2 2 4 5" xfId="405" xr:uid="{00000000-0005-0000-0000-000089010000}"/>
    <cellStyle name="Normal 2 2 4 5 2" xfId="406" xr:uid="{00000000-0005-0000-0000-00008A010000}"/>
    <cellStyle name="Normal 2 2 5" xfId="407" xr:uid="{00000000-0005-0000-0000-00008B010000}"/>
    <cellStyle name="Normal 2 2 6" xfId="408" xr:uid="{00000000-0005-0000-0000-00008C010000}"/>
    <cellStyle name="Normal 2 3" xfId="409" xr:uid="{00000000-0005-0000-0000-00008D010000}"/>
    <cellStyle name="Normal 2 4" xfId="410" xr:uid="{00000000-0005-0000-0000-00008E010000}"/>
    <cellStyle name="Normal 3" xfId="11" xr:uid="{00000000-0005-0000-0000-00008F010000}"/>
    <cellStyle name="Normal 3 2" xfId="55" xr:uid="{00000000-0005-0000-0000-000090010000}"/>
    <cellStyle name="Normal 3 2 2" xfId="411" xr:uid="{00000000-0005-0000-0000-000091010000}"/>
    <cellStyle name="Normal 3 3" xfId="412" xr:uid="{00000000-0005-0000-0000-000092010000}"/>
    <cellStyle name="Normal 3 3 2" xfId="413" xr:uid="{00000000-0005-0000-0000-000093010000}"/>
    <cellStyle name="Normal 3 4" xfId="414" xr:uid="{00000000-0005-0000-0000-000094010000}"/>
    <cellStyle name="Normal 4" xfId="415" xr:uid="{00000000-0005-0000-0000-000095010000}"/>
    <cellStyle name="Normal 4 2" xfId="416" xr:uid="{00000000-0005-0000-0000-000096010000}"/>
    <cellStyle name="Normal 4 3" xfId="417" xr:uid="{00000000-0005-0000-0000-000097010000}"/>
    <cellStyle name="Normal 4 3 2" xfId="418" xr:uid="{00000000-0005-0000-0000-000098010000}"/>
    <cellStyle name="Normal 4 3 3" xfId="419" xr:uid="{00000000-0005-0000-0000-000099010000}"/>
    <cellStyle name="Normal 5" xfId="420" xr:uid="{00000000-0005-0000-0000-00009A010000}"/>
    <cellStyle name="Normal 5 2" xfId="421" xr:uid="{00000000-0005-0000-0000-00009B010000}"/>
    <cellStyle name="Normal 5 2 2" xfId="422" xr:uid="{00000000-0005-0000-0000-00009C010000}"/>
    <cellStyle name="Normal 5 2 3" xfId="423" xr:uid="{00000000-0005-0000-0000-00009D010000}"/>
    <cellStyle name="Normal 5 2 3 2" xfId="424" xr:uid="{00000000-0005-0000-0000-00009E010000}"/>
    <cellStyle name="Normal 5 3" xfId="425" xr:uid="{00000000-0005-0000-0000-00009F010000}"/>
    <cellStyle name="Normal 5 4" xfId="426" xr:uid="{00000000-0005-0000-0000-0000A0010000}"/>
    <cellStyle name="Normal 6" xfId="427" xr:uid="{00000000-0005-0000-0000-0000A1010000}"/>
    <cellStyle name="Normal 6 2" xfId="428" xr:uid="{00000000-0005-0000-0000-0000A2010000}"/>
    <cellStyle name="Normal 7" xfId="429" xr:uid="{00000000-0005-0000-0000-0000A3010000}"/>
    <cellStyle name="Normal 7 2" xfId="430" xr:uid="{00000000-0005-0000-0000-0000A4010000}"/>
    <cellStyle name="Normal 7 3" xfId="431" xr:uid="{00000000-0005-0000-0000-0000A5010000}"/>
    <cellStyle name="Normal 7 3 2" xfId="432" xr:uid="{00000000-0005-0000-0000-0000A6010000}"/>
    <cellStyle name="Normal 8" xfId="433" xr:uid="{00000000-0005-0000-0000-0000A7010000}"/>
    <cellStyle name="Normal 9" xfId="434" xr:uid="{00000000-0005-0000-0000-0000A8010000}"/>
    <cellStyle name="Normal 9 2" xfId="435" xr:uid="{00000000-0005-0000-0000-0000A9010000}"/>
    <cellStyle name="Normal_Summary" xfId="787" xr:uid="{00000000-0005-0000-0000-0000AA010000}"/>
    <cellStyle name="Note 2" xfId="48" xr:uid="{00000000-0005-0000-0000-0000AB010000}"/>
    <cellStyle name="Output 2" xfId="49" xr:uid="{00000000-0005-0000-0000-0000AC010000}"/>
    <cellStyle name="Percent" xfId="785" builtinId="5"/>
    <cellStyle name="Percent 10" xfId="436" xr:uid="{00000000-0005-0000-0000-0000AE010000}"/>
    <cellStyle name="Percent 10 2" xfId="437" xr:uid="{00000000-0005-0000-0000-0000AF010000}"/>
    <cellStyle name="Percent 10 3" xfId="438" xr:uid="{00000000-0005-0000-0000-0000B0010000}"/>
    <cellStyle name="Percent 10 3 2" xfId="439" xr:uid="{00000000-0005-0000-0000-0000B1010000}"/>
    <cellStyle name="Percent 10 3 3" xfId="440" xr:uid="{00000000-0005-0000-0000-0000B2010000}"/>
    <cellStyle name="Percent 10 3 3 2" xfId="441" xr:uid="{00000000-0005-0000-0000-0000B3010000}"/>
    <cellStyle name="Percent 11" xfId="442" xr:uid="{00000000-0005-0000-0000-0000B4010000}"/>
    <cellStyle name="Percent 11 2" xfId="443" xr:uid="{00000000-0005-0000-0000-0000B5010000}"/>
    <cellStyle name="Percent 11 3" xfId="444" xr:uid="{00000000-0005-0000-0000-0000B6010000}"/>
    <cellStyle name="Percent 11 3 2" xfId="445" xr:uid="{00000000-0005-0000-0000-0000B7010000}"/>
    <cellStyle name="Percent 12" xfId="446" xr:uid="{00000000-0005-0000-0000-0000B8010000}"/>
    <cellStyle name="Percent 12 2" xfId="447" xr:uid="{00000000-0005-0000-0000-0000B9010000}"/>
    <cellStyle name="Percent 12 3" xfId="448" xr:uid="{00000000-0005-0000-0000-0000BA010000}"/>
    <cellStyle name="Percent 12 3 2" xfId="449" xr:uid="{00000000-0005-0000-0000-0000BB010000}"/>
    <cellStyle name="Percent 13" xfId="450" xr:uid="{00000000-0005-0000-0000-0000BC010000}"/>
    <cellStyle name="Percent 13 2" xfId="451" xr:uid="{00000000-0005-0000-0000-0000BD010000}"/>
    <cellStyle name="Percent 13 3" xfId="452" xr:uid="{00000000-0005-0000-0000-0000BE010000}"/>
    <cellStyle name="Percent 13 3 2" xfId="453" xr:uid="{00000000-0005-0000-0000-0000BF010000}"/>
    <cellStyle name="Percent 14" xfId="454" xr:uid="{00000000-0005-0000-0000-0000C0010000}"/>
    <cellStyle name="Percent 14 2" xfId="455" xr:uid="{00000000-0005-0000-0000-0000C1010000}"/>
    <cellStyle name="Percent 14 3" xfId="456" xr:uid="{00000000-0005-0000-0000-0000C2010000}"/>
    <cellStyle name="Percent 14 3 2" xfId="457" xr:uid="{00000000-0005-0000-0000-0000C3010000}"/>
    <cellStyle name="Percent 15" xfId="458" xr:uid="{00000000-0005-0000-0000-0000C4010000}"/>
    <cellStyle name="Percent 15 2" xfId="459" xr:uid="{00000000-0005-0000-0000-0000C5010000}"/>
    <cellStyle name="Percent 15 3" xfId="460" xr:uid="{00000000-0005-0000-0000-0000C6010000}"/>
    <cellStyle name="Percent 15 3 2" xfId="461" xr:uid="{00000000-0005-0000-0000-0000C7010000}"/>
    <cellStyle name="Percent 16" xfId="462" xr:uid="{00000000-0005-0000-0000-0000C8010000}"/>
    <cellStyle name="Percent 16 2" xfId="463" xr:uid="{00000000-0005-0000-0000-0000C9010000}"/>
    <cellStyle name="Percent 16 3" xfId="464" xr:uid="{00000000-0005-0000-0000-0000CA010000}"/>
    <cellStyle name="Percent 16 3 2" xfId="465" xr:uid="{00000000-0005-0000-0000-0000CB010000}"/>
    <cellStyle name="Percent 17" xfId="466" xr:uid="{00000000-0005-0000-0000-0000CC010000}"/>
    <cellStyle name="Percent 17 2" xfId="467" xr:uid="{00000000-0005-0000-0000-0000CD010000}"/>
    <cellStyle name="Percent 17 3" xfId="468" xr:uid="{00000000-0005-0000-0000-0000CE010000}"/>
    <cellStyle name="Percent 17 3 2" xfId="469" xr:uid="{00000000-0005-0000-0000-0000CF010000}"/>
    <cellStyle name="Percent 18" xfId="470" xr:uid="{00000000-0005-0000-0000-0000D0010000}"/>
    <cellStyle name="Percent 18 2" xfId="471" xr:uid="{00000000-0005-0000-0000-0000D1010000}"/>
    <cellStyle name="Percent 18 3" xfId="472" xr:uid="{00000000-0005-0000-0000-0000D2010000}"/>
    <cellStyle name="Percent 18 3 2" xfId="473" xr:uid="{00000000-0005-0000-0000-0000D3010000}"/>
    <cellStyle name="Percent 19" xfId="474" xr:uid="{00000000-0005-0000-0000-0000D4010000}"/>
    <cellStyle name="Percent 19 2" xfId="475" xr:uid="{00000000-0005-0000-0000-0000D5010000}"/>
    <cellStyle name="Percent 19 3" xfId="476" xr:uid="{00000000-0005-0000-0000-0000D6010000}"/>
    <cellStyle name="Percent 19 3 2" xfId="477" xr:uid="{00000000-0005-0000-0000-0000D7010000}"/>
    <cellStyle name="Percent 2" xfId="53" xr:uid="{00000000-0005-0000-0000-0000D8010000}"/>
    <cellStyle name="Percent 2 2" xfId="478" xr:uid="{00000000-0005-0000-0000-0000D9010000}"/>
    <cellStyle name="Percent 2 2 2" xfId="479" xr:uid="{00000000-0005-0000-0000-0000DA010000}"/>
    <cellStyle name="Percent 2 2 2 2" xfId="480" xr:uid="{00000000-0005-0000-0000-0000DB010000}"/>
    <cellStyle name="Percent 2 2 2 3" xfId="481" xr:uid="{00000000-0005-0000-0000-0000DC010000}"/>
    <cellStyle name="Percent 2 2 2 3 2" xfId="482" xr:uid="{00000000-0005-0000-0000-0000DD010000}"/>
    <cellStyle name="Percent 2 2 2 3 3" xfId="483" xr:uid="{00000000-0005-0000-0000-0000DE010000}"/>
    <cellStyle name="Percent 2 2 2 3 3 2" xfId="484" xr:uid="{00000000-0005-0000-0000-0000DF010000}"/>
    <cellStyle name="Percent 2 2 2 3 3 3" xfId="485" xr:uid="{00000000-0005-0000-0000-0000E0010000}"/>
    <cellStyle name="Percent 2 2 2 3 3 4" xfId="486" xr:uid="{00000000-0005-0000-0000-0000E1010000}"/>
    <cellStyle name="Percent 2 2 2 3 4" xfId="487" xr:uid="{00000000-0005-0000-0000-0000E2010000}"/>
    <cellStyle name="Percent 2 2 2 3 4 2" xfId="488" xr:uid="{00000000-0005-0000-0000-0000E3010000}"/>
    <cellStyle name="Percent 2 2 2 3 4 2 2" xfId="489" xr:uid="{00000000-0005-0000-0000-0000E4010000}"/>
    <cellStyle name="Percent 2 2 2 3 4 2 3" xfId="490" xr:uid="{00000000-0005-0000-0000-0000E5010000}"/>
    <cellStyle name="Percent 2 2 2 3 4 2 3 2" xfId="491" xr:uid="{00000000-0005-0000-0000-0000E6010000}"/>
    <cellStyle name="Percent 2 2 2 3 4 3" xfId="492" xr:uid="{00000000-0005-0000-0000-0000E7010000}"/>
    <cellStyle name="Percent 2 2 2 3 5" xfId="493" xr:uid="{00000000-0005-0000-0000-0000E8010000}"/>
    <cellStyle name="Percent 2 2 2 3 5 2" xfId="494" xr:uid="{00000000-0005-0000-0000-0000E9010000}"/>
    <cellStyle name="Percent 2 2 2 3 5 3" xfId="495" xr:uid="{00000000-0005-0000-0000-0000EA010000}"/>
    <cellStyle name="Percent 2 2 2 3 5 3 2" xfId="496" xr:uid="{00000000-0005-0000-0000-0000EB010000}"/>
    <cellStyle name="Percent 2 2 2 3 6" xfId="497" xr:uid="{00000000-0005-0000-0000-0000EC010000}"/>
    <cellStyle name="Percent 2 2 2 3 7" xfId="498" xr:uid="{00000000-0005-0000-0000-0000ED010000}"/>
    <cellStyle name="Percent 2 2 2 3 7 2" xfId="499" xr:uid="{00000000-0005-0000-0000-0000EE010000}"/>
    <cellStyle name="Percent 2 2 2 4" xfId="500" xr:uid="{00000000-0005-0000-0000-0000EF010000}"/>
    <cellStyle name="Percent 2 2 2 4 2" xfId="501" xr:uid="{00000000-0005-0000-0000-0000F0010000}"/>
    <cellStyle name="Percent 2 2 2 4 2 2" xfId="502" xr:uid="{00000000-0005-0000-0000-0000F1010000}"/>
    <cellStyle name="Percent 2 2 2 4 2 3" xfId="503" xr:uid="{00000000-0005-0000-0000-0000F2010000}"/>
    <cellStyle name="Percent 2 2 2 4 2 3 2" xfId="504" xr:uid="{00000000-0005-0000-0000-0000F3010000}"/>
    <cellStyle name="Percent 2 2 2 4 3" xfId="505" xr:uid="{00000000-0005-0000-0000-0000F4010000}"/>
    <cellStyle name="Percent 2 2 2 5" xfId="506" xr:uid="{00000000-0005-0000-0000-0000F5010000}"/>
    <cellStyle name="Percent 2 2 2 5 2" xfId="507" xr:uid="{00000000-0005-0000-0000-0000F6010000}"/>
    <cellStyle name="Percent 2 2 2 5 3" xfId="508" xr:uid="{00000000-0005-0000-0000-0000F7010000}"/>
    <cellStyle name="Percent 2 2 2 5 3 2" xfId="509" xr:uid="{00000000-0005-0000-0000-0000F8010000}"/>
    <cellStyle name="Percent 2 2 2 6" xfId="510" xr:uid="{00000000-0005-0000-0000-0000F9010000}"/>
    <cellStyle name="Percent 2 2 2 6 2" xfId="511" xr:uid="{00000000-0005-0000-0000-0000FA010000}"/>
    <cellStyle name="Percent 2 2 3" xfId="512" xr:uid="{00000000-0005-0000-0000-0000FB010000}"/>
    <cellStyle name="Percent 2 2 3 2" xfId="513" xr:uid="{00000000-0005-0000-0000-0000FC010000}"/>
    <cellStyle name="Percent 2 2 3 3" xfId="514" xr:uid="{00000000-0005-0000-0000-0000FD010000}"/>
    <cellStyle name="Percent 2 2 3 4" xfId="515" xr:uid="{00000000-0005-0000-0000-0000FE010000}"/>
    <cellStyle name="Percent 2 3" xfId="516" xr:uid="{00000000-0005-0000-0000-0000FF010000}"/>
    <cellStyle name="Percent 2 4" xfId="517" xr:uid="{00000000-0005-0000-0000-000000020000}"/>
    <cellStyle name="Percent 2 4 10" xfId="518" xr:uid="{00000000-0005-0000-0000-000001020000}"/>
    <cellStyle name="Percent 2 4 11" xfId="519" xr:uid="{00000000-0005-0000-0000-000002020000}"/>
    <cellStyle name="Percent 2 4 11 2" xfId="520" xr:uid="{00000000-0005-0000-0000-000003020000}"/>
    <cellStyle name="Percent 2 4 11 2 2" xfId="521" xr:uid="{00000000-0005-0000-0000-000004020000}"/>
    <cellStyle name="Percent 2 4 11 2 3" xfId="522" xr:uid="{00000000-0005-0000-0000-000005020000}"/>
    <cellStyle name="Percent 2 4 11 2 3 2" xfId="523" xr:uid="{00000000-0005-0000-0000-000006020000}"/>
    <cellStyle name="Percent 2 4 2" xfId="524" xr:uid="{00000000-0005-0000-0000-000007020000}"/>
    <cellStyle name="Percent 2 4 3" xfId="525" xr:uid="{00000000-0005-0000-0000-000008020000}"/>
    <cellStyle name="Percent 2 4 4" xfId="526" xr:uid="{00000000-0005-0000-0000-000009020000}"/>
    <cellStyle name="Percent 2 4 5" xfId="527" xr:uid="{00000000-0005-0000-0000-00000A020000}"/>
    <cellStyle name="Percent 2 4 5 2" xfId="528" xr:uid="{00000000-0005-0000-0000-00000B020000}"/>
    <cellStyle name="Percent 2 4 5 2 2" xfId="529" xr:uid="{00000000-0005-0000-0000-00000C020000}"/>
    <cellStyle name="Percent 2 4 5 2 3" xfId="530" xr:uid="{00000000-0005-0000-0000-00000D020000}"/>
    <cellStyle name="Percent 2 4 6" xfId="531" xr:uid="{00000000-0005-0000-0000-00000E020000}"/>
    <cellStyle name="Percent 2 4 7" xfId="532" xr:uid="{00000000-0005-0000-0000-00000F020000}"/>
    <cellStyle name="Percent 2 4 8" xfId="533" xr:uid="{00000000-0005-0000-0000-000010020000}"/>
    <cellStyle name="Percent 2 4 9" xfId="534" xr:uid="{00000000-0005-0000-0000-000011020000}"/>
    <cellStyle name="Percent 2 4 9 2" xfId="535" xr:uid="{00000000-0005-0000-0000-000012020000}"/>
    <cellStyle name="Percent 2 4 9 2 2" xfId="536" xr:uid="{00000000-0005-0000-0000-000013020000}"/>
    <cellStyle name="Percent 2 4 9 2 3" xfId="537" xr:uid="{00000000-0005-0000-0000-000014020000}"/>
    <cellStyle name="Percent 2 4 9 2 3 2" xfId="538" xr:uid="{00000000-0005-0000-0000-000015020000}"/>
    <cellStyle name="Percent 2 5" xfId="539" xr:uid="{00000000-0005-0000-0000-000016020000}"/>
    <cellStyle name="Percent 20" xfId="540" xr:uid="{00000000-0005-0000-0000-000017020000}"/>
    <cellStyle name="Percent 20 2" xfId="541" xr:uid="{00000000-0005-0000-0000-000018020000}"/>
    <cellStyle name="Percent 20 3" xfId="542" xr:uid="{00000000-0005-0000-0000-000019020000}"/>
    <cellStyle name="Percent 20 3 2" xfId="543" xr:uid="{00000000-0005-0000-0000-00001A020000}"/>
    <cellStyle name="Percent 21" xfId="544" xr:uid="{00000000-0005-0000-0000-00001B020000}"/>
    <cellStyle name="Percent 21 2" xfId="545" xr:uid="{00000000-0005-0000-0000-00001C020000}"/>
    <cellStyle name="Percent 21 3" xfId="546" xr:uid="{00000000-0005-0000-0000-00001D020000}"/>
    <cellStyle name="Percent 21 3 2" xfId="547" xr:uid="{00000000-0005-0000-0000-00001E020000}"/>
    <cellStyle name="Percent 22" xfId="548" xr:uid="{00000000-0005-0000-0000-00001F020000}"/>
    <cellStyle name="Percent 22 2" xfId="549" xr:uid="{00000000-0005-0000-0000-000020020000}"/>
    <cellStyle name="Percent 23" xfId="550" xr:uid="{00000000-0005-0000-0000-000021020000}"/>
    <cellStyle name="Percent 23 2" xfId="551" xr:uid="{00000000-0005-0000-0000-000022020000}"/>
    <cellStyle name="Percent 24" xfId="552" xr:uid="{00000000-0005-0000-0000-000023020000}"/>
    <cellStyle name="Percent 25" xfId="553" xr:uid="{00000000-0005-0000-0000-000024020000}"/>
    <cellStyle name="Percent 25 2" xfId="554" xr:uid="{00000000-0005-0000-0000-000025020000}"/>
    <cellStyle name="Percent 25 3" xfId="555" xr:uid="{00000000-0005-0000-0000-000026020000}"/>
    <cellStyle name="Percent 25 3 2" xfId="556" xr:uid="{00000000-0005-0000-0000-000027020000}"/>
    <cellStyle name="Percent 26" xfId="557" xr:uid="{00000000-0005-0000-0000-000028020000}"/>
    <cellStyle name="Percent 27" xfId="558" xr:uid="{00000000-0005-0000-0000-000029020000}"/>
    <cellStyle name="Percent 27 2" xfId="559" xr:uid="{00000000-0005-0000-0000-00002A020000}"/>
    <cellStyle name="Percent 3" xfId="560" xr:uid="{00000000-0005-0000-0000-00002B020000}"/>
    <cellStyle name="Percent 3 2" xfId="561" xr:uid="{00000000-0005-0000-0000-00002C020000}"/>
    <cellStyle name="Percent 3 2 2" xfId="562" xr:uid="{00000000-0005-0000-0000-00002D020000}"/>
    <cellStyle name="Percent 3 2 3" xfId="563" xr:uid="{00000000-0005-0000-0000-00002E020000}"/>
    <cellStyle name="Percent 3 2 3 2" xfId="564" xr:uid="{00000000-0005-0000-0000-00002F020000}"/>
    <cellStyle name="Percent 3 2 3 3" xfId="565" xr:uid="{00000000-0005-0000-0000-000030020000}"/>
    <cellStyle name="Percent 3 2 3 4" xfId="566" xr:uid="{00000000-0005-0000-0000-000031020000}"/>
    <cellStyle name="Percent 3 2 4" xfId="567" xr:uid="{00000000-0005-0000-0000-000032020000}"/>
    <cellStyle name="Percent 3 2 4 2" xfId="568" xr:uid="{00000000-0005-0000-0000-000033020000}"/>
    <cellStyle name="Percent 3 2 4 2 2" xfId="569" xr:uid="{00000000-0005-0000-0000-000034020000}"/>
    <cellStyle name="Percent 3 2 4 2 3" xfId="570" xr:uid="{00000000-0005-0000-0000-000035020000}"/>
    <cellStyle name="Percent 3 2 4 2 3 2" xfId="571" xr:uid="{00000000-0005-0000-0000-000036020000}"/>
    <cellStyle name="Percent 3 2 4 3" xfId="572" xr:uid="{00000000-0005-0000-0000-000037020000}"/>
    <cellStyle name="Percent 3 2 5" xfId="573" xr:uid="{00000000-0005-0000-0000-000038020000}"/>
    <cellStyle name="Percent 3 2 5 2" xfId="574" xr:uid="{00000000-0005-0000-0000-000039020000}"/>
    <cellStyle name="Percent 3 2 5 3" xfId="575" xr:uid="{00000000-0005-0000-0000-00003A020000}"/>
    <cellStyle name="Percent 3 2 5 3 2" xfId="576" xr:uid="{00000000-0005-0000-0000-00003B020000}"/>
    <cellStyle name="Percent 3 2 6" xfId="577" xr:uid="{00000000-0005-0000-0000-00003C020000}"/>
    <cellStyle name="Percent 3 2 7" xfId="578" xr:uid="{00000000-0005-0000-0000-00003D020000}"/>
    <cellStyle name="Percent 3 2 7 2" xfId="579" xr:uid="{00000000-0005-0000-0000-00003E020000}"/>
    <cellStyle name="Percent 3 3" xfId="580" xr:uid="{00000000-0005-0000-0000-00003F020000}"/>
    <cellStyle name="Percent 3 4" xfId="581" xr:uid="{00000000-0005-0000-0000-000040020000}"/>
    <cellStyle name="Percent 3 5" xfId="582" xr:uid="{00000000-0005-0000-0000-000041020000}"/>
    <cellStyle name="Percent 3 5 2" xfId="583" xr:uid="{00000000-0005-0000-0000-000042020000}"/>
    <cellStyle name="Percent 3 5 3" xfId="584" xr:uid="{00000000-0005-0000-0000-000043020000}"/>
    <cellStyle name="Percent 3 5 4" xfId="585" xr:uid="{00000000-0005-0000-0000-000044020000}"/>
    <cellStyle name="Percent 4" xfId="586" xr:uid="{00000000-0005-0000-0000-000045020000}"/>
    <cellStyle name="Percent 4 2" xfId="587" xr:uid="{00000000-0005-0000-0000-000046020000}"/>
    <cellStyle name="Percent 4 3" xfId="588" xr:uid="{00000000-0005-0000-0000-000047020000}"/>
    <cellStyle name="Percent 4 3 2" xfId="589" xr:uid="{00000000-0005-0000-0000-000048020000}"/>
    <cellStyle name="Percent 4 3 3" xfId="590" xr:uid="{00000000-0005-0000-0000-000049020000}"/>
    <cellStyle name="Percent 4 3 4" xfId="591" xr:uid="{00000000-0005-0000-0000-00004A020000}"/>
    <cellStyle name="Percent 4 4" xfId="592" xr:uid="{00000000-0005-0000-0000-00004B020000}"/>
    <cellStyle name="Percent 4 4 2" xfId="593" xr:uid="{00000000-0005-0000-0000-00004C020000}"/>
    <cellStyle name="Percent 4 4 2 2" xfId="594" xr:uid="{00000000-0005-0000-0000-00004D020000}"/>
    <cellStyle name="Percent 4 4 2 3" xfId="595" xr:uid="{00000000-0005-0000-0000-00004E020000}"/>
    <cellStyle name="Percent 4 4 2 3 2" xfId="596" xr:uid="{00000000-0005-0000-0000-00004F020000}"/>
    <cellStyle name="Percent 4 4 3" xfId="597" xr:uid="{00000000-0005-0000-0000-000050020000}"/>
    <cellStyle name="Percent 4 5" xfId="598" xr:uid="{00000000-0005-0000-0000-000051020000}"/>
    <cellStyle name="Percent 4 5 2" xfId="599" xr:uid="{00000000-0005-0000-0000-000052020000}"/>
    <cellStyle name="Percent 4 5 3" xfId="600" xr:uid="{00000000-0005-0000-0000-000053020000}"/>
    <cellStyle name="Percent 4 5 3 2" xfId="601" xr:uid="{00000000-0005-0000-0000-000054020000}"/>
    <cellStyle name="Percent 4 6" xfId="602" xr:uid="{00000000-0005-0000-0000-000055020000}"/>
    <cellStyle name="Percent 4 7" xfId="603" xr:uid="{00000000-0005-0000-0000-000056020000}"/>
    <cellStyle name="Percent 4 7 2" xfId="604" xr:uid="{00000000-0005-0000-0000-000057020000}"/>
    <cellStyle name="Percent 5" xfId="605" xr:uid="{00000000-0005-0000-0000-000058020000}"/>
    <cellStyle name="Percent 5 2" xfId="606" xr:uid="{00000000-0005-0000-0000-000059020000}"/>
    <cellStyle name="Percent 5 3" xfId="607" xr:uid="{00000000-0005-0000-0000-00005A020000}"/>
    <cellStyle name="Percent 5 3 2" xfId="608" xr:uid="{00000000-0005-0000-0000-00005B020000}"/>
    <cellStyle name="Percent 5 3 3" xfId="609" xr:uid="{00000000-0005-0000-0000-00005C020000}"/>
    <cellStyle name="Percent 5 4" xfId="610" xr:uid="{00000000-0005-0000-0000-00005D020000}"/>
    <cellStyle name="Percent 5 4 2" xfId="611" xr:uid="{00000000-0005-0000-0000-00005E020000}"/>
    <cellStyle name="Percent 5 4 3" xfId="612" xr:uid="{00000000-0005-0000-0000-00005F020000}"/>
    <cellStyle name="Percent 5 4 4" xfId="613" xr:uid="{00000000-0005-0000-0000-000060020000}"/>
    <cellStyle name="Percent 5 5" xfId="614" xr:uid="{00000000-0005-0000-0000-000061020000}"/>
    <cellStyle name="Percent 5 5 2" xfId="615" xr:uid="{00000000-0005-0000-0000-000062020000}"/>
    <cellStyle name="Percent 5 5 2 2" xfId="616" xr:uid="{00000000-0005-0000-0000-000063020000}"/>
    <cellStyle name="Percent 5 5 2 3" xfId="617" xr:uid="{00000000-0005-0000-0000-000064020000}"/>
    <cellStyle name="Percent 5 5 2 3 2" xfId="618" xr:uid="{00000000-0005-0000-0000-000065020000}"/>
    <cellStyle name="Percent 5 5 3" xfId="619" xr:uid="{00000000-0005-0000-0000-000066020000}"/>
    <cellStyle name="Percent 5 6" xfId="620" xr:uid="{00000000-0005-0000-0000-000067020000}"/>
    <cellStyle name="Percent 5 6 2" xfId="621" xr:uid="{00000000-0005-0000-0000-000068020000}"/>
    <cellStyle name="Percent 5 6 3" xfId="622" xr:uid="{00000000-0005-0000-0000-000069020000}"/>
    <cellStyle name="Percent 5 6 3 2" xfId="623" xr:uid="{00000000-0005-0000-0000-00006A020000}"/>
    <cellStyle name="Percent 5 7" xfId="624" xr:uid="{00000000-0005-0000-0000-00006B020000}"/>
    <cellStyle name="Percent 5 8" xfId="625" xr:uid="{00000000-0005-0000-0000-00006C020000}"/>
    <cellStyle name="Percent 5 8 2" xfId="626" xr:uid="{00000000-0005-0000-0000-00006D020000}"/>
    <cellStyle name="Percent 5 9" xfId="627" xr:uid="{00000000-0005-0000-0000-00006E020000}"/>
    <cellStyle name="Percent 5 9 2" xfId="628" xr:uid="{00000000-0005-0000-0000-00006F020000}"/>
    <cellStyle name="Percent 5 9 3" xfId="629" xr:uid="{00000000-0005-0000-0000-000070020000}"/>
    <cellStyle name="Percent 5 9 3 2" xfId="630" xr:uid="{00000000-0005-0000-0000-000071020000}"/>
    <cellStyle name="Percent 6" xfId="631" xr:uid="{00000000-0005-0000-0000-000072020000}"/>
    <cellStyle name="Percent 6 10" xfId="632" xr:uid="{00000000-0005-0000-0000-000073020000}"/>
    <cellStyle name="Percent 6 11" xfId="633" xr:uid="{00000000-0005-0000-0000-000074020000}"/>
    <cellStyle name="Percent 6 11 2" xfId="634" xr:uid="{00000000-0005-0000-0000-000075020000}"/>
    <cellStyle name="Percent 6 11 2 2" xfId="635" xr:uid="{00000000-0005-0000-0000-000076020000}"/>
    <cellStyle name="Percent 6 11 2 3" xfId="636" xr:uid="{00000000-0005-0000-0000-000077020000}"/>
    <cellStyle name="Percent 6 11 2 3 2" xfId="637" xr:uid="{00000000-0005-0000-0000-000078020000}"/>
    <cellStyle name="Percent 6 12" xfId="638" xr:uid="{00000000-0005-0000-0000-000079020000}"/>
    <cellStyle name="Percent 6 13" xfId="639" xr:uid="{00000000-0005-0000-0000-00007A020000}"/>
    <cellStyle name="Percent 6 13 2" xfId="640" xr:uid="{00000000-0005-0000-0000-00007B020000}"/>
    <cellStyle name="Percent 6 13 2 2" xfId="641" xr:uid="{00000000-0005-0000-0000-00007C020000}"/>
    <cellStyle name="Percent 6 13 2 3" xfId="642" xr:uid="{00000000-0005-0000-0000-00007D020000}"/>
    <cellStyle name="Percent 6 13 2 3 2" xfId="643" xr:uid="{00000000-0005-0000-0000-00007E020000}"/>
    <cellStyle name="Percent 6 14" xfId="644" xr:uid="{00000000-0005-0000-0000-00007F020000}"/>
    <cellStyle name="Percent 6 14 2" xfId="645" xr:uid="{00000000-0005-0000-0000-000080020000}"/>
    <cellStyle name="Percent 6 15" xfId="646" xr:uid="{00000000-0005-0000-0000-000081020000}"/>
    <cellStyle name="Percent 6 16" xfId="647" xr:uid="{00000000-0005-0000-0000-000082020000}"/>
    <cellStyle name="Percent 6 16 2" xfId="648" xr:uid="{00000000-0005-0000-0000-000083020000}"/>
    <cellStyle name="Percent 6 2" xfId="649" xr:uid="{00000000-0005-0000-0000-000084020000}"/>
    <cellStyle name="Percent 6 3" xfId="650" xr:uid="{00000000-0005-0000-0000-000085020000}"/>
    <cellStyle name="Percent 6 4" xfId="651" xr:uid="{00000000-0005-0000-0000-000086020000}"/>
    <cellStyle name="Percent 6 5" xfId="652" xr:uid="{00000000-0005-0000-0000-000087020000}"/>
    <cellStyle name="Percent 6 6" xfId="653" xr:uid="{00000000-0005-0000-0000-000088020000}"/>
    <cellStyle name="Percent 6 7" xfId="654" xr:uid="{00000000-0005-0000-0000-000089020000}"/>
    <cellStyle name="Percent 6 7 2" xfId="655" xr:uid="{00000000-0005-0000-0000-00008A020000}"/>
    <cellStyle name="Percent 6 7 2 2" xfId="656" xr:uid="{00000000-0005-0000-0000-00008B020000}"/>
    <cellStyle name="Percent 6 7 2 3" xfId="657" xr:uid="{00000000-0005-0000-0000-00008C020000}"/>
    <cellStyle name="Percent 6 8" xfId="658" xr:uid="{00000000-0005-0000-0000-00008D020000}"/>
    <cellStyle name="Percent 6 9" xfId="659" xr:uid="{00000000-0005-0000-0000-00008E020000}"/>
    <cellStyle name="Percent 7" xfId="660" xr:uid="{00000000-0005-0000-0000-00008F020000}"/>
    <cellStyle name="Percent 7 10" xfId="661" xr:uid="{00000000-0005-0000-0000-000090020000}"/>
    <cellStyle name="Percent 7 11" xfId="662" xr:uid="{00000000-0005-0000-0000-000091020000}"/>
    <cellStyle name="Percent 7 11 2" xfId="663" xr:uid="{00000000-0005-0000-0000-000092020000}"/>
    <cellStyle name="Percent 7 11 2 2" xfId="664" xr:uid="{00000000-0005-0000-0000-000093020000}"/>
    <cellStyle name="Percent 7 11 2 3" xfId="665" xr:uid="{00000000-0005-0000-0000-000094020000}"/>
    <cellStyle name="Percent 7 11 2 3 2" xfId="666" xr:uid="{00000000-0005-0000-0000-000095020000}"/>
    <cellStyle name="Percent 7 12" xfId="667" xr:uid="{00000000-0005-0000-0000-000096020000}"/>
    <cellStyle name="Percent 7 12 2" xfId="668" xr:uid="{00000000-0005-0000-0000-000097020000}"/>
    <cellStyle name="Percent 7 13" xfId="669" xr:uid="{00000000-0005-0000-0000-000098020000}"/>
    <cellStyle name="Percent 7 14" xfId="670" xr:uid="{00000000-0005-0000-0000-000099020000}"/>
    <cellStyle name="Percent 7 14 2" xfId="671" xr:uid="{00000000-0005-0000-0000-00009A020000}"/>
    <cellStyle name="Percent 7 2" xfId="672" xr:uid="{00000000-0005-0000-0000-00009B020000}"/>
    <cellStyle name="Percent 7 3" xfId="673" xr:uid="{00000000-0005-0000-0000-00009C020000}"/>
    <cellStyle name="Percent 7 4" xfId="674" xr:uid="{00000000-0005-0000-0000-00009D020000}"/>
    <cellStyle name="Percent 7 5" xfId="675" xr:uid="{00000000-0005-0000-0000-00009E020000}"/>
    <cellStyle name="Percent 7 5 2" xfId="676" xr:uid="{00000000-0005-0000-0000-00009F020000}"/>
    <cellStyle name="Percent 7 5 2 2" xfId="677" xr:uid="{00000000-0005-0000-0000-0000A0020000}"/>
    <cellStyle name="Percent 7 5 2 3" xfId="678" xr:uid="{00000000-0005-0000-0000-0000A1020000}"/>
    <cellStyle name="Percent 7 5 2 4" xfId="679" xr:uid="{00000000-0005-0000-0000-0000A2020000}"/>
    <cellStyle name="Percent 7 6" xfId="680" xr:uid="{00000000-0005-0000-0000-0000A3020000}"/>
    <cellStyle name="Percent 7 7" xfId="681" xr:uid="{00000000-0005-0000-0000-0000A4020000}"/>
    <cellStyle name="Percent 7 8" xfId="682" xr:uid="{00000000-0005-0000-0000-0000A5020000}"/>
    <cellStyle name="Percent 7 9" xfId="683" xr:uid="{00000000-0005-0000-0000-0000A6020000}"/>
    <cellStyle name="Percent 7 9 2" xfId="684" xr:uid="{00000000-0005-0000-0000-0000A7020000}"/>
    <cellStyle name="Percent 7 9 2 2" xfId="685" xr:uid="{00000000-0005-0000-0000-0000A8020000}"/>
    <cellStyle name="Percent 7 9 2 3" xfId="686" xr:uid="{00000000-0005-0000-0000-0000A9020000}"/>
    <cellStyle name="Percent 7 9 2 3 2" xfId="687" xr:uid="{00000000-0005-0000-0000-0000AA020000}"/>
    <cellStyle name="Percent 8" xfId="688" xr:uid="{00000000-0005-0000-0000-0000AB020000}"/>
    <cellStyle name="Percent 8 2" xfId="689" xr:uid="{00000000-0005-0000-0000-0000AC020000}"/>
    <cellStyle name="Percent 8 3" xfId="690" xr:uid="{00000000-0005-0000-0000-0000AD020000}"/>
    <cellStyle name="Percent 8 4" xfId="691" xr:uid="{00000000-0005-0000-0000-0000AE020000}"/>
    <cellStyle name="Percent 8 5" xfId="692" xr:uid="{00000000-0005-0000-0000-0000AF020000}"/>
    <cellStyle name="Percent 9" xfId="693" xr:uid="{00000000-0005-0000-0000-0000B0020000}"/>
    <cellStyle name="Percent 9 2" xfId="694" xr:uid="{00000000-0005-0000-0000-0000B1020000}"/>
    <cellStyle name="Percent 9 3" xfId="695" xr:uid="{00000000-0005-0000-0000-0000B2020000}"/>
    <cellStyle name="Percent 9 4" xfId="696" xr:uid="{00000000-0005-0000-0000-0000B3020000}"/>
    <cellStyle name="Percent 9 5" xfId="697" xr:uid="{00000000-0005-0000-0000-0000B4020000}"/>
    <cellStyle name="PSChar" xfId="5" xr:uid="{00000000-0005-0000-0000-0000B5020000}"/>
    <cellStyle name="PSChar 2" xfId="698" xr:uid="{00000000-0005-0000-0000-0000B6020000}"/>
    <cellStyle name="PSChar 2 2" xfId="699" xr:uid="{00000000-0005-0000-0000-0000B7020000}"/>
    <cellStyle name="PSChar 2 2 2" xfId="700" xr:uid="{00000000-0005-0000-0000-0000B8020000}"/>
    <cellStyle name="PSChar 3" xfId="701" xr:uid="{00000000-0005-0000-0000-0000B9020000}"/>
    <cellStyle name="PSChar 3 2" xfId="702" xr:uid="{00000000-0005-0000-0000-0000BA020000}"/>
    <cellStyle name="PSChar 4" xfId="703" xr:uid="{00000000-0005-0000-0000-0000BB020000}"/>
    <cellStyle name="PSChar 4 2" xfId="704" xr:uid="{00000000-0005-0000-0000-0000BC020000}"/>
    <cellStyle name="PSChar 5" xfId="705" xr:uid="{00000000-0005-0000-0000-0000BD020000}"/>
    <cellStyle name="PSChar 5 2" xfId="706" xr:uid="{00000000-0005-0000-0000-0000BE020000}"/>
    <cellStyle name="PSChar 5 3" xfId="707" xr:uid="{00000000-0005-0000-0000-0000BF020000}"/>
    <cellStyle name="PSChar 5 3 2" xfId="708" xr:uid="{00000000-0005-0000-0000-0000C0020000}"/>
    <cellStyle name="PSChar 6" xfId="709" xr:uid="{00000000-0005-0000-0000-0000C1020000}"/>
    <cellStyle name="PSChar 6 2" xfId="710" xr:uid="{00000000-0005-0000-0000-0000C2020000}"/>
    <cellStyle name="PSChar 7" xfId="711" xr:uid="{00000000-0005-0000-0000-0000C3020000}"/>
    <cellStyle name="PSChar 8" xfId="712" xr:uid="{00000000-0005-0000-0000-0000C4020000}"/>
    <cellStyle name="PSChar 9" xfId="713" xr:uid="{00000000-0005-0000-0000-0000C5020000}"/>
    <cellStyle name="PSDate" xfId="6" xr:uid="{00000000-0005-0000-0000-0000C6020000}"/>
    <cellStyle name="PSDate 2" xfId="714" xr:uid="{00000000-0005-0000-0000-0000C7020000}"/>
    <cellStyle name="PSDate 2 2" xfId="715" xr:uid="{00000000-0005-0000-0000-0000C8020000}"/>
    <cellStyle name="PSDate 2 2 2" xfId="716" xr:uid="{00000000-0005-0000-0000-0000C9020000}"/>
    <cellStyle name="PSDate 3" xfId="717" xr:uid="{00000000-0005-0000-0000-0000CA020000}"/>
    <cellStyle name="PSDate 3 2" xfId="718" xr:uid="{00000000-0005-0000-0000-0000CB020000}"/>
    <cellStyle name="PSDate 4" xfId="719" xr:uid="{00000000-0005-0000-0000-0000CC020000}"/>
    <cellStyle name="PSDate 4 2" xfId="720" xr:uid="{00000000-0005-0000-0000-0000CD020000}"/>
    <cellStyle name="PSDate 5" xfId="721" xr:uid="{00000000-0005-0000-0000-0000CE020000}"/>
    <cellStyle name="PSDate 5 2" xfId="722" xr:uid="{00000000-0005-0000-0000-0000CF020000}"/>
    <cellStyle name="PSDate 5 3" xfId="723" xr:uid="{00000000-0005-0000-0000-0000D0020000}"/>
    <cellStyle name="PSDate 5 3 2" xfId="724" xr:uid="{00000000-0005-0000-0000-0000D1020000}"/>
    <cellStyle name="PSDate 6" xfId="725" xr:uid="{00000000-0005-0000-0000-0000D2020000}"/>
    <cellStyle name="PSDate 6 2" xfId="726" xr:uid="{00000000-0005-0000-0000-0000D3020000}"/>
    <cellStyle name="PSDate 7" xfId="727" xr:uid="{00000000-0005-0000-0000-0000D4020000}"/>
    <cellStyle name="PSDate 8" xfId="728" xr:uid="{00000000-0005-0000-0000-0000D5020000}"/>
    <cellStyle name="PSDec" xfId="7" xr:uid="{00000000-0005-0000-0000-0000D6020000}"/>
    <cellStyle name="PSDec 2" xfId="729" xr:uid="{00000000-0005-0000-0000-0000D7020000}"/>
    <cellStyle name="PSDec 2 2" xfId="730" xr:uid="{00000000-0005-0000-0000-0000D8020000}"/>
    <cellStyle name="PSDec 2 2 2" xfId="731" xr:uid="{00000000-0005-0000-0000-0000D9020000}"/>
    <cellStyle name="PSDec 3" xfId="732" xr:uid="{00000000-0005-0000-0000-0000DA020000}"/>
    <cellStyle name="PSDec 3 2" xfId="733" xr:uid="{00000000-0005-0000-0000-0000DB020000}"/>
    <cellStyle name="PSDec 4" xfId="734" xr:uid="{00000000-0005-0000-0000-0000DC020000}"/>
    <cellStyle name="PSDec 4 2" xfId="735" xr:uid="{00000000-0005-0000-0000-0000DD020000}"/>
    <cellStyle name="PSDec 5" xfId="736" xr:uid="{00000000-0005-0000-0000-0000DE020000}"/>
    <cellStyle name="PSDec 5 2" xfId="737" xr:uid="{00000000-0005-0000-0000-0000DF020000}"/>
    <cellStyle name="PSDec 5 3" xfId="738" xr:uid="{00000000-0005-0000-0000-0000E0020000}"/>
    <cellStyle name="PSDec 5 3 2" xfId="739" xr:uid="{00000000-0005-0000-0000-0000E1020000}"/>
    <cellStyle name="PSDec 6" xfId="740" xr:uid="{00000000-0005-0000-0000-0000E2020000}"/>
    <cellStyle name="PSDec 6 2" xfId="741" xr:uid="{00000000-0005-0000-0000-0000E3020000}"/>
    <cellStyle name="PSDec 7" xfId="742" xr:uid="{00000000-0005-0000-0000-0000E4020000}"/>
    <cellStyle name="PSDec 8" xfId="743" xr:uid="{00000000-0005-0000-0000-0000E5020000}"/>
    <cellStyle name="PSDec 9" xfId="744" xr:uid="{00000000-0005-0000-0000-0000E6020000}"/>
    <cellStyle name="PSHeading" xfId="8" xr:uid="{00000000-0005-0000-0000-0000E7020000}"/>
    <cellStyle name="PSHeading 2" xfId="745" xr:uid="{00000000-0005-0000-0000-0000E8020000}"/>
    <cellStyle name="PSHeading 2 2" xfId="746" xr:uid="{00000000-0005-0000-0000-0000E9020000}"/>
    <cellStyle name="PSHeading 2 2 2" xfId="747" xr:uid="{00000000-0005-0000-0000-0000EA020000}"/>
    <cellStyle name="PSHeading 2 2 3" xfId="748" xr:uid="{00000000-0005-0000-0000-0000EB020000}"/>
    <cellStyle name="PSHeading 3" xfId="749" xr:uid="{00000000-0005-0000-0000-0000EC020000}"/>
    <cellStyle name="PSHeading 3 2" xfId="750" xr:uid="{00000000-0005-0000-0000-0000ED020000}"/>
    <cellStyle name="PSHeading 3 3" xfId="751" xr:uid="{00000000-0005-0000-0000-0000EE020000}"/>
    <cellStyle name="PSHeading 3 3 2" xfId="752" xr:uid="{00000000-0005-0000-0000-0000EF020000}"/>
    <cellStyle name="PSHeading 4" xfId="753" xr:uid="{00000000-0005-0000-0000-0000F0020000}"/>
    <cellStyle name="PSHeading 5" xfId="754" xr:uid="{00000000-0005-0000-0000-0000F1020000}"/>
    <cellStyle name="PSInt" xfId="9" xr:uid="{00000000-0005-0000-0000-0000F2020000}"/>
    <cellStyle name="PSInt 2" xfId="755" xr:uid="{00000000-0005-0000-0000-0000F3020000}"/>
    <cellStyle name="PSInt 2 2" xfId="756" xr:uid="{00000000-0005-0000-0000-0000F4020000}"/>
    <cellStyle name="PSInt 2 2 2" xfId="757" xr:uid="{00000000-0005-0000-0000-0000F5020000}"/>
    <cellStyle name="PSInt 3" xfId="758" xr:uid="{00000000-0005-0000-0000-0000F6020000}"/>
    <cellStyle name="PSInt 3 2" xfId="759" xr:uid="{00000000-0005-0000-0000-0000F7020000}"/>
    <cellStyle name="PSInt 4" xfId="760" xr:uid="{00000000-0005-0000-0000-0000F8020000}"/>
    <cellStyle name="PSInt 4 2" xfId="761" xr:uid="{00000000-0005-0000-0000-0000F9020000}"/>
    <cellStyle name="PSInt 5" xfId="762" xr:uid="{00000000-0005-0000-0000-0000FA020000}"/>
    <cellStyle name="PSInt 5 2" xfId="763" xr:uid="{00000000-0005-0000-0000-0000FB020000}"/>
    <cellStyle name="PSInt 5 3" xfId="764" xr:uid="{00000000-0005-0000-0000-0000FC020000}"/>
    <cellStyle name="PSInt 5 3 2" xfId="765" xr:uid="{00000000-0005-0000-0000-0000FD020000}"/>
    <cellStyle name="PSInt 6" xfId="766" xr:uid="{00000000-0005-0000-0000-0000FE020000}"/>
    <cellStyle name="PSInt 6 2" xfId="767" xr:uid="{00000000-0005-0000-0000-0000FF020000}"/>
    <cellStyle name="PSInt 7" xfId="768" xr:uid="{00000000-0005-0000-0000-000000030000}"/>
    <cellStyle name="PSInt 8" xfId="769" xr:uid="{00000000-0005-0000-0000-000001030000}"/>
    <cellStyle name="PSInt 9" xfId="770" xr:uid="{00000000-0005-0000-0000-000002030000}"/>
    <cellStyle name="PSSpacer" xfId="10" xr:uid="{00000000-0005-0000-0000-000003030000}"/>
    <cellStyle name="PSSpacer 2" xfId="771" xr:uid="{00000000-0005-0000-0000-000004030000}"/>
    <cellStyle name="PSSpacer 2 2" xfId="772" xr:uid="{00000000-0005-0000-0000-000005030000}"/>
    <cellStyle name="PSSpacer 3" xfId="773" xr:uid="{00000000-0005-0000-0000-000006030000}"/>
    <cellStyle name="PSSpacer 3 2" xfId="774" xr:uid="{00000000-0005-0000-0000-000007030000}"/>
    <cellStyle name="PSSpacer 4" xfId="775" xr:uid="{00000000-0005-0000-0000-000008030000}"/>
    <cellStyle name="PSSpacer 4 2" xfId="776" xr:uid="{00000000-0005-0000-0000-000009030000}"/>
    <cellStyle name="PSSpacer 5" xfId="777" xr:uid="{00000000-0005-0000-0000-00000A030000}"/>
    <cellStyle name="PSSpacer 5 2" xfId="778" xr:uid="{00000000-0005-0000-0000-00000B030000}"/>
    <cellStyle name="PSSpacer 5 3" xfId="779" xr:uid="{00000000-0005-0000-0000-00000C030000}"/>
    <cellStyle name="PSSpacer 5 3 2" xfId="780" xr:uid="{00000000-0005-0000-0000-00000D030000}"/>
    <cellStyle name="PSSpacer 6" xfId="781" xr:uid="{00000000-0005-0000-0000-00000E030000}"/>
    <cellStyle name="PSSpacer 6 2" xfId="782" xr:uid="{00000000-0005-0000-0000-00000F030000}"/>
    <cellStyle name="PSSpacer 7" xfId="783" xr:uid="{00000000-0005-0000-0000-000010030000}"/>
    <cellStyle name="PSSpacer 8" xfId="784" xr:uid="{00000000-0005-0000-0000-000011030000}"/>
    <cellStyle name="Title 2" xfId="50" xr:uid="{00000000-0005-0000-0000-000012030000}"/>
    <cellStyle name="Total 2" xfId="51" xr:uid="{00000000-0005-0000-0000-000013030000}"/>
    <cellStyle name="Warning Text 2" xfId="52" xr:uid="{00000000-0005-0000-0000-000014030000}"/>
  </cellStyles>
  <dxfs count="0"/>
  <tableStyles count="0" defaultTableStyle="TableStyleMedium2" defaultPivotStyle="PivotStyleLight16"/>
  <colors>
    <mruColors>
      <color rgb="FFFFCCFF"/>
      <color rgb="FFCCFF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30</xdr:row>
      <xdr:rowOff>0</xdr:rowOff>
    </xdr:from>
    <xdr:to>
      <xdr:col>9</xdr:col>
      <xdr:colOff>382086</xdr:colOff>
      <xdr:row>96</xdr:row>
      <xdr:rowOff>106287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0DE798-E587-4C2D-3846-695E31A3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5010150"/>
          <a:ext cx="7783011" cy="108314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3568701</xdr:colOff>
      <xdr:row>41</xdr:row>
      <xdr:rowOff>44803</xdr:rowOff>
    </xdr:from>
    <xdr:to>
      <xdr:col>7</xdr:col>
      <xdr:colOff>254001</xdr:colOff>
      <xdr:row>83</xdr:row>
      <xdr:rowOff>32723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FCA3E4-5399-5249-C966-9254FFA09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8118" y="6574720"/>
          <a:ext cx="4707466" cy="6655420"/>
        </a:xfrm>
        <a:prstGeom prst="rect">
          <a:avLst/>
        </a:prstGeom>
      </xdr:spPr>
    </xdr:pic>
    <xdr:clientData/>
  </xdr:twoCellAnchor>
  <xdr:twoCellAnchor>
    <xdr:from>
      <xdr:col>7</xdr:col>
      <xdr:colOff>201084</xdr:colOff>
      <xdr:row>40</xdr:row>
      <xdr:rowOff>47625</xdr:rowOff>
    </xdr:from>
    <xdr:to>
      <xdr:col>10</xdr:col>
      <xdr:colOff>866775</xdr:colOff>
      <xdr:row>56</xdr:row>
      <xdr:rowOff>52916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D8023685-2DE6-AE89-63E0-67CCD17D896A}"/>
            </a:ext>
          </a:extLst>
        </xdr:cNvPr>
        <xdr:cNvCxnSpPr/>
      </xdr:nvCxnSpPr>
      <xdr:spPr>
        <a:xfrm flipV="1">
          <a:off x="9482667" y="4513792"/>
          <a:ext cx="3332691" cy="254529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ternal\Regulatory%20Services\2014%20Compliance%20Plan\Workpapers\Mitchell%20Environmental%20Expenses,%201-1-14%20--%209-30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VY"/>
      <sheetName val="FGD"/>
      <sheetName val="Non-FGD"/>
      <sheetName val="Depreciation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ADFIT"/>
      <sheetName val="S2"/>
      <sheetName val="AN"/>
      <sheetName val="NOx"/>
      <sheetName val="Cash Working Capital"/>
      <sheetName val="Property Tax"/>
      <sheetName val="Summary"/>
      <sheetName val="Precipitator O &amp; 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">
          <cell r="B2">
            <v>2.1464E-2</v>
          </cell>
        </row>
        <row r="4">
          <cell r="B4">
            <v>0.6</v>
          </cell>
        </row>
        <row r="6">
          <cell r="B6">
            <v>0.05</v>
          </cell>
        </row>
      </sheetData>
      <sheetData sheetId="19"/>
      <sheetData sheetId="2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zoomScaleNormal="100" workbookViewId="0"/>
  </sheetViews>
  <sheetFormatPr defaultColWidth="9.140625" defaultRowHeight="12.75"/>
  <cols>
    <col min="1" max="1" width="6.28515625" style="5" customWidth="1"/>
    <col min="2" max="2" width="46.85546875" style="4" bestFit="1" customWidth="1"/>
    <col min="3" max="3" width="7.7109375" style="4" customWidth="1"/>
    <col min="4" max="4" width="14.85546875" style="4" bestFit="1" customWidth="1"/>
    <col min="5" max="5" width="3.42578125" style="104" customWidth="1"/>
    <col min="6" max="6" width="13.140625" style="4" customWidth="1"/>
    <col min="7" max="7" width="9.140625" style="4"/>
    <col min="8" max="8" width="12.5703125" style="4" bestFit="1" customWidth="1"/>
    <col min="9" max="9" width="9.140625" style="4"/>
    <col min="10" max="10" width="10" style="4" bestFit="1" customWidth="1"/>
    <col min="11" max="16384" width="9.140625" style="4"/>
  </cols>
  <sheetData>
    <row r="1" spans="1:10" ht="6" customHeight="1"/>
    <row r="2" spans="1:10" ht="12.75" customHeight="1">
      <c r="A2" s="171" t="s">
        <v>0</v>
      </c>
      <c r="B2" s="171"/>
      <c r="C2" s="171"/>
      <c r="D2" s="171"/>
    </row>
    <row r="3" spans="1:10">
      <c r="A3" s="172" t="s">
        <v>104</v>
      </c>
      <c r="B3" s="172"/>
      <c r="C3" s="172"/>
      <c r="D3" s="172"/>
    </row>
    <row r="4" spans="1:10">
      <c r="A4" s="172" t="s">
        <v>114</v>
      </c>
      <c r="B4" s="172"/>
      <c r="C4" s="172"/>
      <c r="D4" s="172"/>
    </row>
    <row r="5" spans="1:10">
      <c r="A5" s="105"/>
      <c r="B5" s="105"/>
      <c r="C5" s="105"/>
      <c r="F5" s="5"/>
    </row>
    <row r="6" spans="1:10">
      <c r="A6" s="106" t="s">
        <v>70</v>
      </c>
      <c r="B6" s="106" t="s">
        <v>2</v>
      </c>
      <c r="D6" s="107"/>
    </row>
    <row r="7" spans="1:10" ht="5.25" customHeight="1">
      <c r="A7" s="106"/>
      <c r="B7" s="106"/>
    </row>
    <row r="8" spans="1:10">
      <c r="A8" s="8">
        <v>-1</v>
      </c>
      <c r="B8" s="170" t="s">
        <v>126</v>
      </c>
      <c r="C8" s="170"/>
      <c r="D8" s="109">
        <f>'PPA Form 3.0'!D8+'PPA Form 3.0'!D9</f>
        <v>11373158.970000003</v>
      </c>
      <c r="E8" s="63"/>
      <c r="F8" s="110"/>
    </row>
    <row r="9" spans="1:10">
      <c r="A9" s="77"/>
      <c r="B9" s="108"/>
      <c r="C9" s="108"/>
      <c r="E9" s="63"/>
      <c r="F9" s="10"/>
    </row>
    <row r="10" spans="1:10" ht="14.45" customHeight="1">
      <c r="A10" s="8">
        <f>A8-1</f>
        <v>-2</v>
      </c>
      <c r="B10" s="104" t="s">
        <v>124</v>
      </c>
      <c r="C10" s="108"/>
      <c r="D10" s="109">
        <f>'PPA Form 3.0'!D10</f>
        <v>6408632</v>
      </c>
      <c r="E10" s="63"/>
      <c r="F10" s="110"/>
    </row>
    <row r="11" spans="1:10">
      <c r="A11" s="77"/>
      <c r="B11" s="108"/>
      <c r="C11" s="108"/>
      <c r="E11" s="63"/>
      <c r="F11" s="10"/>
    </row>
    <row r="12" spans="1:10">
      <c r="A12" s="8">
        <f>A10-1</f>
        <v>-3</v>
      </c>
      <c r="B12" s="104" t="s">
        <v>125</v>
      </c>
      <c r="C12" s="108"/>
      <c r="D12" s="109">
        <f>+D8-D10</f>
        <v>4964526.9700000025</v>
      </c>
      <c r="E12" s="63"/>
      <c r="F12" s="110"/>
      <c r="J12" s="10"/>
    </row>
    <row r="13" spans="1:10">
      <c r="A13" s="8"/>
      <c r="B13" s="104"/>
      <c r="C13" s="108"/>
      <c r="E13" s="63"/>
      <c r="F13" s="10"/>
    </row>
    <row r="14" spans="1:10">
      <c r="A14" s="8">
        <f>A12-1</f>
        <v>-4</v>
      </c>
      <c r="B14" s="104" t="s">
        <v>112</v>
      </c>
      <c r="C14" s="108"/>
      <c r="D14" s="109">
        <f>D12*0.005523</f>
        <v>27419.082455310014</v>
      </c>
    </row>
    <row r="15" spans="1:10">
      <c r="A15" s="8"/>
      <c r="B15" s="104"/>
      <c r="C15" s="108"/>
    </row>
    <row r="16" spans="1:10">
      <c r="A16" s="8">
        <f>A14-1</f>
        <v>-5</v>
      </c>
      <c r="B16" s="104" t="s">
        <v>108</v>
      </c>
      <c r="C16" s="108"/>
      <c r="D16" s="109">
        <f>+D12+D14</f>
        <v>4991946.0524553126</v>
      </c>
      <c r="E16" s="111"/>
      <c r="F16" s="20"/>
    </row>
    <row r="17" spans="1:9" ht="14.1" customHeight="1">
      <c r="A17" s="8"/>
      <c r="B17" s="104"/>
      <c r="C17" s="108"/>
    </row>
    <row r="18" spans="1:9">
      <c r="A18" s="8">
        <f>A16-1</f>
        <v>-6</v>
      </c>
      <c r="B18" s="4" t="s">
        <v>128</v>
      </c>
      <c r="D18" s="109">
        <f>'PPA Form 3.0a'!N33</f>
        <v>4477590.3484895481</v>
      </c>
    </row>
    <row r="19" spans="1:9">
      <c r="A19" s="8" t="s">
        <v>41</v>
      </c>
    </row>
    <row r="20" spans="1:9" ht="13.5" thickBot="1">
      <c r="A20" s="8">
        <f>A18-1</f>
        <v>-7</v>
      </c>
      <c r="B20" s="4" t="s">
        <v>109</v>
      </c>
      <c r="D20" s="112">
        <f>D16+D18</f>
        <v>9469536.4009448607</v>
      </c>
      <c r="F20" s="113"/>
      <c r="G20" s="113"/>
      <c r="H20" s="113"/>
      <c r="I20" s="113"/>
    </row>
    <row r="21" spans="1:9" ht="13.5" thickTop="1">
      <c r="F21" s="113"/>
      <c r="G21" s="113"/>
      <c r="H21" s="113"/>
      <c r="I21" s="113"/>
    </row>
    <row r="22" spans="1:9">
      <c r="F22" s="113"/>
      <c r="G22" s="113"/>
      <c r="H22" s="113"/>
      <c r="I22" s="113"/>
    </row>
    <row r="23" spans="1:9">
      <c r="C23" s="4" t="s">
        <v>3</v>
      </c>
      <c r="D23" s="10">
        <f>D20*'PPA Form 3.0'!C16</f>
        <v>-81755.535627381149</v>
      </c>
      <c r="F23" s="113"/>
      <c r="G23" s="113"/>
      <c r="H23" s="113"/>
      <c r="I23" s="113"/>
    </row>
    <row r="24" spans="1:9">
      <c r="C24" s="4" t="s">
        <v>5</v>
      </c>
      <c r="D24" s="114">
        <f>D20*'PPA Form 3.0'!C17</f>
        <v>9551291.9365722407</v>
      </c>
    </row>
    <row r="25" spans="1:9">
      <c r="D25" s="10">
        <f>SUM(D23:D24)</f>
        <v>9469536.4009448588</v>
      </c>
    </row>
  </sheetData>
  <customSheetViews>
    <customSheetView guid="{4EF176FC-448F-4BD8-8859-C810312E84E7}" fitToPage="1">
      <selection activeCell="G39" sqref="G39"/>
      <pageMargins left="0.7" right="0.7" top="0.75" bottom="0.75" header="0.3" footer="0.3"/>
      <printOptions horizontalCentered="1"/>
      <pageSetup scale="71" orientation="portrait" r:id="rId1"/>
    </customSheetView>
    <customSheetView guid="{567BA860-460A-4CE0-A629-0EA7372574F1}" showPageBreaks="1" fitToPage="1" printArea="1">
      <selection activeCell="B21" sqref="B21"/>
      <pageMargins left="0.7" right="0.7" top="0.75" bottom="0.75" header="0.3" footer="0.3"/>
      <printOptions horizontalCentered="1"/>
      <pageSetup scale="71" orientation="portrait" r:id="rId2"/>
    </customSheetView>
    <customSheetView guid="{0BD4BC22-E7A2-4140-8384-5A5B3339DEED}" fitToPage="1" printArea="1">
      <selection activeCell="G35" sqref="G35"/>
      <pageMargins left="0.7" right="0.7" top="0.75" bottom="0.75" header="0.3" footer="0.3"/>
      <printOptions horizontalCentered="1"/>
      <pageSetup scale="14" orientation="portrait" r:id="rId3"/>
    </customSheetView>
  </customSheetViews>
  <mergeCells count="4">
    <mergeCell ref="B8:C8"/>
    <mergeCell ref="A2:D2"/>
    <mergeCell ref="A3:D3"/>
    <mergeCell ref="A4:D4"/>
  </mergeCells>
  <printOptions horizontalCentered="1"/>
  <pageMargins left="0.7" right="0.7" top="0.75" bottom="0.75" header="0.3" footer="0.3"/>
  <pageSetup scale="51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9523-3286-4238-9534-DED76E06A71E}">
  <sheetPr>
    <pageSetUpPr fitToPage="1"/>
  </sheetPr>
  <dimension ref="A1:N40"/>
  <sheetViews>
    <sheetView showGridLines="0" zoomScale="90" zoomScaleNormal="90" workbookViewId="0">
      <selection activeCell="M18" sqref="M18"/>
    </sheetView>
  </sheetViews>
  <sheetFormatPr defaultColWidth="9.140625" defaultRowHeight="12.75"/>
  <cols>
    <col min="1" max="1" width="2.5703125" style="4" customWidth="1"/>
    <col min="2" max="2" width="14.42578125" style="4" bestFit="1" customWidth="1"/>
    <col min="3" max="12" width="14.85546875" style="4" customWidth="1"/>
    <col min="13" max="13" width="17" style="4" customWidth="1"/>
    <col min="14" max="14" width="9.5703125" style="4" bestFit="1" customWidth="1"/>
    <col min="15" max="16384" width="9.140625" style="4"/>
  </cols>
  <sheetData>
    <row r="1" spans="2:13">
      <c r="B1" s="173" t="s">
        <v>0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2:13">
      <c r="B2" s="173" t="s">
        <v>105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13">
      <c r="B3" s="173" t="s">
        <v>115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20"/>
    </row>
    <row r="4" spans="2:13" s="17" customFormat="1"/>
    <row r="5" spans="2:13" s="17" customFormat="1" ht="13.5" thickBot="1"/>
    <row r="6" spans="2:13" s="17" customFormat="1">
      <c r="E6" s="115"/>
      <c r="F6" s="116"/>
      <c r="G6" s="117" t="s">
        <v>3</v>
      </c>
      <c r="H6" s="117" t="s">
        <v>5</v>
      </c>
      <c r="I6" s="118" t="s">
        <v>6</v>
      </c>
    </row>
    <row r="7" spans="2:13" s="17" customFormat="1">
      <c r="E7" s="119" t="s">
        <v>8</v>
      </c>
      <c r="G7" s="120"/>
      <c r="H7" s="120"/>
      <c r="I7" s="121"/>
    </row>
    <row r="8" spans="2:13" s="17" customFormat="1" ht="13.5" thickBot="1">
      <c r="E8" s="122" t="s">
        <v>7</v>
      </c>
      <c r="F8" s="123"/>
      <c r="G8" s="124">
        <f>'PPA Form 1.0'!D23</f>
        <v>-81755.535627381149</v>
      </c>
      <c r="H8" s="124">
        <f>'PPA Form 1.0'!D24</f>
        <v>9551291.9365722407</v>
      </c>
      <c r="I8" s="125">
        <f>G8+H8</f>
        <v>9469536.4009448588</v>
      </c>
      <c r="J8" s="20"/>
    </row>
    <row r="9" spans="2:13" s="17" customFormat="1">
      <c r="F9" s="126"/>
      <c r="G9" s="126"/>
      <c r="H9" s="126"/>
    </row>
    <row r="10" spans="2:13" s="17" customFormat="1"/>
    <row r="11" spans="2:13" s="17" customFormat="1">
      <c r="B11" s="64"/>
      <c r="E11" s="64"/>
      <c r="F11" s="64" t="s">
        <v>9</v>
      </c>
      <c r="G11" s="64" t="s">
        <v>10</v>
      </c>
      <c r="H11" s="64" t="s">
        <v>10</v>
      </c>
      <c r="J11" s="64"/>
    </row>
    <row r="12" spans="2:13" s="17" customFormat="1">
      <c r="B12" s="64"/>
      <c r="C12" s="64" t="s">
        <v>103</v>
      </c>
      <c r="D12" s="64" t="s">
        <v>103</v>
      </c>
      <c r="E12" s="64" t="s">
        <v>11</v>
      </c>
      <c r="F12" s="64" t="s">
        <v>3</v>
      </c>
      <c r="G12" s="64" t="s">
        <v>3</v>
      </c>
      <c r="H12" s="64" t="s">
        <v>5</v>
      </c>
      <c r="J12" s="64"/>
    </row>
    <row r="13" spans="2:13" s="17" customFormat="1">
      <c r="B13" s="64"/>
      <c r="C13" s="64" t="s">
        <v>12</v>
      </c>
      <c r="D13" s="64" t="s">
        <v>12</v>
      </c>
      <c r="E13" s="64" t="s">
        <v>13</v>
      </c>
      <c r="F13" s="64" t="s">
        <v>14</v>
      </c>
      <c r="G13" s="64" t="s">
        <v>15</v>
      </c>
      <c r="H13" s="64" t="s">
        <v>15</v>
      </c>
      <c r="I13" s="64" t="s">
        <v>16</v>
      </c>
      <c r="J13" s="64" t="s">
        <v>17</v>
      </c>
      <c r="K13" s="64" t="s">
        <v>18</v>
      </c>
    </row>
    <row r="14" spans="2:13" s="17" customFormat="1">
      <c r="B14" s="120" t="s">
        <v>19</v>
      </c>
      <c r="C14" s="120" t="s">
        <v>5</v>
      </c>
      <c r="D14" s="120" t="s">
        <v>3</v>
      </c>
      <c r="E14" s="120" t="s">
        <v>20</v>
      </c>
      <c r="F14" s="120" t="s">
        <v>21</v>
      </c>
      <c r="G14" s="120" t="s">
        <v>22</v>
      </c>
      <c r="H14" s="120" t="s">
        <v>22</v>
      </c>
      <c r="I14" s="120" t="s">
        <v>23</v>
      </c>
      <c r="J14" s="120" t="s">
        <v>23</v>
      </c>
      <c r="K14" s="120" t="s">
        <v>24</v>
      </c>
      <c r="L14" s="120" t="s">
        <v>25</v>
      </c>
    </row>
    <row r="15" spans="2:13" s="17" customFormat="1">
      <c r="B15" s="127">
        <v>-1</v>
      </c>
      <c r="C15" s="127">
        <v>-2</v>
      </c>
      <c r="D15" s="127">
        <v>-3</v>
      </c>
      <c r="E15" s="128">
        <v>-4</v>
      </c>
      <c r="F15" s="128" t="s">
        <v>26</v>
      </c>
      <c r="G15" s="127">
        <v>-6</v>
      </c>
      <c r="H15" s="127">
        <v>-7</v>
      </c>
      <c r="I15" s="128" t="s">
        <v>27</v>
      </c>
      <c r="J15" s="128" t="s">
        <v>28</v>
      </c>
      <c r="K15" s="127">
        <v>-10</v>
      </c>
      <c r="L15" s="128" t="s">
        <v>29</v>
      </c>
    </row>
    <row r="16" spans="2:13" s="17" customFormat="1">
      <c r="C16" s="127"/>
      <c r="D16" s="127"/>
      <c r="E16" s="128"/>
      <c r="G16" s="127" t="s">
        <v>30</v>
      </c>
      <c r="H16" s="127" t="s">
        <v>31</v>
      </c>
      <c r="J16" s="127"/>
      <c r="L16" s="128" t="s">
        <v>32</v>
      </c>
    </row>
    <row r="17" spans="1:14" s="17" customFormat="1" ht="11.25" customHeight="1"/>
    <row r="18" spans="1:14" s="17" customFormat="1">
      <c r="B18" s="17" t="s">
        <v>33</v>
      </c>
      <c r="C18" s="129">
        <f>'Input Sheet'!F6</f>
        <v>1821175714.7742438</v>
      </c>
      <c r="D18" s="129"/>
      <c r="E18" s="130">
        <v>2.2274E-4</v>
      </c>
      <c r="F18" s="19">
        <f>ROUND(C18*E18,0)</f>
        <v>405649</v>
      </c>
      <c r="G18" s="131">
        <f t="shared" ref="G18:G25" si="0">ROUND(G$8*(F18/F$26),0)</f>
        <v>-39768</v>
      </c>
      <c r="H18" s="131">
        <f t="shared" ref="H18:H25" si="1">ROUND(H$8*(C18/C$26),0)</f>
        <v>3441326</v>
      </c>
      <c r="I18" s="132">
        <f>ROUND(IF(D18&gt;0,G18/D18,0),2)</f>
        <v>0</v>
      </c>
      <c r="J18" s="133">
        <f t="shared" ref="J18:J25" si="2">ROUND(IF(D18&gt;0,H18/C18,(G18+H18)/C18),5)</f>
        <v>1.8699999999999999E-3</v>
      </c>
      <c r="K18" s="131">
        <f t="shared" ref="K18:K25" si="3">(C18*J18)+(D18*I18)</f>
        <v>3405598.5866278359</v>
      </c>
      <c r="L18" s="134">
        <f t="shared" ref="L18:L25" si="4">K18-H18-G18</f>
        <v>4040.5866278358735</v>
      </c>
      <c r="M18" s="135"/>
      <c r="N18" s="136"/>
    </row>
    <row r="19" spans="1:14" s="17" customFormat="1">
      <c r="B19" s="17" t="s">
        <v>68</v>
      </c>
      <c r="C19" s="129">
        <f>'Input Sheet'!F7</f>
        <v>611803489.06519186</v>
      </c>
      <c r="D19" s="129"/>
      <c r="E19" s="130">
        <v>1.7461000000000001E-4</v>
      </c>
      <c r="F19" s="19">
        <f>ROUND(C19*E19,0)</f>
        <v>106827</v>
      </c>
      <c r="G19" s="137">
        <f t="shared" si="0"/>
        <v>-10473</v>
      </c>
      <c r="H19" s="137">
        <f t="shared" si="1"/>
        <v>1156075</v>
      </c>
      <c r="I19" s="132">
        <f t="shared" ref="I19:I25" si="5">ROUND(IF(D19&gt;0,G19/D19,0),2)</f>
        <v>0</v>
      </c>
      <c r="J19" s="133">
        <f t="shared" si="2"/>
        <v>1.8699999999999999E-3</v>
      </c>
      <c r="K19" s="137">
        <f t="shared" si="3"/>
        <v>1144072.5245519087</v>
      </c>
      <c r="L19" s="134">
        <f t="shared" si="4"/>
        <v>-1529.4754480912816</v>
      </c>
      <c r="N19" s="136"/>
    </row>
    <row r="20" spans="1:14" s="17" customFormat="1">
      <c r="B20" s="17" t="s">
        <v>34</v>
      </c>
      <c r="C20" s="129">
        <f>'Input Sheet'!F8</f>
        <v>458922427.07628912</v>
      </c>
      <c r="D20" s="129">
        <f>'Input Sheet'!G8</f>
        <v>1437556.7397090197</v>
      </c>
      <c r="E20" s="130">
        <v>1.5156999999999999E-4</v>
      </c>
      <c r="F20" s="19">
        <f t="shared" ref="F20:F25" si="6">ROUND(C20*E20,0)</f>
        <v>69559</v>
      </c>
      <c r="G20" s="137">
        <f t="shared" si="0"/>
        <v>-6819</v>
      </c>
      <c r="H20" s="137">
        <f t="shared" si="1"/>
        <v>867188</v>
      </c>
      <c r="I20" s="132">
        <f>ROUND(IF(D20&gt;0,G20/D20,0),2)</f>
        <v>0</v>
      </c>
      <c r="J20" s="133">
        <f t="shared" si="2"/>
        <v>1.89E-3</v>
      </c>
      <c r="K20" s="137">
        <f t="shared" si="3"/>
        <v>867363.38717418641</v>
      </c>
      <c r="L20" s="134">
        <f t="shared" si="4"/>
        <v>6994.3871741864132</v>
      </c>
      <c r="N20" s="136"/>
    </row>
    <row r="21" spans="1:14" s="17" customFormat="1">
      <c r="B21" s="17" t="s">
        <v>35</v>
      </c>
      <c r="C21" s="129">
        <f>'Input Sheet'!F9</f>
        <v>916038.22359472758</v>
      </c>
      <c r="D21" s="129"/>
      <c r="E21" s="130">
        <f>E20</f>
        <v>1.5156999999999999E-4</v>
      </c>
      <c r="F21" s="19">
        <f t="shared" si="6"/>
        <v>139</v>
      </c>
      <c r="G21" s="137">
        <f t="shared" si="0"/>
        <v>-14</v>
      </c>
      <c r="H21" s="137">
        <f t="shared" si="1"/>
        <v>1731</v>
      </c>
      <c r="I21" s="132">
        <f t="shared" si="5"/>
        <v>0</v>
      </c>
      <c r="J21" s="133">
        <f t="shared" si="2"/>
        <v>1.8699999999999999E-3</v>
      </c>
      <c r="K21" s="137">
        <f t="shared" si="3"/>
        <v>1712.9914781221405</v>
      </c>
      <c r="L21" s="134">
        <f t="shared" si="4"/>
        <v>-4.0085218778594935</v>
      </c>
      <c r="N21" s="136"/>
    </row>
    <row r="22" spans="1:14" s="17" customFormat="1">
      <c r="B22" s="17" t="s">
        <v>69</v>
      </c>
      <c r="C22" s="129">
        <f>'Input Sheet'!F10</f>
        <v>2122982265.3048143</v>
      </c>
      <c r="D22" s="129">
        <f>'Input Sheet'!G10</f>
        <v>3765618.8998908456</v>
      </c>
      <c r="E22" s="130">
        <v>1.1786999999999999E-4</v>
      </c>
      <c r="F22" s="19">
        <f t="shared" si="6"/>
        <v>250236</v>
      </c>
      <c r="G22" s="137">
        <f t="shared" si="0"/>
        <v>-24532</v>
      </c>
      <c r="H22" s="137">
        <f t="shared" si="1"/>
        <v>4011625</v>
      </c>
      <c r="I22" s="132">
        <f>ROUND(IF(D22&gt;0,G22/D22,0),2)</f>
        <v>-0.01</v>
      </c>
      <c r="J22" s="133">
        <f t="shared" si="2"/>
        <v>1.89E-3</v>
      </c>
      <c r="K22" s="137">
        <f t="shared" si="3"/>
        <v>3974780.2924271906</v>
      </c>
      <c r="L22" s="134">
        <f t="shared" si="4"/>
        <v>-12312.707572809421</v>
      </c>
      <c r="N22" s="136"/>
    </row>
    <row r="23" spans="1:14" s="17" customFormat="1">
      <c r="B23" s="17" t="s">
        <v>36</v>
      </c>
      <c r="C23" s="129">
        <f>'Input Sheet'!F11</f>
        <v>1701225.3071539078</v>
      </c>
      <c r="D23" s="129"/>
      <c r="E23" s="130">
        <v>1.1468000000000001E-4</v>
      </c>
      <c r="F23" s="19">
        <f t="shared" si="6"/>
        <v>195</v>
      </c>
      <c r="G23" s="137">
        <f t="shared" si="0"/>
        <v>-19</v>
      </c>
      <c r="H23" s="137">
        <f t="shared" si="1"/>
        <v>3215</v>
      </c>
      <c r="I23" s="132">
        <f t="shared" si="5"/>
        <v>0</v>
      </c>
      <c r="J23" s="133">
        <f t="shared" si="2"/>
        <v>1.8799999999999999E-3</v>
      </c>
      <c r="K23" s="137">
        <f t="shared" si="3"/>
        <v>3198.3035774493464</v>
      </c>
      <c r="L23" s="134">
        <f t="shared" si="4"/>
        <v>2.3035774493464487</v>
      </c>
      <c r="N23" s="136"/>
    </row>
    <row r="24" spans="1:14" s="17" customFormat="1">
      <c r="B24" s="17" t="s">
        <v>37</v>
      </c>
      <c r="C24" s="129">
        <f>'Input Sheet'!F12</f>
        <v>29474021.585521497</v>
      </c>
      <c r="D24" s="129"/>
      <c r="E24" s="130">
        <v>3.6140000000000003E-5</v>
      </c>
      <c r="F24" s="19">
        <f t="shared" si="6"/>
        <v>1065</v>
      </c>
      <c r="G24" s="137">
        <f t="shared" si="0"/>
        <v>-104</v>
      </c>
      <c r="H24" s="137">
        <f t="shared" si="1"/>
        <v>55695</v>
      </c>
      <c r="I24" s="132">
        <f t="shared" si="5"/>
        <v>0</v>
      </c>
      <c r="J24" s="133">
        <f t="shared" si="2"/>
        <v>1.89E-3</v>
      </c>
      <c r="K24" s="137">
        <f t="shared" si="3"/>
        <v>55705.900796635629</v>
      </c>
      <c r="L24" s="134">
        <f t="shared" si="4"/>
        <v>114.90079663562938</v>
      </c>
      <c r="N24" s="136"/>
    </row>
    <row r="25" spans="1:14" s="17" customFormat="1">
      <c r="B25" s="17" t="s">
        <v>38</v>
      </c>
      <c r="C25" s="129">
        <f>'Input Sheet'!F13</f>
        <v>7641200.4657472605</v>
      </c>
      <c r="D25" s="129"/>
      <c r="E25" s="130">
        <v>3.595E-5</v>
      </c>
      <c r="F25" s="19">
        <f t="shared" si="6"/>
        <v>275</v>
      </c>
      <c r="G25" s="137">
        <f t="shared" si="0"/>
        <v>-27</v>
      </c>
      <c r="H25" s="137">
        <f t="shared" si="1"/>
        <v>14439</v>
      </c>
      <c r="I25" s="132">
        <f t="shared" si="5"/>
        <v>0</v>
      </c>
      <c r="J25" s="133">
        <f t="shared" si="2"/>
        <v>1.89E-3</v>
      </c>
      <c r="K25" s="137">
        <f t="shared" si="3"/>
        <v>14441.868880262322</v>
      </c>
      <c r="L25" s="134">
        <f t="shared" si="4"/>
        <v>29.868880262321909</v>
      </c>
      <c r="N25" s="136"/>
    </row>
    <row r="26" spans="1:14" s="17" customFormat="1">
      <c r="B26" s="138" t="s">
        <v>6</v>
      </c>
      <c r="C26" s="139">
        <f>SUM(C18:C25)</f>
        <v>5054616381.802556</v>
      </c>
      <c r="D26" s="139">
        <f>SUM(D18:D25)</f>
        <v>5203175.6395998653</v>
      </c>
      <c r="E26" s="140"/>
      <c r="F26" s="139">
        <f>SUM(F18:F25)</f>
        <v>833945</v>
      </c>
      <c r="G26" s="141">
        <f>SUM(G18:G25)</f>
        <v>-81756</v>
      </c>
      <c r="H26" s="141">
        <f>SUM(H18:H25)</f>
        <v>9551294</v>
      </c>
      <c r="I26" s="141"/>
      <c r="J26" s="138"/>
      <c r="K26" s="141">
        <f>SUM(K18:K25)</f>
        <v>9466873.8555135913</v>
      </c>
      <c r="L26" s="141">
        <f>SUM(L18:L25)</f>
        <v>-2664.1444864089763</v>
      </c>
    </row>
    <row r="27" spans="1:14" s="17" customFormat="1">
      <c r="C27" s="65"/>
      <c r="D27" s="65"/>
      <c r="K27" s="126"/>
      <c r="L27" s="126"/>
    </row>
    <row r="28" spans="1:14" s="17" customFormat="1">
      <c r="K28" s="66"/>
    </row>
    <row r="29" spans="1:14" s="17" customFormat="1">
      <c r="L29" s="18"/>
    </row>
    <row r="30" spans="1:14" s="17" customFormat="1" ht="15.75">
      <c r="A30" s="142"/>
      <c r="H30" s="19"/>
    </row>
    <row r="31" spans="1:14" s="17" customFormat="1" ht="15.75">
      <c r="A31" s="143"/>
      <c r="K31" s="136"/>
    </row>
    <row r="32" spans="1:14" s="17" customFormat="1"/>
    <row r="33" spans="3:4" s="17" customFormat="1"/>
    <row r="34" spans="3:4" s="17" customFormat="1"/>
    <row r="38" spans="3:4">
      <c r="C38" s="7"/>
      <c r="D38" s="7"/>
    </row>
    <row r="40" spans="3:4">
      <c r="C40" s="144"/>
    </row>
  </sheetData>
  <mergeCells count="3">
    <mergeCell ref="B1:L1"/>
    <mergeCell ref="B2:L2"/>
    <mergeCell ref="B3:L3"/>
  </mergeCells>
  <printOptions horizontalCentered="1"/>
  <pageMargins left="0.75" right="0.75" top="1" bottom="1" header="0.5" footer="0.5"/>
  <pageSetup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3034-36BF-4D82-8BD2-15CE154871B5}">
  <sheetPr>
    <pageSetUpPr fitToPage="1"/>
  </sheetPr>
  <dimension ref="A1:G22"/>
  <sheetViews>
    <sheetView showGridLines="0" zoomScale="90" zoomScaleNormal="90" workbookViewId="0">
      <selection activeCell="B9" sqref="B9"/>
    </sheetView>
  </sheetViews>
  <sheetFormatPr defaultColWidth="9.140625" defaultRowHeight="12.75"/>
  <cols>
    <col min="1" max="1" width="57.85546875" style="4" customWidth="1"/>
    <col min="2" max="2" width="11.85546875" style="4" bestFit="1" customWidth="1"/>
    <col min="3" max="3" width="9.28515625" style="4" customWidth="1"/>
    <col min="4" max="4" width="18" style="4" customWidth="1"/>
    <col min="5" max="5" width="10.140625" style="4" bestFit="1" customWidth="1"/>
    <col min="6" max="6" width="15.42578125" style="4" bestFit="1" customWidth="1"/>
    <col min="7" max="7" width="12.140625" style="4" bestFit="1" customWidth="1"/>
    <col min="8" max="16384" width="9.140625" style="4"/>
  </cols>
  <sheetData>
    <row r="1" spans="1:7">
      <c r="A1" s="172" t="s">
        <v>0</v>
      </c>
      <c r="B1" s="172"/>
      <c r="C1" s="172"/>
      <c r="D1" s="172"/>
    </row>
    <row r="2" spans="1:7">
      <c r="A2" s="172" t="s">
        <v>106</v>
      </c>
      <c r="B2" s="172"/>
      <c r="C2" s="172"/>
      <c r="D2" s="172"/>
    </row>
    <row r="3" spans="1:7" ht="14.45" customHeight="1">
      <c r="A3" s="171" t="s">
        <v>116</v>
      </c>
      <c r="B3" s="171"/>
      <c r="C3" s="171"/>
      <c r="D3" s="171"/>
    </row>
    <row r="5" spans="1:7" ht="15" customHeight="1">
      <c r="D5" s="145"/>
    </row>
    <row r="6" spans="1:7" s="11" customFormat="1">
      <c r="G6" s="146"/>
    </row>
    <row r="7" spans="1:7" s="11" customFormat="1">
      <c r="B7" s="147"/>
      <c r="D7" s="148" t="s">
        <v>10</v>
      </c>
    </row>
    <row r="8" spans="1:7">
      <c r="A8" s="4" t="s">
        <v>100</v>
      </c>
      <c r="B8" s="149">
        <f>'PPA Form 3.0a'!O25</f>
        <v>-98190.520000000048</v>
      </c>
      <c r="C8" s="150" t="s">
        <v>3</v>
      </c>
      <c r="D8" s="151">
        <f>B8</f>
        <v>-98190.520000000048</v>
      </c>
      <c r="E8" s="11"/>
    </row>
    <row r="9" spans="1:7">
      <c r="A9" s="4" t="s">
        <v>83</v>
      </c>
      <c r="B9" s="149">
        <f>'PPA Form 3.0a'!O26</f>
        <v>11471349.490000002</v>
      </c>
      <c r="C9" s="150" t="s">
        <v>5</v>
      </c>
      <c r="D9" s="151">
        <f>B9</f>
        <v>11471349.490000002</v>
      </c>
    </row>
    <row r="10" spans="1:7">
      <c r="A10" s="4" t="s">
        <v>84</v>
      </c>
      <c r="B10" s="149">
        <f>'PPA Form 3.0a'!O29</f>
        <v>6408632</v>
      </c>
      <c r="C10" s="150"/>
      <c r="D10" s="151">
        <f>B10</f>
        <v>6408632</v>
      </c>
    </row>
    <row r="11" spans="1:7" ht="13.5" thickBot="1">
      <c r="A11" s="11" t="s">
        <v>6</v>
      </c>
      <c r="C11" s="150"/>
      <c r="D11" s="152">
        <f>D8+D9-D10</f>
        <v>4964526.9700000025</v>
      </c>
      <c r="E11" s="153"/>
      <c r="F11" s="154"/>
    </row>
    <row r="12" spans="1:7" ht="13.5" thickTop="1">
      <c r="C12" s="150"/>
    </row>
    <row r="13" spans="1:7">
      <c r="B13" s="5"/>
    </row>
    <row r="14" spans="1:7">
      <c r="B14" s="155"/>
    </row>
    <row r="15" spans="1:7">
      <c r="B15" s="156" t="s">
        <v>66</v>
      </c>
      <c r="C15" s="156" t="s">
        <v>67</v>
      </c>
    </row>
    <row r="16" spans="1:7">
      <c r="A16" s="4" t="s">
        <v>64</v>
      </c>
      <c r="B16" s="151">
        <f>D8</f>
        <v>-98190.520000000048</v>
      </c>
      <c r="C16" s="157">
        <f>D16/D18</f>
        <v>-8.6335309529222224E-3</v>
      </c>
      <c r="D16" s="158">
        <f>D8</f>
        <v>-98190.520000000048</v>
      </c>
      <c r="E16" s="20"/>
    </row>
    <row r="17" spans="1:4">
      <c r="A17" s="4" t="s">
        <v>65</v>
      </c>
      <c r="B17" s="151">
        <f>D9</f>
        <v>11471349.490000002</v>
      </c>
      <c r="C17" s="157">
        <f>D17/D18</f>
        <v>1.0086335309529222</v>
      </c>
      <c r="D17" s="151">
        <f>D9</f>
        <v>11471349.490000002</v>
      </c>
    </row>
    <row r="18" spans="1:4">
      <c r="D18" s="151">
        <f>D17+D16</f>
        <v>11373158.970000003</v>
      </c>
    </row>
    <row r="19" spans="1:4">
      <c r="A19" s="159"/>
    </row>
    <row r="21" spans="1:4">
      <c r="C21" s="151"/>
    </row>
    <row r="22" spans="1:4">
      <c r="C22" s="15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423D-A304-4E03-AF41-6412FFA78FEA}">
  <sheetPr>
    <pageSetUpPr fitToPage="1"/>
  </sheetPr>
  <dimension ref="A1:P41"/>
  <sheetViews>
    <sheetView showGridLines="0" zoomScale="90" zoomScaleNormal="90" zoomScaleSheetLayoutView="50" workbookViewId="0">
      <pane xSplit="2" ySplit="5" topLeftCell="C6" activePane="bottomRight" state="frozen"/>
      <selection pane="topRight" activeCell="D1" sqref="D1"/>
      <selection pane="bottomLeft" activeCell="A7" sqref="A7"/>
      <selection pane="bottomRight" activeCell="A31" sqref="A31"/>
    </sheetView>
  </sheetViews>
  <sheetFormatPr defaultColWidth="9.140625" defaultRowHeight="12.75"/>
  <cols>
    <col min="1" max="1" width="18.85546875" style="17" customWidth="1"/>
    <col min="2" max="2" width="53.7109375" style="17" customWidth="1"/>
    <col min="3" max="15" width="13.28515625" style="17" customWidth="1"/>
    <col min="16" max="16" width="33.7109375" style="17" customWidth="1"/>
    <col min="17" max="16384" width="9.140625" style="17"/>
  </cols>
  <sheetData>
    <row r="1" spans="1:15">
      <c r="A1" s="68" t="s">
        <v>0</v>
      </c>
    </row>
    <row r="2" spans="1:15">
      <c r="A2" s="68" t="s">
        <v>73</v>
      </c>
      <c r="C2" s="68"/>
      <c r="F2" s="69"/>
      <c r="H2" s="69"/>
      <c r="I2" s="68"/>
    </row>
    <row r="3" spans="1:15">
      <c r="A3" s="68" t="s">
        <v>117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5">
      <c r="A4" s="68"/>
      <c r="C4" s="82">
        <v>2025</v>
      </c>
      <c r="D4" s="70"/>
      <c r="E4" s="70"/>
      <c r="F4" s="70"/>
      <c r="G4" s="70"/>
      <c r="H4" s="70"/>
      <c r="I4" s="82">
        <v>2026</v>
      </c>
      <c r="J4" s="70"/>
      <c r="K4" s="70"/>
      <c r="L4" s="70"/>
      <c r="M4" s="70"/>
      <c r="N4" s="70"/>
    </row>
    <row r="5" spans="1:15">
      <c r="B5" s="71"/>
      <c r="C5" s="72" t="s">
        <v>90</v>
      </c>
      <c r="D5" s="72" t="s">
        <v>89</v>
      </c>
      <c r="E5" s="72" t="s">
        <v>88</v>
      </c>
      <c r="F5" s="72" t="s">
        <v>87</v>
      </c>
      <c r="G5" s="72" t="s">
        <v>86</v>
      </c>
      <c r="H5" s="72" t="s">
        <v>85</v>
      </c>
      <c r="I5" s="72" t="s">
        <v>74</v>
      </c>
      <c r="J5" s="72" t="s">
        <v>75</v>
      </c>
      <c r="K5" s="72" t="s">
        <v>76</v>
      </c>
      <c r="L5" s="72" t="s">
        <v>77</v>
      </c>
      <c r="M5" s="72" t="s">
        <v>78</v>
      </c>
      <c r="N5" s="72" t="s">
        <v>79</v>
      </c>
      <c r="O5" s="101" t="s">
        <v>6</v>
      </c>
    </row>
    <row r="6" spans="1:15">
      <c r="A6" s="71" t="s">
        <v>80</v>
      </c>
      <c r="B6" s="17" t="s">
        <v>93</v>
      </c>
      <c r="C6" s="87">
        <v>876533.15835238795</v>
      </c>
      <c r="D6" s="87">
        <v>794845.52242759801</v>
      </c>
      <c r="E6" s="87">
        <v>755003.45670726895</v>
      </c>
      <c r="F6" s="87">
        <v>195500.44804351099</v>
      </c>
      <c r="G6" s="87">
        <v>-37760.080273262298</v>
      </c>
      <c r="H6" s="87">
        <v>86010.088849516003</v>
      </c>
      <c r="I6" s="87">
        <v>88210.734257718897</v>
      </c>
      <c r="J6" s="87">
        <v>92145.992194770894</v>
      </c>
      <c r="K6" s="87">
        <v>63911.716161407203</v>
      </c>
      <c r="L6" s="87">
        <v>64846.482707955802</v>
      </c>
      <c r="M6" s="87">
        <v>62185.082175550902</v>
      </c>
      <c r="N6" s="87">
        <v>61687.458878723599</v>
      </c>
      <c r="O6" s="87">
        <f>SUM(C6:N6)</f>
        <v>3103120.0604831469</v>
      </c>
    </row>
    <row r="7" spans="1:15">
      <c r="B7" s="17" t="s">
        <v>129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7">
        <f>(945329/12)*(3/31)</f>
        <v>7623.6209677419356</v>
      </c>
      <c r="N7" s="87">
        <f>945329/12</f>
        <v>78777.416666666672</v>
      </c>
      <c r="O7" s="87">
        <f>SUM(C7:N7)</f>
        <v>86401.037634408611</v>
      </c>
    </row>
    <row r="8" spans="1:15">
      <c r="B8" s="17" t="s">
        <v>25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7">
        <f>M7-(M6*(3/31))</f>
        <v>1605.7097894628159</v>
      </c>
      <c r="N8" s="87">
        <f>+N7-N6</f>
        <v>17089.957787943073</v>
      </c>
      <c r="O8" s="87">
        <f>SUM(C8:N8)</f>
        <v>18695.667577405889</v>
      </c>
    </row>
    <row r="9" spans="1:15">
      <c r="A9" s="80"/>
      <c r="B9" s="80" t="s">
        <v>127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9">
        <f>M8</f>
        <v>1605.7097894628159</v>
      </c>
      <c r="N9" s="89">
        <f>M9+N8</f>
        <v>18695.667577405889</v>
      </c>
      <c r="O9" s="89">
        <f>N9</f>
        <v>18695.667577405889</v>
      </c>
    </row>
    <row r="10" spans="1:15">
      <c r="B10" s="71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19"/>
    </row>
    <row r="11" spans="1:15">
      <c r="A11" s="71" t="s">
        <v>82</v>
      </c>
      <c r="B11" s="7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19"/>
    </row>
    <row r="12" spans="1:15">
      <c r="A12" s="64">
        <v>5650021</v>
      </c>
      <c r="B12" s="17" t="s">
        <v>137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1:15">
      <c r="A13" s="64">
        <v>5650015</v>
      </c>
      <c r="B13" s="17" t="s">
        <v>138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</row>
    <row r="14" spans="1:15">
      <c r="A14" s="64">
        <v>4561005</v>
      </c>
      <c r="B14" s="17" t="s">
        <v>139</v>
      </c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15">
      <c r="A15" s="64">
        <v>4561002</v>
      </c>
      <c r="B15" s="17" t="s">
        <v>140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</row>
    <row r="16" spans="1:15">
      <c r="A16" s="64">
        <v>5550155</v>
      </c>
      <c r="B16" s="17" t="s">
        <v>141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</row>
    <row r="17" spans="1:16">
      <c r="A17" s="64">
        <v>4561035</v>
      </c>
      <c r="B17" s="17" t="s">
        <v>142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6">
      <c r="A18" s="64">
        <v>4561036</v>
      </c>
      <c r="B18" s="17" t="s">
        <v>143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</row>
    <row r="19" spans="1:16">
      <c r="A19" s="64">
        <v>4561060</v>
      </c>
      <c r="B19" s="17" t="s">
        <v>144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</row>
    <row r="20" spans="1:16">
      <c r="A20" s="64">
        <v>5650012</v>
      </c>
      <c r="B20" s="17" t="s">
        <v>144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</row>
    <row r="21" spans="1:16">
      <c r="A21" s="64">
        <v>5650016</v>
      </c>
      <c r="B21" s="17" t="s">
        <v>145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</row>
    <row r="22" spans="1:16">
      <c r="A22" s="64">
        <v>5650019</v>
      </c>
      <c r="B22" s="17" t="s">
        <v>144</v>
      </c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</row>
    <row r="23" spans="1:16">
      <c r="A23" s="64"/>
      <c r="B23" s="17" t="s">
        <v>135</v>
      </c>
      <c r="C23" s="19">
        <v>626579.71</v>
      </c>
      <c r="D23" s="19">
        <v>626579.71</v>
      </c>
      <c r="E23" s="19">
        <v>626579.71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f>SUM(C23:N23)</f>
        <v>1879739.13</v>
      </c>
    </row>
    <row r="24" spans="1:16">
      <c r="A24" s="97"/>
      <c r="B24" s="17" t="s">
        <v>113</v>
      </c>
      <c r="C24" s="19">
        <v>-40681.199999999997</v>
      </c>
      <c r="D24" s="19">
        <v>-40681.199999999997</v>
      </c>
      <c r="E24" s="19">
        <v>-40681.199999999997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f>SUM(C24:N24)</f>
        <v>-122043.59999999999</v>
      </c>
    </row>
    <row r="25" spans="1:16">
      <c r="A25" s="97"/>
      <c r="B25" s="17" t="s">
        <v>99</v>
      </c>
      <c r="C25" s="19">
        <v>64124.29</v>
      </c>
      <c r="D25" s="19">
        <v>-415674.74</v>
      </c>
      <c r="E25" s="19">
        <v>31536.539999999983</v>
      </c>
      <c r="F25" s="19">
        <v>460.93000000000029</v>
      </c>
      <c r="G25" s="19">
        <v>31536.54</v>
      </c>
      <c r="H25" s="19">
        <v>31536.54</v>
      </c>
      <c r="I25" s="19">
        <v>32587.75</v>
      </c>
      <c r="J25" s="19">
        <v>29434.1</v>
      </c>
      <c r="K25" s="19">
        <v>32587.75</v>
      </c>
      <c r="L25" s="19">
        <v>31536.54</v>
      </c>
      <c r="M25" s="19">
        <v>32143.239999999998</v>
      </c>
      <c r="N25" s="19">
        <v>0</v>
      </c>
      <c r="O25" s="19">
        <f>SUM(C25:N25)</f>
        <v>-98190.520000000048</v>
      </c>
    </row>
    <row r="26" spans="1:16">
      <c r="B26" s="90" t="s">
        <v>136</v>
      </c>
      <c r="C26" s="86">
        <v>297657.67</v>
      </c>
      <c r="D26" s="86">
        <v>495031.31</v>
      </c>
      <c r="E26" s="86">
        <v>159952.53999999998</v>
      </c>
      <c r="F26" s="86">
        <v>150529.42000000001</v>
      </c>
      <c r="G26" s="86">
        <v>279743.76</v>
      </c>
      <c r="H26" s="86">
        <v>164423.16</v>
      </c>
      <c r="I26" s="86">
        <v>786506.83</v>
      </c>
      <c r="J26" s="86">
        <v>2352890.62</v>
      </c>
      <c r="K26" s="86">
        <v>5007453.0999999996</v>
      </c>
      <c r="L26" s="86">
        <v>308721.37000000011</v>
      </c>
      <c r="M26" s="86">
        <v>240258.59</v>
      </c>
      <c r="N26" s="86">
        <v>1228181.1200000001</v>
      </c>
      <c r="O26" s="19">
        <f>SUM(C26:N26)</f>
        <v>11471349.490000002</v>
      </c>
    </row>
    <row r="27" spans="1:16">
      <c r="A27" s="80"/>
      <c r="B27" s="91" t="s">
        <v>6</v>
      </c>
      <c r="C27" s="92">
        <f>SUM(C23:C26)</f>
        <v>947680.47</v>
      </c>
      <c r="D27" s="92">
        <f t="shared" ref="D27:N27" si="0">SUM(D23:D26)</f>
        <v>665255.08000000007</v>
      </c>
      <c r="E27" s="92">
        <f t="shared" si="0"/>
        <v>777387.59000000008</v>
      </c>
      <c r="F27" s="92">
        <f t="shared" si="0"/>
        <v>150990.35</v>
      </c>
      <c r="G27" s="92">
        <f t="shared" si="0"/>
        <v>311280.3</v>
      </c>
      <c r="H27" s="92">
        <f t="shared" si="0"/>
        <v>195959.7</v>
      </c>
      <c r="I27" s="92">
        <f t="shared" si="0"/>
        <v>819094.58</v>
      </c>
      <c r="J27" s="92">
        <f t="shared" si="0"/>
        <v>2382324.7200000002</v>
      </c>
      <c r="K27" s="92">
        <f t="shared" si="0"/>
        <v>5040040.8499999996</v>
      </c>
      <c r="L27" s="92">
        <f t="shared" si="0"/>
        <v>340257.91000000009</v>
      </c>
      <c r="M27" s="92">
        <f t="shared" si="0"/>
        <v>272401.83</v>
      </c>
      <c r="N27" s="92">
        <f t="shared" si="0"/>
        <v>1228181.1200000001</v>
      </c>
      <c r="O27" s="95">
        <f>SUM(C27:N27)</f>
        <v>13130854.5</v>
      </c>
    </row>
    <row r="28" spans="1:16">
      <c r="B28" s="7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19"/>
    </row>
    <row r="29" spans="1:16">
      <c r="A29" s="98" t="s">
        <v>81</v>
      </c>
      <c r="B29" s="80"/>
      <c r="C29" s="99">
        <f t="shared" ref="C29:H29" si="1">ROUND(6554678/12,0)</f>
        <v>546223</v>
      </c>
      <c r="D29" s="99">
        <f t="shared" si="1"/>
        <v>546223</v>
      </c>
      <c r="E29" s="99">
        <f t="shared" si="1"/>
        <v>546223</v>
      </c>
      <c r="F29" s="99">
        <f t="shared" si="1"/>
        <v>546223</v>
      </c>
      <c r="G29" s="99">
        <f t="shared" si="1"/>
        <v>546223</v>
      </c>
      <c r="H29" s="99">
        <f t="shared" si="1"/>
        <v>546223</v>
      </c>
      <c r="I29" s="99">
        <v>546223</v>
      </c>
      <c r="J29" s="99">
        <v>546223</v>
      </c>
      <c r="K29" s="99">
        <f>ROUND(6116549/12,0)</f>
        <v>509712</v>
      </c>
      <c r="L29" s="99">
        <f>ROUND(6116549/12,0)</f>
        <v>509712</v>
      </c>
      <c r="M29" s="99">
        <f>ROUND(6116549/12,0)</f>
        <v>509712</v>
      </c>
      <c r="N29" s="99">
        <f>ROUND(6116549/12,0)</f>
        <v>509712</v>
      </c>
      <c r="O29" s="95">
        <f>SUM(C29:N29)</f>
        <v>6408632</v>
      </c>
      <c r="P29" s="67"/>
    </row>
    <row r="30" spans="1:16">
      <c r="A30" s="97"/>
      <c r="B30" s="68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19"/>
      <c r="P30" s="67"/>
    </row>
    <row r="31" spans="1:16">
      <c r="A31" s="71" t="s">
        <v>130</v>
      </c>
      <c r="B31" s="17" t="s">
        <v>119</v>
      </c>
      <c r="C31" s="84">
        <f>C27-C29</f>
        <v>401457.47</v>
      </c>
      <c r="D31" s="84">
        <f t="shared" ref="D31:N31" si="2">D27-D29</f>
        <v>119032.08000000007</v>
      </c>
      <c r="E31" s="84">
        <f t="shared" si="2"/>
        <v>231164.59000000008</v>
      </c>
      <c r="F31" s="84">
        <f t="shared" si="2"/>
        <v>-395232.65</v>
      </c>
      <c r="G31" s="84">
        <f t="shared" si="2"/>
        <v>-234942.7</v>
      </c>
      <c r="H31" s="84">
        <f t="shared" si="2"/>
        <v>-350263.3</v>
      </c>
      <c r="I31" s="84">
        <f t="shared" si="2"/>
        <v>272871.57999999996</v>
      </c>
      <c r="J31" s="84">
        <f t="shared" si="2"/>
        <v>1836101.7200000002</v>
      </c>
      <c r="K31" s="84">
        <f t="shared" si="2"/>
        <v>4530328.8499999996</v>
      </c>
      <c r="L31" s="84">
        <f t="shared" si="2"/>
        <v>-169454.08999999991</v>
      </c>
      <c r="M31" s="84">
        <f t="shared" si="2"/>
        <v>-237310.16999999998</v>
      </c>
      <c r="N31" s="84">
        <f t="shared" si="2"/>
        <v>718469.12000000011</v>
      </c>
      <c r="O31" s="19"/>
    </row>
    <row r="32" spans="1:16" ht="12.75" customHeight="1">
      <c r="A32" s="93" t="s">
        <v>134</v>
      </c>
      <c r="B32" s="83" t="s">
        <v>120</v>
      </c>
      <c r="C32" s="19">
        <f t="shared" ref="C32:N32" si="3">C31-C6</f>
        <v>-475075.68835238798</v>
      </c>
      <c r="D32" s="19">
        <f t="shared" si="3"/>
        <v>-675813.44242759794</v>
      </c>
      <c r="E32" s="19">
        <f t="shared" si="3"/>
        <v>-523838.86670726887</v>
      </c>
      <c r="F32" s="19">
        <f t="shared" si="3"/>
        <v>-590733.09804351104</v>
      </c>
      <c r="G32" s="19">
        <f t="shared" si="3"/>
        <v>-197182.61972673773</v>
      </c>
      <c r="H32" s="19">
        <f t="shared" si="3"/>
        <v>-436273.38884951599</v>
      </c>
      <c r="I32" s="19">
        <f t="shared" si="3"/>
        <v>184660.84574228106</v>
      </c>
      <c r="J32" s="19">
        <f t="shared" si="3"/>
        <v>1743955.7278052294</v>
      </c>
      <c r="K32" s="19">
        <f t="shared" si="3"/>
        <v>4466417.1338385921</v>
      </c>
      <c r="L32" s="19">
        <f t="shared" si="3"/>
        <v>-234300.57270795573</v>
      </c>
      <c r="M32" s="19">
        <f t="shared" si="3"/>
        <v>-299495.25217555091</v>
      </c>
      <c r="N32" s="19">
        <f t="shared" si="3"/>
        <v>656781.66112127656</v>
      </c>
      <c r="O32" s="19"/>
    </row>
    <row r="33" spans="1:16">
      <c r="A33" s="100"/>
      <c r="B33" s="94" t="s">
        <v>118</v>
      </c>
      <c r="C33" s="89">
        <f>+C32+C34</f>
        <v>383412.22062030749</v>
      </c>
      <c r="D33" s="89">
        <f t="shared" ref="D33:N33" si="4">C33+D32</f>
        <v>-292401.22180729045</v>
      </c>
      <c r="E33" s="89">
        <f t="shared" si="4"/>
        <v>-816240.08851455932</v>
      </c>
      <c r="F33" s="89">
        <f t="shared" si="4"/>
        <v>-1406973.1865580704</v>
      </c>
      <c r="G33" s="89">
        <f t="shared" si="4"/>
        <v>-1604155.8062848081</v>
      </c>
      <c r="H33" s="89">
        <f t="shared" si="4"/>
        <v>-2040429.195134324</v>
      </c>
      <c r="I33" s="89">
        <f t="shared" si="4"/>
        <v>-1855768.349392043</v>
      </c>
      <c r="J33" s="89">
        <f t="shared" si="4"/>
        <v>-111812.62158681359</v>
      </c>
      <c r="K33" s="89">
        <f t="shared" si="4"/>
        <v>4354604.5122517785</v>
      </c>
      <c r="L33" s="89">
        <f t="shared" si="4"/>
        <v>4120303.9395438228</v>
      </c>
      <c r="M33" s="89">
        <f>L33+M32</f>
        <v>3820808.6873682719</v>
      </c>
      <c r="N33" s="89">
        <f t="shared" si="4"/>
        <v>4477590.3484895481</v>
      </c>
      <c r="O33" s="89">
        <f>N33</f>
        <v>4477590.3484895481</v>
      </c>
    </row>
    <row r="34" spans="1:16">
      <c r="A34" s="93"/>
      <c r="C34" s="84">
        <v>858487.90897269547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1:16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20"/>
    </row>
    <row r="36" spans="1:16">
      <c r="A36" s="71" t="s">
        <v>132</v>
      </c>
      <c r="B36" s="17" t="s">
        <v>133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20"/>
    </row>
    <row r="37" spans="1:16">
      <c r="A37" s="80" t="s">
        <v>131</v>
      </c>
      <c r="B37" s="80" t="s">
        <v>127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</row>
    <row r="38" spans="1:16">
      <c r="M38" s="67"/>
    </row>
    <row r="39" spans="1:16" ht="13.5" thickBot="1">
      <c r="M39" s="81">
        <f>+M32*(28/31)</f>
        <v>-270511.84067469114</v>
      </c>
      <c r="N39" s="179">
        <f>+M39-M32</f>
        <v>28983.411500859773</v>
      </c>
    </row>
    <row r="40" spans="1:16" ht="13.5" thickBot="1">
      <c r="C40" s="73"/>
      <c r="D40" s="73"/>
      <c r="E40" s="73"/>
      <c r="F40" s="73"/>
      <c r="G40" s="73"/>
      <c r="H40" s="73"/>
      <c r="I40" s="73"/>
      <c r="J40" s="73"/>
      <c r="K40" s="73"/>
      <c r="L40" s="102"/>
      <c r="M40" s="103">
        <f>+L33+M39</f>
        <v>3849792.0988691319</v>
      </c>
      <c r="N40" s="179">
        <f>+M40-M33</f>
        <v>28983.411500860006</v>
      </c>
    </row>
    <row r="41" spans="1:16">
      <c r="C41" s="69"/>
      <c r="D41" s="69"/>
      <c r="E41" s="69"/>
      <c r="F41" s="69"/>
      <c r="G41" s="69"/>
      <c r="H41" s="69"/>
      <c r="I41" s="69"/>
      <c r="J41" s="69"/>
      <c r="K41" s="69"/>
      <c r="N41" s="69"/>
    </row>
  </sheetData>
  <pageMargins left="0.7" right="0.7" top="0.75" bottom="0.75" header="0.3" footer="0.3"/>
  <pageSetup scale="3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showGridLines="0" zoomScale="90" zoomScaleNormal="90" zoomScaleSheetLayoutView="85" workbookViewId="0">
      <selection sqref="A1:F1"/>
    </sheetView>
  </sheetViews>
  <sheetFormatPr defaultColWidth="8.7109375" defaultRowHeight="12.75"/>
  <cols>
    <col min="1" max="1" width="8.7109375" style="4"/>
    <col min="2" max="2" width="13.85546875" style="4" customWidth="1"/>
    <col min="3" max="4" width="8.7109375" style="4"/>
    <col min="5" max="5" width="4" style="4" customWidth="1"/>
    <col min="6" max="6" width="17.5703125" style="4" bestFit="1" customWidth="1"/>
    <col min="7" max="16384" width="8.7109375" style="4"/>
  </cols>
  <sheetData>
    <row r="1" spans="1:10" ht="15" customHeight="1">
      <c r="A1" s="172" t="s">
        <v>0</v>
      </c>
      <c r="B1" s="172"/>
      <c r="C1" s="172"/>
      <c r="D1" s="172"/>
      <c r="E1" s="172"/>
      <c r="F1" s="172"/>
    </row>
    <row r="2" spans="1:10" ht="15" customHeight="1">
      <c r="A2" s="172" t="s">
        <v>107</v>
      </c>
      <c r="B2" s="172"/>
      <c r="C2" s="172"/>
      <c r="D2" s="172"/>
      <c r="E2" s="172"/>
      <c r="F2" s="172"/>
    </row>
    <row r="3" spans="1:10" ht="12.75" customHeight="1">
      <c r="A3" s="174" t="s">
        <v>121</v>
      </c>
      <c r="B3" s="174"/>
      <c r="C3" s="174"/>
      <c r="D3" s="174"/>
      <c r="E3" s="174"/>
      <c r="F3" s="174"/>
    </row>
    <row r="4" spans="1:10">
      <c r="A4" s="5"/>
      <c r="B4" s="62"/>
      <c r="C4" s="62"/>
      <c r="D4" s="62"/>
      <c r="E4" s="62"/>
      <c r="F4" s="6"/>
    </row>
    <row r="5" spans="1:10">
      <c r="A5" s="5"/>
      <c r="C5" s="77"/>
      <c r="J5" s="6"/>
    </row>
    <row r="6" spans="1:10">
      <c r="A6" s="74" t="s">
        <v>70</v>
      </c>
      <c r="B6" s="74" t="s">
        <v>1</v>
      </c>
      <c r="C6" s="75"/>
      <c r="D6" s="75"/>
      <c r="E6" s="75"/>
      <c r="F6" s="74" t="s">
        <v>6</v>
      </c>
    </row>
    <row r="7" spans="1:10">
      <c r="A7" s="8">
        <v>-1</v>
      </c>
      <c r="B7" s="9" t="s">
        <v>33</v>
      </c>
      <c r="C7" s="7"/>
      <c r="E7" s="7"/>
      <c r="F7" s="10">
        <v>1508206.36</v>
      </c>
    </row>
    <row r="8" spans="1:10">
      <c r="A8" s="8">
        <f t="shared" ref="A8:A14" si="0">A7-1</f>
        <v>-2</v>
      </c>
      <c r="B8" s="9" t="s">
        <v>72</v>
      </c>
      <c r="C8" s="7"/>
      <c r="E8" s="7"/>
      <c r="F8" s="10">
        <f>5610.78+5340.96+447591.03</f>
        <v>458542.77</v>
      </c>
    </row>
    <row r="9" spans="1:10">
      <c r="A9" s="8">
        <f t="shared" si="0"/>
        <v>-3</v>
      </c>
      <c r="B9" s="9" t="s">
        <v>34</v>
      </c>
      <c r="C9" s="7"/>
      <c r="E9" s="7"/>
      <c r="F9" s="10">
        <f>132114.24+174660.11</f>
        <v>306774.34999999998</v>
      </c>
    </row>
    <row r="10" spans="1:10">
      <c r="A10" s="8">
        <f t="shared" si="0"/>
        <v>-4</v>
      </c>
      <c r="B10" s="9" t="s">
        <v>40</v>
      </c>
      <c r="C10" s="7"/>
      <c r="E10" s="7"/>
      <c r="F10" s="10">
        <v>610.49</v>
      </c>
    </row>
    <row r="11" spans="1:10">
      <c r="A11" s="8">
        <f t="shared" si="0"/>
        <v>-5</v>
      </c>
      <c r="B11" s="9" t="s">
        <v>69</v>
      </c>
      <c r="C11" s="7"/>
      <c r="E11" s="7"/>
      <c r="F11" s="10">
        <f>531287.35+586690.09</f>
        <v>1117977.44</v>
      </c>
    </row>
    <row r="12" spans="1:10">
      <c r="A12" s="8">
        <f t="shared" si="0"/>
        <v>-6</v>
      </c>
      <c r="B12" s="9" t="s">
        <v>36</v>
      </c>
      <c r="C12" s="7"/>
      <c r="E12" s="7"/>
      <c r="F12" s="10">
        <v>1036.78</v>
      </c>
    </row>
    <row r="13" spans="1:10">
      <c r="A13" s="8">
        <f t="shared" si="0"/>
        <v>-7</v>
      </c>
      <c r="B13" s="9" t="s">
        <v>37</v>
      </c>
      <c r="C13" s="7"/>
      <c r="E13" s="7"/>
      <c r="F13" s="10">
        <v>10745.48</v>
      </c>
    </row>
    <row r="14" spans="1:10">
      <c r="A14" s="8">
        <f t="shared" si="0"/>
        <v>-8</v>
      </c>
      <c r="B14" s="9" t="s">
        <v>38</v>
      </c>
      <c r="C14" s="7"/>
      <c r="E14" s="7"/>
      <c r="F14" s="10">
        <v>2439.34</v>
      </c>
    </row>
    <row r="15" spans="1:10">
      <c r="A15" s="8" t="s">
        <v>41</v>
      </c>
      <c r="C15" s="7"/>
    </row>
    <row r="16" spans="1:10">
      <c r="A16" s="8">
        <f>A14-1</f>
        <v>-9</v>
      </c>
      <c r="B16" s="11" t="s">
        <v>91</v>
      </c>
      <c r="C16" s="7"/>
      <c r="E16" s="10"/>
      <c r="F16" s="10">
        <f>SUM(F7:F14)</f>
        <v>3406333.01</v>
      </c>
    </row>
    <row r="17" spans="1:7">
      <c r="A17" s="8"/>
      <c r="B17" s="11"/>
      <c r="C17" s="7"/>
      <c r="E17" s="10"/>
      <c r="F17" s="10"/>
    </row>
    <row r="18" spans="1:7">
      <c r="A18" s="8">
        <v>-10</v>
      </c>
      <c r="B18" s="12" t="s">
        <v>92</v>
      </c>
      <c r="F18" s="10">
        <f>'PPA Form 3.0a'!O6-'PPA Form 4.0'!F16</f>
        <v>-303212.94951685285</v>
      </c>
    </row>
    <row r="19" spans="1:7">
      <c r="A19" s="8"/>
      <c r="B19" s="9"/>
      <c r="F19" s="10"/>
    </row>
    <row r="20" spans="1:7">
      <c r="A20" s="8">
        <v>-11</v>
      </c>
      <c r="B20" s="11" t="s">
        <v>4</v>
      </c>
      <c r="F20" s="79">
        <f>F16+F18</f>
        <v>3103120.0604831469</v>
      </c>
      <c r="G20" s="10"/>
    </row>
  </sheetData>
  <customSheetViews>
    <customSheetView guid="{4EF176FC-448F-4BD8-8859-C810312E84E7}" scale="85" showPageBreaks="1" printArea="1" view="pageBreakPreview">
      <selection activeCell="E21" sqref="E21"/>
      <pageMargins left="0.7" right="0.7" top="0.75" bottom="0.75" header="0.3" footer="0.3"/>
      <printOptions horizontalCentered="1"/>
      <pageSetup scale="75" orientation="portrait" r:id="rId1"/>
    </customSheetView>
    <customSheetView guid="{567BA860-460A-4CE0-A629-0EA7372574F1}" scale="85" showPageBreaks="1" printArea="1" view="pageBreakPreview">
      <selection activeCell="B23" sqref="B23"/>
      <pageMargins left="0.7" right="0.7" top="0.75" bottom="0.75" header="0.3" footer="0.3"/>
      <printOptions horizontalCentered="1"/>
      <pageSetup scale="75" orientation="portrait" r:id="rId2"/>
    </customSheetView>
    <customSheetView guid="{0BD4BC22-E7A2-4140-8384-5A5B3339DEED}" scale="85" printArea="1" view="pageBreakPreview">
      <selection activeCell="E37" sqref="E37"/>
      <pageMargins left="0.7" right="0.7" top="0.75" bottom="0.75" header="0.3" footer="0.3"/>
      <printOptions horizontalCentered="1"/>
      <pageSetup scale="75" orientation="portrait" r:id="rId3"/>
    </customSheetView>
  </customSheetViews>
  <mergeCells count="3">
    <mergeCell ref="A1:F1"/>
    <mergeCell ref="A2:F2"/>
    <mergeCell ref="A3:F3"/>
  </mergeCells>
  <printOptions horizontalCentered="1"/>
  <pageMargins left="0.7" right="0.7" top="0.75" bottom="0.75" header="0.3" footer="0.3"/>
  <pageSetup scale="75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"/>
  <sheetViews>
    <sheetView zoomScale="90" zoomScaleNormal="90" workbookViewId="0">
      <selection activeCell="D47" sqref="D47"/>
    </sheetView>
  </sheetViews>
  <sheetFormatPr defaultColWidth="9.140625" defaultRowHeight="12.75"/>
  <cols>
    <col min="1" max="1" width="8.85546875" style="1"/>
    <col min="2" max="2" width="20.7109375" style="2" customWidth="1"/>
    <col min="3" max="3" width="55.5703125" style="2" customWidth="1"/>
    <col min="4" max="4" width="22.7109375" style="2" bestFit="1" customWidth="1"/>
    <col min="5" max="5" width="3.140625" style="2" customWidth="1"/>
    <col min="6" max="6" width="16.28515625" style="2" customWidth="1"/>
    <col min="7" max="16384" width="9.140625" style="2"/>
  </cols>
  <sheetData>
    <row r="1" spans="1:1" ht="13.5">
      <c r="A1" s="76" t="s">
        <v>111</v>
      </c>
    </row>
  </sheetData>
  <customSheetViews>
    <customSheetView guid="{4EF176FC-448F-4BD8-8859-C810312E84E7}" scale="115" fitToPage="1" topLeftCell="A4">
      <selection activeCell="A29" sqref="A29"/>
      <pageMargins left="0.7" right="0.7" top="0.75" bottom="0.75" header="0.3" footer="0.3"/>
      <pageSetup scale="71" orientation="portrait" r:id="rId1"/>
    </customSheetView>
    <customSheetView guid="{567BA860-460A-4CE0-A629-0EA7372574F1}" scale="115" showPageBreaks="1" fitToPage="1" printArea="1">
      <selection activeCell="C34" sqref="C34"/>
      <pageMargins left="0.7" right="0.7" top="0.75" bottom="0.75" header="0.3" footer="0.3"/>
      <pageSetup scale="71" orientation="portrait" r:id="rId2"/>
    </customSheetView>
    <customSheetView guid="{0BD4BC22-E7A2-4140-8384-5A5B3339DEED}" scale="115" fitToPage="1" printArea="1">
      <selection activeCell="F23" sqref="F23"/>
      <pageMargins left="0.7" right="0.7" top="0.75" bottom="0.75" header="0.3" footer="0.3"/>
      <pageSetup scale="47" orientation="portrait" r:id="rId3"/>
    </customSheetView>
  </customSheetViews>
  <pageMargins left="0.7" right="0.7" top="0.75" bottom="0.75" header="0.3" footer="0.3"/>
  <pageSetup scale="71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6"/>
  <sheetViews>
    <sheetView showGridLines="0" zoomScale="90" zoomScaleNormal="90" zoomScaleSheetLayoutView="50" workbookViewId="0">
      <selection activeCell="I20" sqref="I20"/>
    </sheetView>
  </sheetViews>
  <sheetFormatPr defaultColWidth="9.140625" defaultRowHeight="12.75"/>
  <cols>
    <col min="1" max="1" width="13.5703125" style="4" bestFit="1" customWidth="1"/>
    <col min="2" max="2" width="3.5703125" style="4" customWidth="1"/>
    <col min="3" max="4" width="22.5703125" style="4" customWidth="1"/>
    <col min="5" max="5" width="3.5703125" style="4" customWidth="1"/>
    <col min="6" max="7" width="22.5703125" style="4" customWidth="1"/>
    <col min="8" max="8" width="9.140625" style="4"/>
    <col min="9" max="9" width="22" style="5" bestFit="1" customWidth="1"/>
    <col min="10" max="16384" width="9.140625" style="4"/>
  </cols>
  <sheetData>
    <row r="1" spans="1:9">
      <c r="A1" s="175" t="s">
        <v>39</v>
      </c>
      <c r="B1" s="175"/>
      <c r="C1" s="175"/>
      <c r="D1" s="175"/>
      <c r="E1" s="175"/>
      <c r="F1" s="175"/>
      <c r="G1" s="175"/>
    </row>
    <row r="2" spans="1:9">
      <c r="A2" s="78"/>
      <c r="B2" s="78"/>
      <c r="C2" s="78"/>
      <c r="D2" s="78"/>
      <c r="F2" s="78"/>
      <c r="G2" s="78"/>
    </row>
    <row r="3" spans="1:9" ht="15" customHeight="1">
      <c r="A3" s="78"/>
      <c r="B3" s="78"/>
      <c r="C3" s="175" t="s">
        <v>122</v>
      </c>
      <c r="D3" s="175"/>
      <c r="F3" s="175" t="s">
        <v>123</v>
      </c>
      <c r="G3" s="175"/>
      <c r="I3" s="171" t="s">
        <v>110</v>
      </c>
    </row>
    <row r="4" spans="1:9">
      <c r="A4" s="13"/>
      <c r="B4" s="13"/>
      <c r="C4" s="78" t="s">
        <v>102</v>
      </c>
      <c r="D4" s="78" t="s">
        <v>102</v>
      </c>
      <c r="F4" s="78" t="s">
        <v>103</v>
      </c>
      <c r="G4" s="78" t="s">
        <v>103</v>
      </c>
      <c r="H4" s="11"/>
      <c r="I4" s="171"/>
    </row>
    <row r="5" spans="1:9">
      <c r="A5" s="3" t="s">
        <v>19</v>
      </c>
      <c r="B5" s="3"/>
      <c r="C5" s="3" t="s">
        <v>96</v>
      </c>
      <c r="D5" s="3" t="s">
        <v>97</v>
      </c>
      <c r="F5" s="3" t="s">
        <v>96</v>
      </c>
      <c r="G5" s="3" t="s">
        <v>97</v>
      </c>
    </row>
    <row r="6" spans="1:9">
      <c r="A6" s="14" t="s">
        <v>33</v>
      </c>
      <c r="B6" s="14"/>
      <c r="C6" s="7">
        <v>1852881754</v>
      </c>
      <c r="D6" s="160" t="s">
        <v>98</v>
      </c>
      <c r="F6" s="14">
        <v>1821175714.7742438</v>
      </c>
      <c r="G6" s="160" t="s">
        <v>98</v>
      </c>
      <c r="I6" s="161">
        <f t="shared" ref="I6:I14" si="0">(F6-C6)/C6</f>
        <v>-1.7111744533783221E-2</v>
      </c>
    </row>
    <row r="7" spans="1:9">
      <c r="A7" s="14" t="s">
        <v>68</v>
      </c>
      <c r="B7" s="14"/>
      <c r="C7" s="7">
        <v>605333928</v>
      </c>
      <c r="D7" s="160" t="s">
        <v>98</v>
      </c>
      <c r="F7" s="14">
        <v>611803489.06519186</v>
      </c>
      <c r="G7" s="160" t="s">
        <v>98</v>
      </c>
      <c r="I7" s="161">
        <f t="shared" si="0"/>
        <v>1.0687590379358127E-2</v>
      </c>
    </row>
    <row r="8" spans="1:9" ht="14.45" customHeight="1">
      <c r="A8" s="14" t="s">
        <v>34</v>
      </c>
      <c r="B8" s="14"/>
      <c r="C8" s="7">
        <v>452224263</v>
      </c>
      <c r="D8" s="7">
        <v>1416575</v>
      </c>
      <c r="F8" s="14">
        <v>458922427.07628912</v>
      </c>
      <c r="G8" s="160">
        <f>(((F8-C8)/C8)+1)*D8</f>
        <v>1437556.7397090197</v>
      </c>
      <c r="I8" s="161">
        <f t="shared" si="0"/>
        <v>1.4811598192132201E-2</v>
      </c>
    </row>
    <row r="9" spans="1:9" ht="14.45" customHeight="1">
      <c r="A9" s="14" t="s">
        <v>35</v>
      </c>
      <c r="B9" s="14"/>
      <c r="C9" s="7">
        <v>916889</v>
      </c>
      <c r="D9" s="160" t="s">
        <v>98</v>
      </c>
      <c r="F9" s="14">
        <v>916038.22359472758</v>
      </c>
      <c r="G9" s="160" t="s">
        <v>98</v>
      </c>
      <c r="I9" s="161">
        <f t="shared" si="0"/>
        <v>-9.278946582109975E-4</v>
      </c>
    </row>
    <row r="10" spans="1:9" ht="14.45" customHeight="1">
      <c r="A10" s="14" t="s">
        <v>69</v>
      </c>
      <c r="B10" s="14"/>
      <c r="C10" s="7">
        <v>2154194447</v>
      </c>
      <c r="D10" s="7">
        <v>3820981.2</v>
      </c>
      <c r="F10" s="14">
        <v>2122982265.3048143</v>
      </c>
      <c r="G10" s="160">
        <f>(((F10-C10)/C10)+1)*D10</f>
        <v>3765618.8998908456</v>
      </c>
      <c r="I10" s="161">
        <f t="shared" si="0"/>
        <v>-1.448902708789949E-2</v>
      </c>
    </row>
    <row r="11" spans="1:9" ht="14.45" customHeight="1">
      <c r="A11" s="14" t="s">
        <v>36</v>
      </c>
      <c r="B11" s="14"/>
      <c r="C11" s="7">
        <v>1663133</v>
      </c>
      <c r="D11" s="160" t="s">
        <v>98</v>
      </c>
      <c r="F11" s="14">
        <v>1701225.3071539078</v>
      </c>
      <c r="G11" s="160" t="s">
        <v>98</v>
      </c>
      <c r="I11" s="161">
        <f t="shared" si="0"/>
        <v>2.2903945237036268E-2</v>
      </c>
    </row>
    <row r="12" spans="1:9">
      <c r="A12" s="14" t="s">
        <v>37</v>
      </c>
      <c r="B12" s="14"/>
      <c r="C12" s="7">
        <v>29264428</v>
      </c>
      <c r="D12" s="160" t="s">
        <v>98</v>
      </c>
      <c r="F12" s="14">
        <v>29474021.585521497</v>
      </c>
      <c r="G12" s="160" t="s">
        <v>98</v>
      </c>
      <c r="I12" s="161">
        <f t="shared" si="0"/>
        <v>7.1620598742438034E-3</v>
      </c>
    </row>
    <row r="13" spans="1:9">
      <c r="A13" s="14" t="s">
        <v>38</v>
      </c>
      <c r="B13" s="14"/>
      <c r="C13" s="7">
        <v>7407243</v>
      </c>
      <c r="D13" s="160" t="s">
        <v>98</v>
      </c>
      <c r="F13" s="14">
        <v>7641200.4657472605</v>
      </c>
      <c r="G13" s="160" t="s">
        <v>98</v>
      </c>
      <c r="I13" s="161">
        <f t="shared" si="0"/>
        <v>3.1584958904043038E-2</v>
      </c>
    </row>
    <row r="14" spans="1:9">
      <c r="A14" s="16" t="s">
        <v>6</v>
      </c>
      <c r="B14" s="16"/>
      <c r="C14" s="16">
        <f>SUM(C6:C13)</f>
        <v>5103886085</v>
      </c>
      <c r="D14" s="16">
        <f>SUM(D6:D13)</f>
        <v>5237556.2</v>
      </c>
      <c r="F14" s="16">
        <f>SUM(F6:F13)</f>
        <v>5054616381.802556</v>
      </c>
      <c r="G14" s="16">
        <f>SUM(G6:G13)</f>
        <v>5203175.6395998653</v>
      </c>
      <c r="I14" s="161">
        <f t="shared" si="0"/>
        <v>-9.6533704665244229E-3</v>
      </c>
    </row>
    <row r="15" spans="1:9">
      <c r="A15" s="15"/>
      <c r="B15" s="15"/>
      <c r="C15" s="15"/>
    </row>
    <row r="16" spans="1:9">
      <c r="A16" s="15"/>
      <c r="B16" s="15"/>
      <c r="C16" s="15"/>
    </row>
  </sheetData>
  <customSheetViews>
    <customSheetView guid="{4EF176FC-448F-4BD8-8859-C810312E84E7}" fitToPage="1">
      <selection activeCell="N33" sqref="N33"/>
      <pageMargins left="0.7" right="0.7" top="0.75" bottom="0.75" header="0.3" footer="0.3"/>
      <pageSetup orientation="portrait" r:id="rId1"/>
    </customSheetView>
    <customSheetView guid="{567BA860-460A-4CE0-A629-0EA7372574F1}" showPageBreaks="1" fitToPage="1" printArea="1">
      <selection activeCell="D24" sqref="C24:D25"/>
      <pageMargins left="0.7" right="0.7" top="0.75" bottom="0.75" header="0.3" footer="0.3"/>
      <pageSetup orientation="portrait" r:id="rId2"/>
    </customSheetView>
    <customSheetView guid="{0BD4BC22-E7A2-4140-8384-5A5B3339DEED}" fitToPage="1" printArea="1">
      <selection activeCell="D24" sqref="C24:D25"/>
      <pageMargins left="0.7" right="0.7" top="0.75" bottom="0.75" header="0.3" footer="0.3"/>
      <pageSetup orientation="portrait" r:id="rId3"/>
    </customSheetView>
  </customSheetViews>
  <mergeCells count="4">
    <mergeCell ref="C3:D3"/>
    <mergeCell ref="F3:G3"/>
    <mergeCell ref="A1:G1"/>
    <mergeCell ref="I3:I4"/>
  </mergeCells>
  <pageMargins left="0.7" right="0.7" top="0.75" bottom="0.75" header="0.3" footer="0.3"/>
  <pageSetup scale="56" orientation="portrait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zoomScale="90" zoomScaleNormal="90" workbookViewId="0">
      <pane ySplit="2" topLeftCell="A3" activePane="bottomLeft" state="frozen"/>
      <selection pane="bottomLeft" sqref="A1:XFD1048576"/>
    </sheetView>
  </sheetViews>
  <sheetFormatPr defaultColWidth="8.85546875" defaultRowHeight="12.75"/>
  <cols>
    <col min="1" max="1" width="10.7109375" style="21" customWidth="1"/>
    <col min="2" max="2" width="5" style="22" bestFit="1" customWidth="1"/>
    <col min="3" max="3" width="0.28515625" style="21" customWidth="1"/>
    <col min="4" max="4" width="12.7109375" style="21" customWidth="1"/>
    <col min="5" max="5" width="0.28515625" style="21" customWidth="1"/>
    <col min="6" max="6" width="15.7109375" style="21" customWidth="1"/>
    <col min="7" max="7" width="0.28515625" style="21" customWidth="1"/>
    <col min="8" max="8" width="12.85546875" style="21" customWidth="1"/>
    <col min="9" max="9" width="0.28515625" style="21" customWidth="1"/>
    <col min="10" max="10" width="12.7109375" style="21" customWidth="1"/>
    <col min="11" max="11" width="3.7109375" style="21" customWidth="1"/>
    <col min="12" max="12" width="0.28515625" style="21" customWidth="1"/>
    <col min="13" max="13" width="12.7109375" style="21" customWidth="1"/>
    <col min="14" max="14" width="0.28515625" style="21" customWidth="1"/>
    <col min="15" max="15" width="9.7109375" style="21" customWidth="1"/>
    <col min="16" max="16" width="0.28515625" style="21" customWidth="1"/>
    <col min="17" max="17" width="3.7109375" style="21" customWidth="1"/>
    <col min="18" max="18" width="0.28515625" style="21" customWidth="1"/>
    <col min="19" max="19" width="12" style="21" bestFit="1" customWidth="1"/>
    <col min="20" max="20" width="2.28515625" style="21" customWidth="1"/>
    <col min="21" max="16384" width="8.85546875" style="21"/>
  </cols>
  <sheetData>
    <row r="1" spans="2:19" ht="15" customHeight="1">
      <c r="B1" s="176" t="s">
        <v>63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2:19" ht="14.45" customHeight="1">
      <c r="B2" s="177" t="s">
        <v>71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2:19" ht="13.5" thickBot="1"/>
    <row r="4" spans="2:19" ht="26.25" thickBot="1">
      <c r="B4" s="23" t="s">
        <v>42</v>
      </c>
      <c r="C4" s="24"/>
      <c r="D4" s="25" t="s">
        <v>43</v>
      </c>
      <c r="E4" s="26"/>
      <c r="F4" s="27" t="s">
        <v>44</v>
      </c>
      <c r="G4" s="26"/>
      <c r="H4" s="27" t="s">
        <v>45</v>
      </c>
      <c r="I4" s="26"/>
      <c r="J4" s="27" t="s">
        <v>46</v>
      </c>
      <c r="K4" s="28"/>
      <c r="L4" s="26"/>
      <c r="M4" s="27" t="s">
        <v>47</v>
      </c>
      <c r="N4" s="29"/>
      <c r="O4" s="30" t="s">
        <v>48</v>
      </c>
      <c r="P4" s="30"/>
      <c r="Q4" s="29"/>
      <c r="R4" s="29"/>
      <c r="S4" s="31" t="s">
        <v>49</v>
      </c>
    </row>
    <row r="5" spans="2:19" ht="13.5" thickBot="1">
      <c r="B5" s="32"/>
      <c r="C5" s="33"/>
      <c r="D5" s="34"/>
      <c r="E5" s="33"/>
      <c r="F5" s="162"/>
      <c r="G5" s="33"/>
      <c r="H5" s="34"/>
      <c r="I5" s="33"/>
      <c r="J5" s="34"/>
      <c r="K5" s="35"/>
      <c r="L5" s="33"/>
      <c r="M5" s="34"/>
      <c r="N5" s="36"/>
      <c r="O5" s="37"/>
      <c r="P5" s="37"/>
      <c r="Q5" s="36"/>
      <c r="R5" s="36"/>
      <c r="S5" s="38"/>
    </row>
    <row r="6" spans="2:19">
      <c r="B6" s="39"/>
      <c r="C6" s="40"/>
      <c r="D6" s="40"/>
      <c r="E6" s="40"/>
      <c r="F6" s="40"/>
      <c r="G6" s="40"/>
      <c r="H6" s="40"/>
      <c r="I6" s="40"/>
      <c r="J6" s="40"/>
      <c r="K6" s="41"/>
      <c r="L6" s="40"/>
      <c r="M6" s="40"/>
      <c r="N6" s="40"/>
      <c r="O6" s="40"/>
      <c r="P6" s="40"/>
      <c r="Q6" s="40"/>
      <c r="R6" s="40"/>
      <c r="S6" s="42"/>
    </row>
    <row r="7" spans="2:19" ht="15">
      <c r="B7" s="163">
        <v>1</v>
      </c>
      <c r="C7" s="36"/>
      <c r="D7" s="36" t="s">
        <v>50</v>
      </c>
      <c r="E7" s="36"/>
      <c r="F7" s="164">
        <v>953547559.57000005</v>
      </c>
      <c r="G7" s="36"/>
      <c r="H7" s="43">
        <f>F7/$F$12</f>
        <v>0.52613045260374214</v>
      </c>
      <c r="I7" s="36"/>
      <c r="J7" s="43">
        <v>4.9099999999999998E-2</v>
      </c>
      <c r="K7" s="44"/>
      <c r="L7" s="36"/>
      <c r="M7" s="43">
        <f>ROUND(H7*J7,4)</f>
        <v>2.58E-2</v>
      </c>
      <c r="N7" s="36"/>
      <c r="O7" s="61">
        <f>O33</f>
        <v>1.0055229999999999</v>
      </c>
      <c r="P7" s="36"/>
      <c r="Q7" s="165"/>
      <c r="R7" s="36"/>
      <c r="S7" s="45">
        <f>ROUND(M7*O7,6)</f>
        <v>2.5942E-2</v>
      </c>
    </row>
    <row r="8" spans="2:19" ht="15">
      <c r="B8" s="163">
        <f>+B7+1</f>
        <v>2</v>
      </c>
      <c r="C8" s="36"/>
      <c r="D8" s="36" t="s">
        <v>51</v>
      </c>
      <c r="E8" s="36"/>
      <c r="F8" s="164">
        <v>111251046</v>
      </c>
      <c r="G8" s="36"/>
      <c r="H8" s="43">
        <f>F8/$F$12</f>
        <v>6.138399977764597E-2</v>
      </c>
      <c r="I8" s="36"/>
      <c r="J8" s="43">
        <v>3.73E-2</v>
      </c>
      <c r="K8" s="44"/>
      <c r="L8" s="36"/>
      <c r="M8" s="43">
        <f>ROUND(H8*J8,4)</f>
        <v>2.3E-3</v>
      </c>
      <c r="N8" s="36"/>
      <c r="O8" s="61">
        <f>O33</f>
        <v>1.0055229999999999</v>
      </c>
      <c r="P8" s="36"/>
      <c r="Q8" s="36"/>
      <c r="R8" s="36"/>
      <c r="S8" s="45">
        <f>ROUND(M8*O8,6)</f>
        <v>2.313E-3</v>
      </c>
    </row>
    <row r="9" spans="2:19" ht="26.25">
      <c r="B9" s="163">
        <f>+B8+1</f>
        <v>3</v>
      </c>
      <c r="C9" s="36"/>
      <c r="D9" s="33" t="s">
        <v>52</v>
      </c>
      <c r="E9" s="36"/>
      <c r="F9" s="164">
        <v>0</v>
      </c>
      <c r="G9" s="36"/>
      <c r="H9" s="43">
        <f>F9/$F$12</f>
        <v>0</v>
      </c>
      <c r="I9" s="36"/>
      <c r="J9" s="43">
        <v>0</v>
      </c>
      <c r="K9" s="44"/>
      <c r="L9" s="36"/>
      <c r="M9" s="43">
        <f>ROUND(H9*J9,4)</f>
        <v>0</v>
      </c>
      <c r="N9" s="36"/>
      <c r="O9" s="61">
        <f>O33</f>
        <v>1.0055229999999999</v>
      </c>
      <c r="P9" s="36"/>
      <c r="Q9" s="36"/>
      <c r="R9" s="36"/>
      <c r="S9" s="45">
        <f>ROUND(M9*O9,6)</f>
        <v>0</v>
      </c>
    </row>
    <row r="10" spans="2:19" ht="15">
      <c r="B10" s="163">
        <f>+B9+1</f>
        <v>4</v>
      </c>
      <c r="C10" s="36"/>
      <c r="D10" s="36" t="s">
        <v>53</v>
      </c>
      <c r="E10" s="36"/>
      <c r="F10" s="164">
        <v>747579968.70000005</v>
      </c>
      <c r="G10" s="36"/>
      <c r="H10" s="43">
        <f>F10/$F$12</f>
        <v>0.41248554761861189</v>
      </c>
      <c r="I10" s="36"/>
      <c r="J10" s="48">
        <v>9.7500000000000003E-2</v>
      </c>
      <c r="K10" s="46"/>
      <c r="L10" s="36"/>
      <c r="M10" s="43">
        <f>ROUND(H10*J10,4)</f>
        <v>4.02E-2</v>
      </c>
      <c r="N10" s="36"/>
      <c r="O10" s="166">
        <f>S33</f>
        <v>1.339896</v>
      </c>
      <c r="P10" s="36"/>
      <c r="Q10" s="167"/>
      <c r="R10" s="36"/>
      <c r="S10" s="45">
        <f>ROUND(M10*O10,6)</f>
        <v>5.3864000000000002E-2</v>
      </c>
    </row>
    <row r="11" spans="2:19" ht="15">
      <c r="B11" s="163"/>
      <c r="C11" s="36"/>
      <c r="D11" s="36"/>
      <c r="E11" s="36"/>
      <c r="F11" s="164"/>
      <c r="G11" s="36"/>
      <c r="H11" s="47"/>
      <c r="I11" s="36"/>
      <c r="J11" s="47"/>
      <c r="K11" s="44"/>
      <c r="L11" s="36"/>
      <c r="M11" s="47"/>
      <c r="N11" s="36"/>
      <c r="O11" s="37"/>
      <c r="P11" s="36"/>
      <c r="Q11" s="36"/>
      <c r="R11" s="36"/>
      <c r="S11" s="45"/>
    </row>
    <row r="12" spans="2:19" ht="15">
      <c r="B12" s="163">
        <f>+B10+1</f>
        <v>5</v>
      </c>
      <c r="C12" s="36"/>
      <c r="D12" s="36" t="s">
        <v>54</v>
      </c>
      <c r="E12" s="36"/>
      <c r="F12" s="168">
        <f>SUM(F7:F10)</f>
        <v>1812378574.27</v>
      </c>
      <c r="G12" s="36"/>
      <c r="H12" s="48">
        <f>SUM(H7:H10)</f>
        <v>1</v>
      </c>
      <c r="I12" s="36"/>
      <c r="J12" s="47"/>
      <c r="K12" s="44"/>
      <c r="L12" s="36"/>
      <c r="M12" s="48">
        <f>SUM(M7:M10)</f>
        <v>6.83E-2</v>
      </c>
      <c r="N12" s="36"/>
      <c r="O12" s="36"/>
      <c r="P12" s="36"/>
      <c r="Q12" s="36"/>
      <c r="R12" s="36"/>
      <c r="S12" s="57">
        <f>ROUND(SUM(S7:S11),4)</f>
        <v>8.2100000000000006E-2</v>
      </c>
    </row>
    <row r="13" spans="2:19" ht="15">
      <c r="B13" s="163"/>
      <c r="C13" s="36"/>
      <c r="D13" s="36"/>
      <c r="E13" s="36"/>
      <c r="F13" s="36"/>
      <c r="G13" s="36"/>
      <c r="H13" s="36"/>
      <c r="I13" s="36"/>
      <c r="J13" s="36"/>
      <c r="K13" s="44"/>
      <c r="L13" s="36"/>
      <c r="M13" s="36"/>
      <c r="N13" s="36"/>
      <c r="O13" s="36"/>
      <c r="P13" s="36"/>
      <c r="Q13" s="36"/>
      <c r="R13" s="36"/>
      <c r="S13" s="49"/>
    </row>
    <row r="14" spans="2:19" ht="15.75" thickBot="1">
      <c r="B14" s="169"/>
      <c r="C14" s="50"/>
      <c r="D14" s="50"/>
      <c r="E14" s="50"/>
      <c r="F14" s="50"/>
      <c r="G14" s="50"/>
      <c r="H14" s="50"/>
      <c r="I14" s="50"/>
      <c r="J14" s="50"/>
      <c r="K14" s="51"/>
      <c r="L14" s="50"/>
      <c r="M14" s="50"/>
      <c r="N14" s="50"/>
      <c r="O14" s="50"/>
      <c r="P14" s="50"/>
      <c r="Q14" s="50"/>
      <c r="R14" s="50"/>
      <c r="S14" s="52"/>
    </row>
    <row r="15" spans="2:19">
      <c r="P15" s="22"/>
    </row>
    <row r="16" spans="2:19">
      <c r="O16" s="53" t="s">
        <v>55</v>
      </c>
      <c r="P16" s="53"/>
      <c r="S16" s="53" t="s">
        <v>56</v>
      </c>
    </row>
    <row r="17" spans="2:19" ht="15">
      <c r="B17" s="167">
        <v>6</v>
      </c>
      <c r="C17" s="36"/>
      <c r="D17" s="165" t="s">
        <v>57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54">
        <v>100</v>
      </c>
      <c r="P17" s="36"/>
      <c r="Q17" s="36"/>
      <c r="R17" s="36"/>
      <c r="S17" s="54">
        <f>O17</f>
        <v>100</v>
      </c>
    </row>
    <row r="18" spans="2:19" ht="15">
      <c r="B18" s="167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58"/>
    </row>
    <row r="19" spans="2:19" ht="15">
      <c r="B19" s="167">
        <v>7</v>
      </c>
      <c r="C19" s="36"/>
      <c r="D19" s="165" t="s">
        <v>58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55">
        <v>0.4</v>
      </c>
      <c r="P19" s="36"/>
      <c r="Q19" s="36"/>
      <c r="R19" s="36"/>
      <c r="S19" s="58">
        <f>O19</f>
        <v>0.4</v>
      </c>
    </row>
    <row r="20" spans="2:19" ht="15">
      <c r="B20" s="167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58"/>
    </row>
    <row r="21" spans="2:19" ht="15">
      <c r="B21" s="167">
        <v>8</v>
      </c>
      <c r="C21" s="36"/>
      <c r="D21" s="165" t="s">
        <v>59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>
        <v>0.14929999999999999</v>
      </c>
      <c r="P21" s="36"/>
      <c r="Q21" s="36"/>
      <c r="R21" s="36"/>
      <c r="S21" s="58">
        <f>O21</f>
        <v>0.14929999999999999</v>
      </c>
    </row>
    <row r="22" spans="2:19" ht="15">
      <c r="B22" s="167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165" t="s">
        <v>41</v>
      </c>
      <c r="P22" s="36"/>
      <c r="Q22" s="36"/>
      <c r="R22" s="36"/>
      <c r="S22" s="58"/>
    </row>
    <row r="23" spans="2:19" ht="15">
      <c r="B23" s="167">
        <v>9</v>
      </c>
      <c r="C23" s="36"/>
      <c r="D23" s="165" t="s">
        <v>60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55">
        <f>O17-O19-O21</f>
        <v>99.450699999999998</v>
      </c>
      <c r="P23" s="36"/>
      <c r="Q23" s="36"/>
      <c r="R23" s="36"/>
      <c r="S23" s="58">
        <f>S17-S19-S21</f>
        <v>99.450699999999998</v>
      </c>
    </row>
    <row r="24" spans="2:19" ht="15">
      <c r="B24" s="167"/>
      <c r="C24" s="36"/>
      <c r="D24" s="165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58"/>
    </row>
    <row r="25" spans="2:19" ht="15">
      <c r="B25" s="167">
        <v>10</v>
      </c>
      <c r="C25" s="36"/>
      <c r="D25" s="36" t="s">
        <v>101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22"/>
      <c r="P25" s="36"/>
      <c r="Q25" s="36"/>
      <c r="R25" s="36"/>
      <c r="S25" s="58">
        <f>S23*0.050065</f>
        <v>4.9789992954999995</v>
      </c>
    </row>
    <row r="26" spans="2:19" ht="15">
      <c r="B26" s="167"/>
      <c r="C26" s="36"/>
      <c r="D26" s="16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36"/>
      <c r="Q26" s="36"/>
      <c r="R26" s="36"/>
      <c r="S26" s="58"/>
    </row>
    <row r="27" spans="2:19" ht="15">
      <c r="B27" s="167">
        <v>11</v>
      </c>
      <c r="C27" s="36"/>
      <c r="D27" s="36" t="s">
        <v>94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7"/>
      <c r="P27" s="36"/>
      <c r="Q27" s="36"/>
      <c r="R27" s="36"/>
      <c r="S27" s="58">
        <f>S23-S25</f>
        <v>94.471700704499995</v>
      </c>
    </row>
    <row r="28" spans="2:19" ht="15">
      <c r="B28" s="16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59"/>
    </row>
    <row r="29" spans="2:19" ht="15">
      <c r="B29" s="167">
        <v>12</v>
      </c>
      <c r="C29" s="36"/>
      <c r="D29" s="36" t="s">
        <v>95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59">
        <f>S27*0.21</f>
        <v>19.839057147944999</v>
      </c>
    </row>
    <row r="30" spans="2:19" ht="15">
      <c r="B30" s="16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58"/>
    </row>
    <row r="31" spans="2:19" ht="15">
      <c r="B31" s="167">
        <v>13</v>
      </c>
      <c r="C31" s="36"/>
      <c r="D31" s="36" t="s">
        <v>61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58">
        <f>S27-S29</f>
        <v>74.632643556554996</v>
      </c>
    </row>
    <row r="32" spans="2:19" ht="15">
      <c r="B32" s="167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5">
      <c r="B33" s="167">
        <v>14</v>
      </c>
      <c r="C33" s="36"/>
      <c r="D33" s="36" t="s">
        <v>62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56">
        <f>ROUND(100/O23,6)</f>
        <v>1.0055229999999999</v>
      </c>
      <c r="P33" s="36"/>
      <c r="Q33" s="36"/>
      <c r="R33" s="36"/>
      <c r="S33" s="36">
        <f>ROUND(100/S31,6)</f>
        <v>1.339896</v>
      </c>
    </row>
    <row r="38" spans="1:19">
      <c r="A38" s="60"/>
      <c r="B38" s="37"/>
      <c r="C38" s="36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</row>
  </sheetData>
  <customSheetViews>
    <customSheetView guid="{4EF176FC-448F-4BD8-8859-C810312E84E7}" fitToPage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1"/>
      <headerFooter alignWithMargins="0"/>
    </customSheetView>
    <customSheetView guid="{567BA860-460A-4CE0-A629-0EA7372574F1}" showPageBreaks="1" fitToPage="1" printArea="1" hiddenRows="1">
      <pane ySplit="4" topLeftCell="A5" activePane="bottomLeft" state="frozen"/>
      <selection pane="bottomLeft" activeCell="B33" sqref="B33"/>
      <pageMargins left="0" right="0" top="0" bottom="0.2" header="0" footer="0"/>
      <printOptions horizontalCentered="1" verticalCentered="1"/>
      <pageSetup scale="91" orientation="portrait" horizontalDpi="300" verticalDpi="300" r:id="rId2"/>
      <headerFooter alignWithMargins="0"/>
    </customSheetView>
    <customSheetView guid="{0BD4BC22-E7A2-4140-8384-5A5B3339DEED}" fitToPage="1" printArea="1" hiddenRows="1">
      <pane ySplit="4" topLeftCell="A5" activePane="bottomLeft" state="frozen"/>
      <selection pane="bottomLeft" activeCell="S49" sqref="S49"/>
      <pageMargins left="0" right="0" top="0" bottom="0.2" header="0" footer="0"/>
      <printOptions horizontalCentered="1" verticalCentered="1"/>
      <pageSetup scale="91" orientation="portrait" horizontalDpi="300" verticalDpi="300" r:id="rId3"/>
      <headerFooter alignWithMargins="0"/>
    </customSheetView>
  </customSheetViews>
  <mergeCells count="3">
    <mergeCell ref="B1:S1"/>
    <mergeCell ref="B2:S2"/>
    <mergeCell ref="D38:S38"/>
  </mergeCells>
  <printOptions horizontalCentered="1" verticalCentered="1"/>
  <pageMargins left="0" right="0" top="0" bottom="0.2" header="0" footer="0"/>
  <pageSetup scale="97" orientation="portrait" horizontalDpi="300" verticalDpi="300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YXV0b1NlbGVjdGVkU3VnZ2VzdGlvbiI+PGVsZW1lbnQgdWlkPSI1MGMzMTgyNC0wNzgwLTQ5MTAtODdkMS1lYWFmZmQxODJkNDIiIHZhbHVlPSIiIHhtbG5zPSJodHRwOi8vd3d3LmJvbGRvbmphbWVzLmNvbS8yMDA4LzAxL3NpZS9pbnRlcm5hbC9sYWJlbCIgLz48ZWxlbWVudCB1aWQ9ImM2NDIxOGFiLWI4ZDEtNDBiNi1hNDc4LWNiOGJlMWUxMGVjYyIgdmFsdWU9IiIgeG1sbnM9Imh0dHA6Ly93d3cuYm9sZG9uamFtZXMuY29tLzIwMDgvMDEvc2llL2ludGVybmFsL2xhYmVsIiAvPjwvc2lzbD48VXNlck5hbWU+Q09SUFxzMjkwNzkyPC9Vc2VyTmFtZT48RGF0ZVRpbWU+Ny8yNS8yMDIyIDQ6NTM6MjAgUE08L0RhdGVUaW1lPjxMYWJlbFN0cmluZz5BRVAgSW50ZXJuYWw8L0xhYmVsU3RyaW5nPjwvaXRlbT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+Q09SUFxzMjkwNzkyPC9Vc2VyTmFtZT48RGF0ZVRpbWU+Ny8yNi8yMDIyIDM6Mjk6MDAgUE08L0RhdGVUaW1lPjxMYWJlbFN0cmluZz5BRVAgSW50ZXJuYWw8L0xhYmVsU3RyaW5nPjwvaXRlbT48L2xhYmVsSGlzdG9yeT4=</Value>
</WrappedLabelHistor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8ffb1c-9230-4705-a789-27bae69f5829">
      <Terms xmlns="http://schemas.microsoft.com/office/infopath/2007/PartnerControls"/>
    </lcf76f155ced4ddcb4097134ff3c332f>
    <TaxCatchAll xmlns="b6888f76-1100-40b0-929b-1efe9044426d" xsi:nil="true"/>
    <Notes xmlns="f88ffb1c-9230-4705-a789-27bae69f5829" xsi:nil="true"/>
    <OriginalFileDate xmlns="f88ffb1c-9230-4705-a789-27bae69f5829" xsi:nil="true"/>
    <Owner xmlns="f88ffb1c-9230-4705-a789-27bae69f5829">
      <UserInfo>
        <DisplayName/>
        <AccountId xsi:nil="true"/>
        <AccountType/>
      </UserInfo>
    </Owner>
    <_Flow_SignoffStatus xmlns="f88ffb1c-9230-4705-a789-27bae69f58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805D1E1DA4A49A223477D3B105720" ma:contentTypeVersion="21" ma:contentTypeDescription="Create a new document." ma:contentTypeScope="" ma:versionID="1883b834d3aa6d865b50bdf81bb54b4d">
  <xsd:schema xmlns:xsd="http://www.w3.org/2001/XMLSchema" xmlns:xs="http://www.w3.org/2001/XMLSchema" xmlns:p="http://schemas.microsoft.com/office/2006/metadata/properties" xmlns:ns2="f88ffb1c-9230-4705-a789-27bae69f5829" xmlns:ns3="b6888f76-1100-40b0-929b-1efe9044426d" targetNamespace="http://schemas.microsoft.com/office/2006/metadata/properties" ma:root="true" ma:fieldsID="41f3d3bb6af9996bd7003e59ea38af24" ns2:_="" ns3:_="">
    <xsd:import namespace="f88ffb1c-9230-4705-a789-27bae69f5829"/>
    <xsd:import namespace="b6888f76-1100-40b0-929b-1efe90444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Owner" minOccurs="0"/>
                <xsd:element ref="ns2:OriginalFileDate" minOccurs="0"/>
                <xsd:element ref="ns2:_Flow_SignoffStatus" minOccurs="0"/>
                <xsd:element ref="ns2:MediaServiceLocation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ffb1c-9230-4705-a789-27bae69f5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fa54f2-5b03-49c6-9483-51c08a97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2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riginalFileDate" ma:index="23" nillable="true" ma:displayName="Original File Date" ma:format="DateOnly" ma:internalName="OriginalFileDate">
      <xsd:simpleType>
        <xsd:restriction base="dms:DateTime"/>
      </xsd:simpleType>
    </xsd:element>
    <xsd:element name="_Flow_SignoffStatus" ma:index="24" nillable="true" ma:displayName="Sign-off status" ma:internalName="_x0024_Resources_x003a_core_x002c_Signoff_Status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6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88f76-1100-40b0-929b-1efe90444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0cac33-65cc-488e-b290-aff2b08f7242}" ma:internalName="TaxCatchAll" ma:showField="CatchAllData" ma:web="b6888f76-1100-40b0-929b-1efe90444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sisl xmlns:xsd="http://www.w3.org/2001/XMLSchema" xmlns:xsi="http://www.w3.org/2001/XMLSchema-instance" xmlns="http://www.boldonjames.com/2008/01/sie/internal/label" sislVersion="0" policy="e9c0b8d7-bdb4-4fd3-b62a-f50327aaefce" origin="userSelected">
  <element uid="50c31824-0780-4910-87d1-eaaffd182d42" value=""/>
</sisl>
</file>

<file path=customXml/itemProps1.xml><?xml version="1.0" encoding="utf-8"?>
<ds:datastoreItem xmlns:ds="http://schemas.openxmlformats.org/officeDocument/2006/customXml" ds:itemID="{9B482F11-42D7-48F6-9F90-CC15E10D26C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A3AA00A-6B8F-43F4-83FF-5FC5A51F0F9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6888f76-1100-40b0-929b-1efe9044426d"/>
    <ds:schemaRef ds:uri="f88ffb1c-9230-4705-a789-27bae69f5829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7CD0FC4-FFB7-45C4-A0AC-BC677FC0554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C30246D-2AEF-43EB-B61D-E767D0524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8ffb1c-9230-4705-a789-27bae69f5829"/>
    <ds:schemaRef ds:uri="b6888f76-1100-40b0-929b-1efe90444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B3D2D91C-271A-4D9C-B0F9-75C502C7BD7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PPA Form 1.0</vt:lpstr>
      <vt:lpstr>PPA Form 2.0</vt:lpstr>
      <vt:lpstr>PPA Form 3.0</vt:lpstr>
      <vt:lpstr>PPA Form 3.0a</vt:lpstr>
      <vt:lpstr>PPA Form 4.0</vt:lpstr>
      <vt:lpstr>PPA Form 5.0</vt:lpstr>
      <vt:lpstr>Input Sheet</vt:lpstr>
      <vt:lpstr>GRCF</vt:lpstr>
      <vt:lpstr>GRCF!Print_Area</vt:lpstr>
      <vt:lpstr>'PPA Form 1.0'!Print_Area</vt:lpstr>
      <vt:lpstr>'PPA Form 2.0'!Print_Area</vt:lpstr>
      <vt:lpstr>'PPA Form 3.0'!Print_Area</vt:lpstr>
      <vt:lpstr>'PPA Form 3.0a'!Print_Area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AEP</dc:creator>
  <cp:keywords/>
  <cp:lastModifiedBy>Lerah M Kahn</cp:lastModifiedBy>
  <cp:lastPrinted>2019-08-13T18:34:04Z</cp:lastPrinted>
  <dcterms:created xsi:type="dcterms:W3CDTF">2015-03-17T12:16:01Z</dcterms:created>
  <dcterms:modified xsi:type="dcterms:W3CDTF">2026-08-26T18:54:22Z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c31a8b5e-7cd5-4e22-85fe-ab32033ae9b1</vt:lpwstr>
  </property>
  <property fmtid="{D5CDD505-2E9C-101B-9397-08002B2CF9AE}" pid="3" name="bjSaver">
    <vt:lpwstr>82y7WusX6p1G1FJkfwXhV3ab3P1DoTfj</vt:lpwstr>
  </property>
  <property fmtid="{D5CDD505-2E9C-101B-9397-08002B2CF9AE}" pid="4" name="bjDocumentSecurityLabel">
    <vt:lpwstr>AEP Internal</vt:lpwstr>
  </property>
  <property fmtid="{D5CDD505-2E9C-101B-9397-08002B2CF9AE}" pid="5" name="Visual Markings Removed">
    <vt:lpwstr>No</vt:lpwstr>
  </property>
  <property fmtid="{D5CDD505-2E9C-101B-9397-08002B2CF9AE}" pid="6" name="MSIP_Label_69f43042-6bda-44b2-91eb-eca3d3d484f4_SiteId">
    <vt:lpwstr>15f3c881-6b03-4ff6-8559-77bf5177818f</vt:lpwstr>
  </property>
  <property fmtid="{D5CDD505-2E9C-101B-9397-08002B2CF9AE}" pid="7" name="MSIP_Label_69f43042-6bda-44b2-91eb-eca3d3d484f4_Name">
    <vt:lpwstr>AEP Internal</vt:lpwstr>
  </property>
  <property fmtid="{D5CDD505-2E9C-101B-9397-08002B2CF9AE}" pid="8" name="MSIP_Label_69f43042-6bda-44b2-91eb-eca3d3d484f4_Enabled">
    <vt:lpwstr>true</vt:lpwstr>
  </property>
  <property fmtid="{D5CDD505-2E9C-101B-9397-08002B2CF9AE}" pid="9" name="bjClsUserRVM">
    <vt:lpwstr>[]</vt:lpwstr>
  </property>
  <property fmtid="{D5CDD505-2E9C-101B-9397-08002B2CF9AE}" pid="10" name="bjDocumentLabelXML">
    <vt:lpwstr>&lt;?xml version="1.0" encoding="us-ascii"?&gt;&lt;sisl xmlns:xsd="http://www.w3.org/2001/XMLSchema" xmlns:xsi="http://www.w3.org/2001/XMLSchema-instance" sislVersion="0" policy="e9c0b8d7-bdb4-4fd3-b62a-f50327aaefce" origin="userSelected" xmlns="http://www.boldonj</vt:lpwstr>
  </property>
  <property fmtid="{D5CDD505-2E9C-101B-9397-08002B2CF9AE}" pid="11" name="bjDocumentLabelXML-0">
    <vt:lpwstr>ames.com/2008/01/sie/internal/label"&gt;&lt;element uid="50c31824-0780-4910-87d1-eaaffd182d42" value="" /&gt;&lt;/sisl&gt;</vt:lpwstr>
  </property>
  <property fmtid="{D5CDD505-2E9C-101B-9397-08002B2CF9AE}" pid="12" name="bjLabelHistoryID">
    <vt:lpwstr>{9B482F11-42D7-48F6-9F90-CC15E10D26C0}</vt:lpwstr>
  </property>
  <property fmtid="{D5CDD505-2E9C-101B-9397-08002B2CF9AE}" pid="13" name="bjpmDocIH">
    <vt:lpwstr>tMee0lY+QQaNhjKQa7tM5H9HydNafo19</vt:lpwstr>
  </property>
  <property fmtid="{D5CDD505-2E9C-101B-9397-08002B2CF9AE}" pid="14" name="ContentTypeId">
    <vt:lpwstr>0x0101004DF805D1E1DA4A49A223477D3B105720</vt:lpwstr>
  </property>
  <property fmtid="{D5CDD505-2E9C-101B-9397-08002B2CF9AE}" pid="15" name="MediaServiceImageTags">
    <vt:lpwstr/>
  </property>
</Properties>
</file>