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20783bd5d64abe/Meade County WD/"/>
    </mc:Choice>
  </mc:AlternateContent>
  <xr:revisionPtr revIDLastSave="4" documentId="8_{19EC9ECA-8DA1-4BC4-BE7A-3E7A001E3BC5}" xr6:coauthVersionLast="47" xr6:coauthVersionMax="47" xr10:uidLastSave="{C4AF39A2-830C-4838-B563-4F7FA11D0852}"/>
  <bookViews>
    <workbookView xWindow="-98" yWindow="-98" windowWidth="21795" windowHeight="13875" tabRatio="641" firstSheet="1" activeTab="3" xr2:uid="{00000000-000D-0000-FFFF-FFFF00000000}"/>
  </bookViews>
  <sheets>
    <sheet name="SAO" sheetId="6" r:id="rId1"/>
    <sheet name="Revenue Requirement" sheetId="67" r:id="rId2"/>
    <sheet name="Wages and Benefits" sheetId="55" r:id="rId3"/>
    <sheet name="Medical" sheetId="74" r:id="rId4"/>
    <sheet name="Water Loss Surcharge" sheetId="68" r:id="rId5"/>
    <sheet name="Depreciation" sheetId="69" r:id="rId6"/>
    <sheet name="Debt Service" sheetId="50" r:id="rId7"/>
    <sheet name="Tap Fees" sheetId="71" r:id="rId8"/>
    <sheet name="Rate Case Expenses" sheetId="70" r:id="rId9"/>
    <sheet name="Rates" sheetId="2" r:id="rId10"/>
    <sheet name="Bills" sheetId="42" r:id="rId11"/>
    <sheet name="Existing Billing Analysis" sheetId="63" r:id="rId12"/>
    <sheet name="Proposed Billing Analysis" sheetId="65" r:id="rId13"/>
  </sheets>
  <definedNames>
    <definedName name="AHV">#REF!</definedName>
    <definedName name="_xlnm.Print_Area" localSheetId="10">Bills!$A$1:$I$44</definedName>
    <definedName name="_xlnm.Print_Area" localSheetId="6">'Debt Service'!$A$1:$O$23</definedName>
    <definedName name="_xlnm.Print_Area" localSheetId="5">Depreciation!$A$1:$M$44</definedName>
    <definedName name="_xlnm.Print_Area" localSheetId="11">'Existing Billing Analysis'!$A$1:$N$111</definedName>
    <definedName name="_xlnm.Print_Area" localSheetId="12">'Proposed Billing Analysis'!$A$1:$N$111</definedName>
    <definedName name="_xlnm.Print_Area" localSheetId="9">Rates!$A$1:$I$34</definedName>
    <definedName name="_xlnm.Print_Area" localSheetId="1">'Revenue Requirement'!$A$1:$H$19</definedName>
    <definedName name="_xlnm.Print_Area" localSheetId="0">SAO!$A$1:$G$42</definedName>
    <definedName name="_xlnm.Print_Area" localSheetId="4">'Water Loss Surcharge'!$C$3:$H$42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" i="55" l="1"/>
  <c r="T18" i="55"/>
  <c r="S18" i="55"/>
  <c r="R18" i="55"/>
  <c r="Q18" i="55"/>
  <c r="O18" i="55"/>
  <c r="N18" i="55"/>
  <c r="M18" i="55"/>
  <c r="J12" i="50"/>
  <c r="I12" i="50"/>
  <c r="H12" i="50"/>
  <c r="G12" i="50"/>
  <c r="F12" i="50"/>
  <c r="E12" i="50"/>
  <c r="D12" i="50"/>
  <c r="C12" i="50"/>
  <c r="G17" i="55"/>
  <c r="G16" i="55"/>
  <c r="G15" i="55"/>
  <c r="G14" i="55"/>
  <c r="G13" i="55"/>
  <c r="G12" i="55"/>
  <c r="G11" i="55"/>
  <c r="G10" i="55"/>
  <c r="G9" i="55"/>
  <c r="G8" i="55"/>
  <c r="G7" i="55"/>
  <c r="G6" i="55"/>
  <c r="J36" i="69"/>
  <c r="K36" i="69" s="1"/>
  <c r="M16" i="50"/>
  <c r="J19" i="74" l="1"/>
  <c r="J8" i="74"/>
  <c r="J7" i="74"/>
  <c r="J6" i="74"/>
  <c r="F40" i="63"/>
  <c r="E40" i="63"/>
  <c r="F39" i="63"/>
  <c r="E39" i="63"/>
  <c r="F38" i="63"/>
  <c r="E38" i="63"/>
  <c r="F37" i="63"/>
  <c r="E37" i="63"/>
  <c r="F36" i="63"/>
  <c r="F41" i="63" s="1"/>
  <c r="E36" i="63"/>
  <c r="E41" i="63" s="1"/>
  <c r="J41" i="65"/>
  <c r="E18" i="55"/>
  <c r="F27" i="6"/>
  <c r="D27" i="6"/>
  <c r="G9" i="65"/>
  <c r="G11" i="63"/>
  <c r="G17" i="50" l="1"/>
  <c r="F17" i="50"/>
  <c r="D17" i="50"/>
  <c r="C17" i="50"/>
  <c r="I17" i="55"/>
  <c r="H17" i="55"/>
  <c r="J17" i="55" s="1"/>
  <c r="F18" i="55"/>
  <c r="F108" i="65"/>
  <c r="E108" i="65"/>
  <c r="E109" i="65" s="1"/>
  <c r="D108" i="65"/>
  <c r="C108" i="65"/>
  <c r="G105" i="65"/>
  <c r="F105" i="65"/>
  <c r="E105" i="65"/>
  <c r="G104" i="65"/>
  <c r="F98" i="65"/>
  <c r="E98" i="65"/>
  <c r="E99" i="65" s="1"/>
  <c r="D98" i="65"/>
  <c r="C98" i="65"/>
  <c r="F95" i="65"/>
  <c r="E95" i="65"/>
  <c r="G94" i="65"/>
  <c r="G95" i="65" s="1"/>
  <c r="D88" i="65"/>
  <c r="C88" i="65"/>
  <c r="F85" i="65"/>
  <c r="F88" i="65" s="1"/>
  <c r="E85" i="65"/>
  <c r="E88" i="65" s="1"/>
  <c r="E89" i="65" s="1"/>
  <c r="G84" i="65"/>
  <c r="G85" i="65" s="1"/>
  <c r="F78" i="65"/>
  <c r="E78" i="65"/>
  <c r="E79" i="65" s="1"/>
  <c r="D78" i="65"/>
  <c r="C78" i="65"/>
  <c r="F75" i="65"/>
  <c r="E75" i="65"/>
  <c r="G74" i="65"/>
  <c r="G75" i="65" s="1"/>
  <c r="F68" i="65"/>
  <c r="F69" i="65" s="1"/>
  <c r="D68" i="65"/>
  <c r="F65" i="65"/>
  <c r="E65" i="65"/>
  <c r="E68" i="65" s="1"/>
  <c r="E69" i="65" s="1"/>
  <c r="G64" i="65"/>
  <c r="G65" i="65" s="1"/>
  <c r="D58" i="65"/>
  <c r="F55" i="65"/>
  <c r="F58" i="65" s="1"/>
  <c r="E55" i="65"/>
  <c r="E58" i="65" s="1"/>
  <c r="E59" i="65" s="1"/>
  <c r="G54" i="65"/>
  <c r="G55" i="65" s="1"/>
  <c r="D48" i="65"/>
  <c r="C48" i="65"/>
  <c r="F47" i="65"/>
  <c r="D46" i="65"/>
  <c r="C46" i="65"/>
  <c r="D45" i="65"/>
  <c r="C45" i="65"/>
  <c r="D44" i="65"/>
  <c r="C44" i="65"/>
  <c r="F40" i="65"/>
  <c r="E40" i="65"/>
  <c r="I40" i="65" s="1"/>
  <c r="K35" i="65"/>
  <c r="J35" i="65"/>
  <c r="I35" i="65"/>
  <c r="H35" i="65"/>
  <c r="G35" i="65"/>
  <c r="K34" i="65"/>
  <c r="I34" i="65"/>
  <c r="H34" i="65"/>
  <c r="G34" i="65"/>
  <c r="D30" i="65"/>
  <c r="C30" i="65"/>
  <c r="D29" i="65"/>
  <c r="C29" i="65"/>
  <c r="D28" i="65"/>
  <c r="C28" i="65"/>
  <c r="D27" i="65"/>
  <c r="C27" i="65"/>
  <c r="D26" i="65"/>
  <c r="C26" i="65"/>
  <c r="F23" i="65"/>
  <c r="E23" i="65"/>
  <c r="E39" i="65" s="1"/>
  <c r="F22" i="65"/>
  <c r="E22" i="65"/>
  <c r="I22" i="65" s="1"/>
  <c r="I21" i="65"/>
  <c r="H21" i="65"/>
  <c r="G21" i="65"/>
  <c r="H20" i="65"/>
  <c r="G20" i="65"/>
  <c r="G19" i="65"/>
  <c r="F18" i="65"/>
  <c r="F36" i="65" s="1"/>
  <c r="E18" i="65"/>
  <c r="E36" i="65" s="1"/>
  <c r="K17" i="65"/>
  <c r="J17" i="65"/>
  <c r="I17" i="65"/>
  <c r="H17" i="65"/>
  <c r="G17" i="65"/>
  <c r="K16" i="65"/>
  <c r="I16" i="65"/>
  <c r="H16" i="65"/>
  <c r="G16" i="65"/>
  <c r="G36" i="63"/>
  <c r="E44" i="63"/>
  <c r="G37" i="63"/>
  <c r="E108" i="63"/>
  <c r="E109" i="63" s="1"/>
  <c r="E88" i="63"/>
  <c r="E89" i="63" s="1"/>
  <c r="G74" i="63"/>
  <c r="G68" i="63"/>
  <c r="F68" i="63"/>
  <c r="F69" i="63" s="1"/>
  <c r="D68" i="63"/>
  <c r="G65" i="63"/>
  <c r="F65" i="63"/>
  <c r="E65" i="63"/>
  <c r="E68" i="63" s="1"/>
  <c r="E69" i="63" s="1"/>
  <c r="G64" i="63"/>
  <c r="G108" i="63"/>
  <c r="D108" i="63"/>
  <c r="C108" i="63"/>
  <c r="F105" i="63"/>
  <c r="F108" i="63" s="1"/>
  <c r="F109" i="63" s="1"/>
  <c r="E105" i="63"/>
  <c r="G104" i="63"/>
  <c r="G105" i="63" s="1"/>
  <c r="G84" i="63"/>
  <c r="G85" i="63" s="1"/>
  <c r="G88" i="63"/>
  <c r="F85" i="63"/>
  <c r="F88" i="63" s="1"/>
  <c r="D88" i="63"/>
  <c r="C88" i="63"/>
  <c r="E85" i="63"/>
  <c r="G48" i="63"/>
  <c r="G47" i="63"/>
  <c r="G46" i="63"/>
  <c r="G45" i="63"/>
  <c r="G44" i="63"/>
  <c r="J40" i="63"/>
  <c r="I40" i="63"/>
  <c r="H40" i="63"/>
  <c r="G40" i="63"/>
  <c r="I39" i="63"/>
  <c r="H39" i="63"/>
  <c r="G39" i="63"/>
  <c r="H38" i="63"/>
  <c r="G38" i="63"/>
  <c r="D29" i="63"/>
  <c r="C29" i="63"/>
  <c r="F22" i="63"/>
  <c r="E22" i="63"/>
  <c r="J22" i="63" s="1"/>
  <c r="I21" i="63"/>
  <c r="H21" i="63"/>
  <c r="G21" i="63"/>
  <c r="F18" i="63"/>
  <c r="E18" i="63"/>
  <c r="D48" i="63"/>
  <c r="C48" i="63"/>
  <c r="D46" i="63"/>
  <c r="C46" i="63"/>
  <c r="D45" i="63"/>
  <c r="C45" i="63"/>
  <c r="D44" i="63"/>
  <c r="C44" i="63"/>
  <c r="K35" i="63"/>
  <c r="J35" i="63"/>
  <c r="I35" i="63"/>
  <c r="H35" i="63"/>
  <c r="G35" i="63"/>
  <c r="K34" i="63"/>
  <c r="I34" i="63"/>
  <c r="H34" i="63"/>
  <c r="G34" i="63"/>
  <c r="D26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F59" i="65" l="1"/>
  <c r="L21" i="65"/>
  <c r="K40" i="65"/>
  <c r="K41" i="65" s="1"/>
  <c r="F48" i="65" s="1"/>
  <c r="I39" i="65"/>
  <c r="H39" i="65"/>
  <c r="G39" i="65"/>
  <c r="L19" i="65"/>
  <c r="G36" i="65"/>
  <c r="F89" i="65"/>
  <c r="H19" i="65"/>
  <c r="H23" i="65" s="1"/>
  <c r="F27" i="65" s="1"/>
  <c r="E26" i="65"/>
  <c r="F37" i="65"/>
  <c r="H37" i="65" s="1"/>
  <c r="H40" i="65"/>
  <c r="J40" i="65"/>
  <c r="F99" i="65"/>
  <c r="I20" i="65"/>
  <c r="I23" i="65" s="1"/>
  <c r="F28" i="65" s="1"/>
  <c r="H22" i="65"/>
  <c r="E38" i="65"/>
  <c r="J22" i="65"/>
  <c r="F38" i="65"/>
  <c r="F79" i="65"/>
  <c r="P75" i="65" s="1"/>
  <c r="F109" i="65"/>
  <c r="J21" i="65"/>
  <c r="E37" i="65"/>
  <c r="G37" i="65" s="1"/>
  <c r="G40" i="65"/>
  <c r="F39" i="65"/>
  <c r="G22" i="65"/>
  <c r="G18" i="65"/>
  <c r="P23" i="63"/>
  <c r="C12" i="42" s="1"/>
  <c r="D12" i="42" s="1"/>
  <c r="H68" i="63"/>
  <c r="H69" i="63" s="1"/>
  <c r="H108" i="63"/>
  <c r="H109" i="63" s="1"/>
  <c r="H44" i="63"/>
  <c r="F89" i="63"/>
  <c r="H88" i="63"/>
  <c r="H89" i="63" s="1"/>
  <c r="J21" i="63"/>
  <c r="J23" i="63" s="1"/>
  <c r="F29" i="63" s="1"/>
  <c r="G41" i="63"/>
  <c r="F44" i="63" s="1"/>
  <c r="I38" i="63"/>
  <c r="L38" i="63" s="1"/>
  <c r="L36" i="63"/>
  <c r="K40" i="63"/>
  <c r="K41" i="63" s="1"/>
  <c r="F48" i="63" s="1"/>
  <c r="H48" i="63" s="1"/>
  <c r="J39" i="63"/>
  <c r="H37" i="63"/>
  <c r="L37" i="63" s="1"/>
  <c r="E49" i="63"/>
  <c r="C20" i="74"/>
  <c r="B20" i="74"/>
  <c r="D19" i="74"/>
  <c r="G19" i="74" s="1"/>
  <c r="D8" i="74"/>
  <c r="G8" i="74" s="1"/>
  <c r="D7" i="74"/>
  <c r="G7" i="74" s="1"/>
  <c r="D6" i="74"/>
  <c r="G6" i="74" s="1"/>
  <c r="B9" i="74"/>
  <c r="J28" i="55"/>
  <c r="J22" i="55"/>
  <c r="I16" i="55"/>
  <c r="H16" i="55"/>
  <c r="J16" i="55" s="1"/>
  <c r="I15" i="55"/>
  <c r="H15" i="55"/>
  <c r="J15" i="55" s="1"/>
  <c r="D4" i="71"/>
  <c r="D3" i="71"/>
  <c r="J34" i="69"/>
  <c r="K34" i="69" s="1"/>
  <c r="J33" i="69"/>
  <c r="K33" i="69" s="1"/>
  <c r="J32" i="69"/>
  <c r="K32" i="69" s="1"/>
  <c r="J24" i="69"/>
  <c r="K24" i="69" s="1"/>
  <c r="J23" i="69"/>
  <c r="K23" i="69" s="1"/>
  <c r="J20" i="69"/>
  <c r="K20" i="69" s="1"/>
  <c r="J19" i="69"/>
  <c r="K19" i="69" s="1"/>
  <c r="J16" i="69"/>
  <c r="K16" i="69" s="1"/>
  <c r="J15" i="69"/>
  <c r="K15" i="69" s="1"/>
  <c r="J14" i="69"/>
  <c r="K14" i="69" s="1"/>
  <c r="J13" i="69"/>
  <c r="K13" i="69" s="1"/>
  <c r="L15" i="50"/>
  <c r="K15" i="50"/>
  <c r="J15" i="50"/>
  <c r="I15" i="50"/>
  <c r="H15" i="50"/>
  <c r="G15" i="50"/>
  <c r="F15" i="50"/>
  <c r="E15" i="50"/>
  <c r="D15" i="50"/>
  <c r="C15" i="50"/>
  <c r="M14" i="50"/>
  <c r="M13" i="50"/>
  <c r="G98" i="63"/>
  <c r="G94" i="63"/>
  <c r="G78" i="63"/>
  <c r="G54" i="63"/>
  <c r="C26" i="63"/>
  <c r="D26" i="63"/>
  <c r="G26" i="63"/>
  <c r="C27" i="63"/>
  <c r="D27" i="63"/>
  <c r="G27" i="63"/>
  <c r="C28" i="63"/>
  <c r="D28" i="63"/>
  <c r="G28" i="63"/>
  <c r="G29" i="63"/>
  <c r="C30" i="63"/>
  <c r="J17" i="63"/>
  <c r="L39" i="63" l="1"/>
  <c r="J41" i="63"/>
  <c r="F47" i="63" s="1"/>
  <c r="H47" i="63" s="1"/>
  <c r="E31" i="65"/>
  <c r="L18" i="65"/>
  <c r="G23" i="65"/>
  <c r="F26" i="65" s="1"/>
  <c r="G38" i="65"/>
  <c r="H38" i="65"/>
  <c r="H41" i="65" s="1"/>
  <c r="F45" i="65" s="1"/>
  <c r="E41" i="65"/>
  <c r="E44" i="65" s="1"/>
  <c r="K22" i="65"/>
  <c r="K23" i="65" s="1"/>
  <c r="F30" i="65" s="1"/>
  <c r="J39" i="65"/>
  <c r="L39" i="65" s="1"/>
  <c r="L20" i="65"/>
  <c r="L40" i="65"/>
  <c r="P95" i="65"/>
  <c r="L37" i="65"/>
  <c r="L36" i="65"/>
  <c r="G41" i="65"/>
  <c r="F44" i="65" s="1"/>
  <c r="J23" i="65"/>
  <c r="F29" i="65" s="1"/>
  <c r="F41" i="65"/>
  <c r="I41" i="63"/>
  <c r="F46" i="63" s="1"/>
  <c r="H46" i="63" s="1"/>
  <c r="L21" i="63"/>
  <c r="H29" i="63"/>
  <c r="L40" i="63"/>
  <c r="L41" i="63" s="1"/>
  <c r="H41" i="63"/>
  <c r="F45" i="63" s="1"/>
  <c r="H45" i="63" s="1"/>
  <c r="E19" i="74"/>
  <c r="H19" i="74" s="1"/>
  <c r="D20" i="74"/>
  <c r="E6" i="74"/>
  <c r="H6" i="74" s="1"/>
  <c r="E8" i="74"/>
  <c r="H8" i="74" s="1"/>
  <c r="E7" i="74"/>
  <c r="H7" i="74" s="1"/>
  <c r="K16" i="55"/>
  <c r="K15" i="55"/>
  <c r="G55" i="63"/>
  <c r="D58" i="55"/>
  <c r="E55" i="55" s="1"/>
  <c r="L23" i="65" l="1"/>
  <c r="I38" i="65"/>
  <c r="I41" i="65" s="1"/>
  <c r="F46" i="65" s="1"/>
  <c r="E49" i="65"/>
  <c r="E8" i="65" s="1"/>
  <c r="F31" i="65"/>
  <c r="P23" i="65"/>
  <c r="L22" i="65"/>
  <c r="H49" i="63"/>
  <c r="F49" i="63"/>
  <c r="J20" i="74"/>
  <c r="C22" i="74" s="1"/>
  <c r="G20" i="74"/>
  <c r="H20" i="74"/>
  <c r="E20" i="74"/>
  <c r="E48" i="55"/>
  <c r="E49" i="55"/>
  <c r="L38" i="65" l="1"/>
  <c r="L41" i="65" s="1"/>
  <c r="F49" i="65"/>
  <c r="F8" i="65" s="1"/>
  <c r="J31" i="69"/>
  <c r="K31" i="69" s="1"/>
  <c r="F41" i="69"/>
  <c r="J39" i="69"/>
  <c r="C9" i="74" l="1"/>
  <c r="H9" i="74" l="1"/>
  <c r="E9" i="74"/>
  <c r="A7" i="55" l="1"/>
  <c r="A8" i="55" s="1"/>
  <c r="A9" i="55" s="1"/>
  <c r="A10" i="55" s="1"/>
  <c r="A11" i="55" s="1"/>
  <c r="A12" i="55" s="1"/>
  <c r="A13" i="55" s="1"/>
  <c r="A14" i="55" s="1"/>
  <c r="A15" i="55" s="1"/>
  <c r="A16" i="55" s="1"/>
  <c r="F48" i="69"/>
  <c r="K39" i="69"/>
  <c r="J35" i="69"/>
  <c r="K35" i="69" s="1"/>
  <c r="J30" i="69"/>
  <c r="K30" i="69" s="1"/>
  <c r="J29" i="69"/>
  <c r="K29" i="69" s="1"/>
  <c r="J28" i="69"/>
  <c r="K28" i="69" s="1"/>
  <c r="J25" i="69"/>
  <c r="K25" i="69" s="1"/>
  <c r="H41" i="69"/>
  <c r="J12" i="69"/>
  <c r="K12" i="69" l="1"/>
  <c r="K41" i="69" l="1"/>
  <c r="J41" i="69"/>
  <c r="F47" i="69" s="1"/>
  <c r="F49" i="69" s="1"/>
  <c r="D32" i="6" s="1"/>
  <c r="D19" i="6" l="1"/>
  <c r="B5" i="70" l="1"/>
  <c r="B7" i="70" s="1"/>
  <c r="L17" i="50"/>
  <c r="K17" i="50"/>
  <c r="J17" i="50"/>
  <c r="I17" i="50"/>
  <c r="H17" i="50"/>
  <c r="E17" i="50"/>
  <c r="M15" i="50"/>
  <c r="D12" i="6" l="1"/>
  <c r="F35" i="68"/>
  <c r="C34" i="68"/>
  <c r="C33" i="68"/>
  <c r="D98" i="63" l="1"/>
  <c r="C98" i="63"/>
  <c r="D78" i="63"/>
  <c r="C78" i="63"/>
  <c r="K16" i="63"/>
  <c r="I16" i="63"/>
  <c r="H16" i="63"/>
  <c r="G16" i="63"/>
  <c r="D58" i="63"/>
  <c r="D30" i="63"/>
  <c r="I22" i="63"/>
  <c r="H22" i="63"/>
  <c r="G22" i="63"/>
  <c r="H20" i="63"/>
  <c r="G20" i="63"/>
  <c r="K17" i="63"/>
  <c r="I17" i="63"/>
  <c r="H17" i="63"/>
  <c r="G19" i="63"/>
  <c r="H19" i="63" s="1"/>
  <c r="G18" i="63"/>
  <c r="K22" i="63" l="1"/>
  <c r="I20" i="63"/>
  <c r="D34" i="68"/>
  <c r="D33" i="68"/>
  <c r="E24" i="68"/>
  <c r="E17" i="68"/>
  <c r="E8" i="68"/>
  <c r="E25" i="68" l="1"/>
  <c r="F28" i="68"/>
  <c r="F30" i="68" s="1"/>
  <c r="F34" i="68" s="1"/>
  <c r="D36" i="68"/>
  <c r="F33" i="68" l="1"/>
  <c r="D17" i="6" s="1"/>
  <c r="D18" i="6"/>
  <c r="F36" i="68" l="1"/>
  <c r="F39" i="68" s="1"/>
  <c r="B12" i="67" l="1"/>
  <c r="B6" i="67"/>
  <c r="B5" i="67"/>
  <c r="C47" i="6"/>
  <c r="C34" i="6"/>
  <c r="C39" i="6"/>
  <c r="D39" i="6"/>
  <c r="F38" i="6"/>
  <c r="F37" i="6"/>
  <c r="F32" i="6"/>
  <c r="F39" i="6" l="1"/>
  <c r="F13" i="67" s="1"/>
  <c r="F8" i="6" l="1"/>
  <c r="F12" i="67" s="1"/>
  <c r="F14" i="67" s="1"/>
  <c r="G58" i="63" l="1"/>
  <c r="F95" i="63"/>
  <c r="E95" i="63"/>
  <c r="E98" i="63" s="1"/>
  <c r="F98" i="63" l="1"/>
  <c r="H98" i="63" s="1"/>
  <c r="G95" i="63"/>
  <c r="E99" i="63"/>
  <c r="F75" i="63"/>
  <c r="E75" i="63"/>
  <c r="E78" i="63" s="1"/>
  <c r="F78" i="63" l="1"/>
  <c r="H78" i="63" s="1"/>
  <c r="E79" i="63"/>
  <c r="E8" i="63" l="1"/>
  <c r="H99" i="63"/>
  <c r="F99" i="63"/>
  <c r="P95" i="63" s="1"/>
  <c r="C42" i="42" s="1"/>
  <c r="D42" i="42" s="1"/>
  <c r="D23" i="6"/>
  <c r="D22" i="6"/>
  <c r="D21" i="6"/>
  <c r="H79" i="63" l="1"/>
  <c r="G75" i="63"/>
  <c r="F79" i="63"/>
  <c r="P75" i="63" s="1"/>
  <c r="C34" i="42" s="1"/>
  <c r="D34" i="42" s="1"/>
  <c r="G30" i="63"/>
  <c r="I23" i="63"/>
  <c r="F28" i="63" s="1"/>
  <c r="H28" i="63" s="1"/>
  <c r="K23" i="63"/>
  <c r="F30" i="63" s="1"/>
  <c r="L20" i="63"/>
  <c r="L22" i="63"/>
  <c r="F19" i="6"/>
  <c r="F21" i="6"/>
  <c r="F22" i="6"/>
  <c r="F23" i="6"/>
  <c r="F24" i="6"/>
  <c r="F25" i="6"/>
  <c r="F26" i="6"/>
  <c r="F8" i="63" l="1"/>
  <c r="H30" i="63"/>
  <c r="F55" i="63"/>
  <c r="F58" i="63" s="1"/>
  <c r="E55" i="63"/>
  <c r="E58" i="63" s="1"/>
  <c r="F23" i="63"/>
  <c r="E23" i="63"/>
  <c r="E26" i="63" s="1"/>
  <c r="H26" i="63" s="1"/>
  <c r="G17" i="63"/>
  <c r="C29" i="6"/>
  <c r="F28" i="6"/>
  <c r="F18" i="6"/>
  <c r="F17" i="6"/>
  <c r="F14" i="6"/>
  <c r="C9" i="6"/>
  <c r="C41" i="6" l="1"/>
  <c r="E59" i="63"/>
  <c r="H58" i="63"/>
  <c r="L18" i="63"/>
  <c r="G23" i="63"/>
  <c r="F26" i="63" s="1"/>
  <c r="D47" i="6" l="1"/>
  <c r="C49" i="6"/>
  <c r="E31" i="63"/>
  <c r="D11" i="42"/>
  <c r="D10" i="42"/>
  <c r="H59" i="63" l="1"/>
  <c r="F40" i="68"/>
  <c r="F41" i="68" s="1"/>
  <c r="F59" i="63"/>
  <c r="M12" i="50"/>
  <c r="M17" i="50" s="1"/>
  <c r="M19" i="50" l="1"/>
  <c r="F7" i="67" s="1"/>
  <c r="M21" i="50" l="1"/>
  <c r="F8" i="67" s="1"/>
  <c r="I13" i="55" l="1"/>
  <c r="H13" i="55"/>
  <c r="I12" i="55"/>
  <c r="H12" i="55"/>
  <c r="I11" i="55"/>
  <c r="H11" i="55"/>
  <c r="J12" i="55" l="1"/>
  <c r="K12" i="55" s="1"/>
  <c r="J11" i="55"/>
  <c r="J13" i="55"/>
  <c r="K13" i="55" l="1"/>
  <c r="K11" i="55"/>
  <c r="H6" i="55"/>
  <c r="H14" i="55" l="1"/>
  <c r="H9" i="55"/>
  <c r="I8" i="55"/>
  <c r="H8" i="55"/>
  <c r="I10" i="55"/>
  <c r="I7" i="55"/>
  <c r="H10" i="55"/>
  <c r="H7" i="55"/>
  <c r="H18" i="55" s="1"/>
  <c r="I6" i="55"/>
  <c r="J7" i="55" l="1"/>
  <c r="I9" i="55"/>
  <c r="I14" i="55"/>
  <c r="J14" i="55" s="1"/>
  <c r="J10" i="55"/>
  <c r="J8" i="55"/>
  <c r="I18" i="55" l="1"/>
  <c r="K14" i="55"/>
  <c r="K7" i="55"/>
  <c r="D54" i="55"/>
  <c r="E54" i="55" s="1"/>
  <c r="K8" i="55"/>
  <c r="K10" i="55"/>
  <c r="J9" i="55"/>
  <c r="J6" i="55"/>
  <c r="J18" i="55" s="1"/>
  <c r="K6" i="55" l="1"/>
  <c r="K9" i="55"/>
  <c r="D50" i="55"/>
  <c r="E50" i="55" s="1"/>
  <c r="K18" i="55" l="1"/>
  <c r="J31" i="55" s="1"/>
  <c r="J33" i="55" s="1"/>
  <c r="D47" i="55"/>
  <c r="E47" i="55" s="1"/>
  <c r="J21" i="55"/>
  <c r="J25" i="55"/>
  <c r="J27" i="55" s="1"/>
  <c r="J23" i="55" l="1"/>
  <c r="D13" i="6" s="1"/>
  <c r="F13" i="6" s="1"/>
  <c r="J29" i="55"/>
  <c r="D33" i="6" s="1"/>
  <c r="J35" i="55"/>
  <c r="D15" i="6" s="1"/>
  <c r="H23" i="63"/>
  <c r="F27" i="63" s="1"/>
  <c r="H27" i="63" s="1"/>
  <c r="L19" i="63"/>
  <c r="L23" i="63" s="1"/>
  <c r="F33" i="6" l="1"/>
  <c r="F34" i="6" s="1"/>
  <c r="F6" i="67" s="1"/>
  <c r="D34" i="6"/>
  <c r="F31" i="63"/>
  <c r="H31" i="63"/>
  <c r="G8" i="63" s="1"/>
  <c r="G10" i="63" l="1"/>
  <c r="G12" i="63" s="1"/>
  <c r="G13" i="63" s="1"/>
  <c r="D7" i="6" l="1"/>
  <c r="F7" i="6" l="1"/>
  <c r="F17" i="67" s="1"/>
  <c r="D9" i="6"/>
  <c r="F9" i="6" l="1"/>
  <c r="D9" i="74"/>
  <c r="G9" i="74" l="1"/>
  <c r="J9" i="74"/>
  <c r="C11" i="74" s="1"/>
  <c r="C13" i="74" s="1"/>
  <c r="C24" i="74" l="1"/>
  <c r="C26" i="74" s="1"/>
  <c r="D16" i="6" s="1"/>
  <c r="F16" i="6" l="1"/>
  <c r="F29" i="6" s="1"/>
  <c r="D29" i="6"/>
  <c r="D41" i="6" s="1"/>
  <c r="F5" i="67" l="1"/>
  <c r="F9" i="67" s="1"/>
  <c r="F16" i="67" s="1"/>
  <c r="F41" i="6"/>
  <c r="F18" i="67" l="1"/>
  <c r="F19" i="67" s="1"/>
  <c r="E32" i="2" s="1"/>
  <c r="G11" i="65"/>
  <c r="E10" i="2" l="1"/>
  <c r="G26" i="65" s="1"/>
  <c r="H26" i="65" s="1"/>
  <c r="E11" i="2"/>
  <c r="F11" i="2" s="1"/>
  <c r="G11" i="2" s="1"/>
  <c r="E13" i="2"/>
  <c r="G29" i="65" s="1"/>
  <c r="H29" i="65" s="1"/>
  <c r="E14" i="2"/>
  <c r="G30" i="65" s="1"/>
  <c r="H30" i="65" s="1"/>
  <c r="E12" i="2"/>
  <c r="G46" i="65" s="1"/>
  <c r="H46" i="65" s="1"/>
  <c r="E20" i="2"/>
  <c r="F20" i="2" s="1"/>
  <c r="G20" i="2" s="1"/>
  <c r="E26" i="2"/>
  <c r="F26" i="2" s="1"/>
  <c r="G26" i="2" s="1"/>
  <c r="G108" i="65"/>
  <c r="H108" i="65" s="1"/>
  <c r="H109" i="65" s="1"/>
  <c r="G98" i="65"/>
  <c r="H98" i="65" s="1"/>
  <c r="H99" i="65" s="1"/>
  <c r="E42" i="42"/>
  <c r="F42" i="42" s="1"/>
  <c r="G42" i="42" s="1"/>
  <c r="F32" i="2"/>
  <c r="G32" i="2" s="1"/>
  <c r="E10" i="42" l="1"/>
  <c r="F10" i="42" s="1"/>
  <c r="G10" i="42" s="1"/>
  <c r="E11" i="42"/>
  <c r="F11" i="42" s="1"/>
  <c r="G11" i="42" s="1"/>
  <c r="G44" i="65"/>
  <c r="H44" i="65" s="1"/>
  <c r="E14" i="42"/>
  <c r="F14" i="42" s="1"/>
  <c r="G14" i="42" s="1"/>
  <c r="G48" i="65"/>
  <c r="H48" i="65" s="1"/>
  <c r="G47" i="65"/>
  <c r="H47" i="65" s="1"/>
  <c r="G28" i="65"/>
  <c r="H28" i="65" s="1"/>
  <c r="G45" i="65"/>
  <c r="H45" i="65" s="1"/>
  <c r="F12" i="2"/>
  <c r="G12" i="2" s="1"/>
  <c r="G27" i="65"/>
  <c r="H27" i="65" s="1"/>
  <c r="E12" i="42"/>
  <c r="F12" i="42" s="1"/>
  <c r="G12" i="42" s="1"/>
  <c r="F10" i="2"/>
  <c r="G10" i="2" s="1"/>
  <c r="F13" i="2"/>
  <c r="G13" i="2" s="1"/>
  <c r="E13" i="42"/>
  <c r="F13" i="42" s="1"/>
  <c r="G13" i="42" s="1"/>
  <c r="E22" i="42"/>
  <c r="F22" i="42" s="1"/>
  <c r="G22" i="42" s="1"/>
  <c r="F14" i="2"/>
  <c r="G14" i="2" s="1"/>
  <c r="E21" i="42"/>
  <c r="F21" i="42" s="1"/>
  <c r="G21" i="42" s="1"/>
  <c r="E19" i="42"/>
  <c r="F19" i="42" s="1"/>
  <c r="G19" i="42" s="1"/>
  <c r="E24" i="42"/>
  <c r="F24" i="42" s="1"/>
  <c r="G24" i="42" s="1"/>
  <c r="E15" i="42"/>
  <c r="F15" i="42" s="1"/>
  <c r="G15" i="42" s="1"/>
  <c r="E18" i="42"/>
  <c r="F18" i="42" s="1"/>
  <c r="G18" i="42" s="1"/>
  <c r="E20" i="42"/>
  <c r="F20" i="42" s="1"/>
  <c r="G20" i="42" s="1"/>
  <c r="E23" i="42"/>
  <c r="F23" i="42" s="1"/>
  <c r="G23" i="42" s="1"/>
  <c r="E25" i="42"/>
  <c r="F25" i="42" s="1"/>
  <c r="G25" i="42" s="1"/>
  <c r="E26" i="42"/>
  <c r="F26" i="42" s="1"/>
  <c r="G26" i="42" s="1"/>
  <c r="G88" i="65"/>
  <c r="H88" i="65" s="1"/>
  <c r="H89" i="65" s="1"/>
  <c r="G58" i="65"/>
  <c r="H58" i="65" s="1"/>
  <c r="H59" i="65" s="1"/>
  <c r="E34" i="42"/>
  <c r="F34" i="42" s="1"/>
  <c r="G34" i="42" s="1"/>
  <c r="E16" i="42"/>
  <c r="F16" i="42" s="1"/>
  <c r="G16" i="42" s="1"/>
  <c r="G68" i="65"/>
  <c r="H68" i="65" s="1"/>
  <c r="H69" i="65" s="1"/>
  <c r="E17" i="42"/>
  <c r="F17" i="42" s="1"/>
  <c r="G17" i="42" s="1"/>
  <c r="G78" i="65"/>
  <c r="H78" i="65" s="1"/>
  <c r="H79" i="65" s="1"/>
  <c r="H49" i="65" l="1"/>
  <c r="H31" i="65"/>
  <c r="G8" i="65" l="1"/>
  <c r="G10" i="65" s="1"/>
  <c r="G12" i="65" s="1"/>
  <c r="G13" i="65" s="1"/>
</calcChain>
</file>

<file path=xl/sharedStrings.xml><?xml version="1.0" encoding="utf-8"?>
<sst xmlns="http://schemas.openxmlformats.org/spreadsheetml/2006/main" count="698" uniqueCount="335">
  <si>
    <t>Proposed</t>
  </si>
  <si>
    <t>Total</t>
  </si>
  <si>
    <t>Gallons</t>
  </si>
  <si>
    <t>Less:</t>
  </si>
  <si>
    <t>Existing</t>
  </si>
  <si>
    <t>Change</t>
  </si>
  <si>
    <t>Table A</t>
  </si>
  <si>
    <t>Test Year</t>
  </si>
  <si>
    <t>Adjustments</t>
  </si>
  <si>
    <t>Proforma</t>
  </si>
  <si>
    <t>BILLS</t>
  </si>
  <si>
    <t>RATE</t>
  </si>
  <si>
    <t>CURRENT AND PROPOSED RATES</t>
  </si>
  <si>
    <t>Current</t>
  </si>
  <si>
    <t>Revenue from Sales with Present Rates</t>
  </si>
  <si>
    <t>Total Revenue Requirement</t>
  </si>
  <si>
    <t>Required Revenue Increase</t>
  </si>
  <si>
    <t>Difference</t>
  </si>
  <si>
    <t>Bill</t>
  </si>
  <si>
    <t>Percentage</t>
  </si>
  <si>
    <t>TOTALS</t>
  </si>
  <si>
    <t>Salaries &amp; Wages and Associated Adjustments</t>
  </si>
  <si>
    <t>Pro Forma</t>
  </si>
  <si>
    <t xml:space="preserve">Pro Forma </t>
  </si>
  <si>
    <t>Employee</t>
  </si>
  <si>
    <t>Reg. Hrs</t>
  </si>
  <si>
    <t>O. T. Hours</t>
  </si>
  <si>
    <t>Wage Rate</t>
  </si>
  <si>
    <t>Reg. Wages</t>
  </si>
  <si>
    <t>O. T. Wages</t>
  </si>
  <si>
    <t>Wages</t>
  </si>
  <si>
    <t>Pro Forma Salaries &amp; Wages Expense</t>
  </si>
  <si>
    <t>Less: Test Year Salaries &amp; Wages Exp</t>
  </si>
  <si>
    <t>Pro Forma Salaries &amp; Wages Adj'mt</t>
  </si>
  <si>
    <t xml:space="preserve"> </t>
  </si>
  <si>
    <t>Pro Forma Salaries and Wages Expense</t>
  </si>
  <si>
    <t>Times: 7.65 Percent FICA Rate</t>
  </si>
  <si>
    <t>Pro Forma Payroll Taxes</t>
  </si>
  <si>
    <t>Less: Test Year Payroll Taxes</t>
  </si>
  <si>
    <t>Payroll Tax Adjustment</t>
  </si>
  <si>
    <t>Total Pro Forma Pension Contribution</t>
  </si>
  <si>
    <t>Less: Test Year Pension Contribution</t>
  </si>
  <si>
    <t>Pension &amp; Benefits Adjustment</t>
  </si>
  <si>
    <t>Average Annual Principal and Interest Payments</t>
  </si>
  <si>
    <t>DEBT SERVICE SCHDULE</t>
  </si>
  <si>
    <t>Interest</t>
  </si>
  <si>
    <t>Principal</t>
  </si>
  <si>
    <t>&amp; Fees</t>
  </si>
  <si>
    <t>Average Annual Principal &amp; Interest</t>
  </si>
  <si>
    <t>Average Annual Coverage</t>
  </si>
  <si>
    <t>Total Gross Wages</t>
  </si>
  <si>
    <t>Pension</t>
  </si>
  <si>
    <t>Eligible</t>
  </si>
  <si>
    <t>TABLE D</t>
  </si>
  <si>
    <t>CURRENT AND PROPOSED BILLS</t>
  </si>
  <si>
    <t>CERS</t>
  </si>
  <si>
    <t>Monthly Charge</t>
  </si>
  <si>
    <t>per Month</t>
  </si>
  <si>
    <t>Input Coverage Percent</t>
  </si>
  <si>
    <t xml:space="preserve">Overall Percent Increase </t>
  </si>
  <si>
    <t>Pro Forma Expenses</t>
  </si>
  <si>
    <t xml:space="preserve"> COMPONENT </t>
  </si>
  <si>
    <t>GALLONS</t>
  </si>
  <si>
    <t xml:space="preserve"> REVENUE </t>
  </si>
  <si>
    <t>Adjustment to SAO Billed Revenues</t>
  </si>
  <si>
    <t>CONSUMPTION BY RATE INCREMENT</t>
  </si>
  <si>
    <t>First</t>
  </si>
  <si>
    <t>Over</t>
  </si>
  <si>
    <t xml:space="preserve"> USAGE </t>
  </si>
  <si>
    <t xml:space="preserve"> Total </t>
  </si>
  <si>
    <t>REVENUE BY RATE INCREMENT</t>
  </si>
  <si>
    <t>First 2,000 Gallons (Minimum Bill)</t>
  </si>
  <si>
    <t>Revenue Required From Sales of Water</t>
  </si>
  <si>
    <t>Debt Service Coverage</t>
  </si>
  <si>
    <t>Operating Expenses</t>
  </si>
  <si>
    <t>Next</t>
  </si>
  <si>
    <t>Description of Adjustments</t>
  </si>
  <si>
    <t>Materials and Supplies</t>
  </si>
  <si>
    <t>Salaries and Wages-Employees</t>
  </si>
  <si>
    <t>Salaries and Wages-Directors</t>
  </si>
  <si>
    <t>Employee Pensions and Benefits</t>
  </si>
  <si>
    <t>Purchased Water</t>
  </si>
  <si>
    <t>Contractual Services-Accounting</t>
  </si>
  <si>
    <t>Contractual Services-Legal</t>
  </si>
  <si>
    <t>Transportation</t>
  </si>
  <si>
    <t>Insurance-General Liability</t>
  </si>
  <si>
    <t>Insurance-Workers Compensation</t>
  </si>
  <si>
    <t>Miscellansous Expense</t>
  </si>
  <si>
    <t>Purchased Power</t>
  </si>
  <si>
    <t>Depreciation</t>
  </si>
  <si>
    <t>Operating Revenues</t>
  </si>
  <si>
    <t>Total Operating Revenues</t>
  </si>
  <si>
    <t>Total Operating Expenses</t>
  </si>
  <si>
    <t>Taxes</t>
  </si>
  <si>
    <t>Other Expenses</t>
  </si>
  <si>
    <t>Total Other Expenses</t>
  </si>
  <si>
    <t>Other Income</t>
  </si>
  <si>
    <t>Non-Utility Income</t>
  </si>
  <si>
    <t>Interest Income</t>
  </si>
  <si>
    <t>Total Other Income</t>
  </si>
  <si>
    <t>Net Income</t>
  </si>
  <si>
    <t>Check Total</t>
  </si>
  <si>
    <t>Net Income from Annual Report</t>
  </si>
  <si>
    <t>Plus: Interest Expense</t>
  </si>
  <si>
    <t>Less: Gain From Disposition of Property</t>
  </si>
  <si>
    <t>Exclusions from Revenue Requirement</t>
  </si>
  <si>
    <t>Total Exclusions from Revenue Requirement</t>
  </si>
  <si>
    <t>Table B</t>
  </si>
  <si>
    <t>Water Loss Adjustment</t>
  </si>
  <si>
    <t>Produced</t>
  </si>
  <si>
    <t>Purchased</t>
  </si>
  <si>
    <t>Total Produced and Purchased</t>
  </si>
  <si>
    <t>Sold</t>
  </si>
  <si>
    <t>Uses:</t>
  </si>
  <si>
    <t xml:space="preserve">   WTP</t>
  </si>
  <si>
    <t xml:space="preserve">   Flushing</t>
  </si>
  <si>
    <t xml:space="preserve">   Fire</t>
  </si>
  <si>
    <t xml:space="preserve">   Other</t>
  </si>
  <si>
    <t>Total Other Water Used</t>
  </si>
  <si>
    <t>Losses:</t>
  </si>
  <si>
    <t xml:space="preserve">   Tank Overflows</t>
  </si>
  <si>
    <t xml:space="preserve">   Line Breaks</t>
  </si>
  <si>
    <t xml:space="preserve">   Line Leaks</t>
  </si>
  <si>
    <t xml:space="preserve">   Unknown</t>
  </si>
  <si>
    <t>Total Losses:</t>
  </si>
  <si>
    <t>Sold, Used, and Lost</t>
  </si>
  <si>
    <t xml:space="preserve">  water loss percentage</t>
  </si>
  <si>
    <t xml:space="preserve">  allowable in rates</t>
  </si>
  <si>
    <t xml:space="preserve">  adjustment percentage</t>
  </si>
  <si>
    <t>Costs Subject to Water Loss Adjustment</t>
  </si>
  <si>
    <t>Adjustment</t>
  </si>
  <si>
    <t>Computation of Water Loss Surcharge</t>
  </si>
  <si>
    <t>Total Adjustment</t>
  </si>
  <si>
    <t>/ Number of Bills</t>
  </si>
  <si>
    <t xml:space="preserve">Difference </t>
  </si>
  <si>
    <t xml:space="preserve">Total   </t>
  </si>
  <si>
    <t xml:space="preserve">Less Adjustments </t>
  </si>
  <si>
    <t xml:space="preserve">Total Sales </t>
  </si>
  <si>
    <t>Chemicals</t>
  </si>
  <si>
    <t>Billing Analysis With 2024 Usage and Existing Rates</t>
  </si>
  <si>
    <t>Rate Case Expenses</t>
  </si>
  <si>
    <t>KRWA</t>
  </si>
  <si>
    <t>Amortization Years</t>
  </si>
  <si>
    <t>Annual Expense</t>
  </si>
  <si>
    <t>FY 2026 - 2030</t>
  </si>
  <si>
    <t>Meters Set in 2024</t>
  </si>
  <si>
    <t>Total Tap Fees Collected</t>
  </si>
  <si>
    <t>Next 5,000 gallons per gallon</t>
  </si>
  <si>
    <t>Average</t>
  </si>
  <si>
    <t>DEPRECIATION EXPENSE ADJUSTMENTS</t>
  </si>
  <si>
    <t>Date in</t>
  </si>
  <si>
    <t>Expense</t>
  </si>
  <si>
    <t>Service</t>
  </si>
  <si>
    <t>Depr. Exp.</t>
  </si>
  <si>
    <t>General Plant</t>
  </si>
  <si>
    <t>Structures &amp; Improvements</t>
  </si>
  <si>
    <t>Communication &amp; Computer Eqmt.</t>
  </si>
  <si>
    <t>Office Furniture &amp; Equipment</t>
  </si>
  <si>
    <t>Power Operated Equipment</t>
  </si>
  <si>
    <t>Tools, Shop, &amp; Garage Equipment</t>
  </si>
  <si>
    <t>Source of Supply Plant</t>
  </si>
  <si>
    <t>Collecting &amp; Impounding Reservoirs</t>
  </si>
  <si>
    <t>Supply Mains</t>
  </si>
  <si>
    <t>Pumping Plant</t>
  </si>
  <si>
    <t>Telemetry</t>
  </si>
  <si>
    <t>Pumping Equipment</t>
  </si>
  <si>
    <t>Transmission &amp; Distribution Plant</t>
  </si>
  <si>
    <t>Hydrants</t>
  </si>
  <si>
    <t>Transmission &amp; Distribution Mains</t>
  </si>
  <si>
    <t>Meters</t>
  </si>
  <si>
    <t>Pump Equipment</t>
  </si>
  <si>
    <t>Tank Fence</t>
  </si>
  <si>
    <t>Services</t>
  </si>
  <si>
    <t>Reservoirs &amp; Tanks</t>
  </si>
  <si>
    <t>Transportation Equipment</t>
  </si>
  <si>
    <t>Entire Group</t>
  </si>
  <si>
    <t xml:space="preserve">              *  Includes only costs associated with assets that contributed to depreciation expense in the test year.</t>
  </si>
  <si>
    <t>Allowed Depreciation</t>
  </si>
  <si>
    <t>Less: Reported Depreciation</t>
  </si>
  <si>
    <t>Adjustment to Allowed Depreciation</t>
  </si>
  <si>
    <t>Original</t>
  </si>
  <si>
    <t>Reported</t>
  </si>
  <si>
    <t>Asset</t>
  </si>
  <si>
    <t>Life</t>
  </si>
  <si>
    <t>Cost *</t>
  </si>
  <si>
    <t>Employee ID</t>
  </si>
  <si>
    <t>2024 Name</t>
  </si>
  <si>
    <t>2025 Name</t>
  </si>
  <si>
    <t># of Empl</t>
  </si>
  <si>
    <t>Annual</t>
  </si>
  <si>
    <t xml:space="preserve"> Coverage Types</t>
  </si>
  <si>
    <t>Covered</t>
  </si>
  <si>
    <t>Monthly Rates</t>
  </si>
  <si>
    <t>District</t>
  </si>
  <si>
    <t>Meter Installations</t>
  </si>
  <si>
    <t>Times: CERS Contribution Rate</t>
  </si>
  <si>
    <t>Pro Forma Pension Eligible Expense</t>
  </si>
  <si>
    <t>Effective July 1, 2025</t>
  </si>
  <si>
    <t>Health Insurance Benefits</t>
  </si>
  <si>
    <t>Employee Medical</t>
  </si>
  <si>
    <t xml:space="preserve">Eligible </t>
  </si>
  <si>
    <t>Percent</t>
  </si>
  <si>
    <t>Amount</t>
  </si>
  <si>
    <t>Eligible Amount</t>
  </si>
  <si>
    <t>Less Test Year Amount</t>
  </si>
  <si>
    <t>Table F</t>
  </si>
  <si>
    <t>TABLE C</t>
  </si>
  <si>
    <t>Description</t>
  </si>
  <si>
    <t>Gross Test Year Wages</t>
  </si>
  <si>
    <t>Charged to Tap Fees/Capitalized ()</t>
  </si>
  <si>
    <t>Reported Test Year Wages</t>
  </si>
  <si>
    <t>Wage Rate Inflation</t>
  </si>
  <si>
    <t>Merit/Promotional Increases</t>
  </si>
  <si>
    <t>Turnover During Test Year</t>
  </si>
  <si>
    <t>Pro Forma Wages</t>
  </si>
  <si>
    <t>Positions Added Since Beginning of Test Year</t>
  </si>
  <si>
    <t xml:space="preserve">Positions Converted from Part-Time to Full-Time </t>
  </si>
  <si>
    <t>Positions Deleted Since Beginning of Test Year</t>
  </si>
  <si>
    <t>Check Total Verified</t>
  </si>
  <si>
    <t>Meade County Water District</t>
  </si>
  <si>
    <t>Schedule of Adjusted Operations</t>
  </si>
  <si>
    <t>Schedule of Revenue Requirements</t>
  </si>
  <si>
    <t>Meade Water District</t>
  </si>
  <si>
    <t>Attorney</t>
  </si>
  <si>
    <t>Next 10,000 gallons per gallon</t>
  </si>
  <si>
    <t>Next 20,000 gallons per gallon</t>
  </si>
  <si>
    <t>Over 37,000 gallons per gallon</t>
  </si>
  <si>
    <t>Bulk Station Sales</t>
  </si>
  <si>
    <t>All Usage per gallon</t>
  </si>
  <si>
    <t>Doe Valley Water</t>
  </si>
  <si>
    <t>Otter Creek Water</t>
  </si>
  <si>
    <t>Total Sales of Water</t>
  </si>
  <si>
    <t>Other Water Revenues</t>
  </si>
  <si>
    <t>Contractual Services-Engineering</t>
  </si>
  <si>
    <t>Contractual Services-Other</t>
  </si>
  <si>
    <t>All</t>
  </si>
  <si>
    <t>91-06 Flaherty Interconnect</t>
  </si>
  <si>
    <t>91-07 2019</t>
  </si>
  <si>
    <t>KBC Series 2021B</t>
  </si>
  <si>
    <t>3/4-Inch Taps</t>
  </si>
  <si>
    <t>1-Inch Taps</t>
  </si>
  <si>
    <t>Count</t>
  </si>
  <si>
    <t>Rate</t>
  </si>
  <si>
    <t>Actual</t>
  </si>
  <si>
    <t>Lisa Ballman</t>
  </si>
  <si>
    <t>Dylan Barr</t>
  </si>
  <si>
    <t>Mason Bennett</t>
  </si>
  <si>
    <t>Leigh Ann Bruner</t>
  </si>
  <si>
    <t>Eric Donnerman</t>
  </si>
  <si>
    <t>Jason Durbin</t>
  </si>
  <si>
    <t>Corey Embry</t>
  </si>
  <si>
    <t>Jeremy Lucas</t>
  </si>
  <si>
    <t>Jessica Nevitt</t>
  </si>
  <si>
    <t>Chad Sipes</t>
  </si>
  <si>
    <t>Employees over 2080 hours sold vacation.</t>
  </si>
  <si>
    <t>Leigh Ann Burner</t>
  </si>
  <si>
    <t>Jeremey Lucas</t>
  </si>
  <si>
    <t>Aaron Brett Pyles</t>
  </si>
  <si>
    <t>Evelyn Lorraine Wathen</t>
  </si>
  <si>
    <t>Single</t>
  </si>
  <si>
    <t>Single buy-up</t>
  </si>
  <si>
    <t>Family buy up</t>
  </si>
  <si>
    <t>Employee Dental</t>
  </si>
  <si>
    <t>Medical Eligible Amount</t>
  </si>
  <si>
    <t>SAO Adjustment Medical</t>
  </si>
  <si>
    <t>From Trial Balance Account 604.8.2 Administrative &amp; General (.8):Employee Pensions and Benefits:Group Health Insurance</t>
  </si>
  <si>
    <t>From Trial Balance Account 604.8.1 Administrative &amp; General (.8):Employee Pensions and Benefits:Dental 2,246.00
604.8.2</t>
  </si>
  <si>
    <t>SAO Adjustment Dental</t>
  </si>
  <si>
    <t>Total SAO Adjustment</t>
  </si>
  <si>
    <t>Adjust based upon allowable employer contribution on medical and dental</t>
  </si>
  <si>
    <t>Adjust based upon current employees and pension contribution rate</t>
  </si>
  <si>
    <t>Adjust to current employees and wage rates</t>
  </si>
  <si>
    <t>Adjust to allowable useful lives</t>
  </si>
  <si>
    <t>Average principal and interest</t>
  </si>
  <si>
    <t>Average debt service coverage</t>
  </si>
  <si>
    <t xml:space="preserve">Monthly Surcharge Amount </t>
  </si>
  <si>
    <t>Retail January - September</t>
  </si>
  <si>
    <t>Retail October - December</t>
  </si>
  <si>
    <t>Doe Valley Water January - September</t>
  </si>
  <si>
    <t>Doe Valley Water October - December</t>
  </si>
  <si>
    <t>Otter Creek Water  January - September</t>
  </si>
  <si>
    <t>Otter Creek Water  October - December</t>
  </si>
  <si>
    <t>Bulk Sales January - September</t>
  </si>
  <si>
    <t>Bulk Sales October - December</t>
  </si>
  <si>
    <t>Not Applicable</t>
  </si>
  <si>
    <t>Materials portion of tap fees already capitalized by auditor</t>
  </si>
  <si>
    <t>Labor portion of tap fees already capitalized by auditor</t>
  </si>
  <si>
    <t>Auditor made adjusting entry to capitalize expenses recorded for tap installations.</t>
  </si>
  <si>
    <t>Adjust to reflect billed consumption and updated water rates</t>
  </si>
  <si>
    <t>Revenue Requirement</t>
  </si>
  <si>
    <t>Billing Analysis With 2024 Usage and Proposed Rates</t>
  </si>
  <si>
    <t>A</t>
  </si>
  <si>
    <t>B</t>
  </si>
  <si>
    <t>C</t>
  </si>
  <si>
    <t>D</t>
  </si>
  <si>
    <t>E</t>
  </si>
  <si>
    <t>F</t>
  </si>
  <si>
    <t>G</t>
  </si>
  <si>
    <t>H</t>
  </si>
  <si>
    <t xml:space="preserve">Annual Report </t>
  </si>
  <si>
    <t>Note: Total Bills and Gallons for Retail October - December prorated into rate blocks based upon January - September.</t>
  </si>
  <si>
    <t>Rate Case Expense</t>
  </si>
  <si>
    <t>Table E</t>
  </si>
  <si>
    <t>I</t>
  </si>
  <si>
    <t>J</t>
  </si>
  <si>
    <t>Monthly Water Rates</t>
  </si>
  <si>
    <t>USDA/RD Loan ($7.659 million application)</t>
  </si>
  <si>
    <t>2023 Water System Improvements Project</t>
  </si>
  <si>
    <t>Amortize over three years</t>
  </si>
  <si>
    <t>KIA Loan F08-02</t>
  </si>
  <si>
    <t>Accounting Specialist</t>
  </si>
  <si>
    <t>Job Title</t>
  </si>
  <si>
    <t>CSR</t>
  </si>
  <si>
    <t>Heavy Equipment Operator</t>
  </si>
  <si>
    <t>Logistics/Safety Coordinator</t>
  </si>
  <si>
    <t>Distribution Operator</t>
  </si>
  <si>
    <t>Lead Distribution Operator</t>
  </si>
  <si>
    <t>Billing Specialist</t>
  </si>
  <si>
    <t>General Managaer</t>
  </si>
  <si>
    <t>Distribution Supervisor</t>
  </si>
  <si>
    <t>FICA</t>
  </si>
  <si>
    <t>Employer</t>
  </si>
  <si>
    <t>Health</t>
  </si>
  <si>
    <t>Insurance</t>
  </si>
  <si>
    <t>Coverage</t>
  </si>
  <si>
    <t>Dental</t>
  </si>
  <si>
    <t>Emplyee</t>
  </si>
  <si>
    <t>Retirement</t>
  </si>
  <si>
    <t>Uniforms</t>
  </si>
  <si>
    <t>Declined</t>
  </si>
  <si>
    <t>Employee +</t>
  </si>
  <si>
    <t>Operator</t>
  </si>
  <si>
    <t>Ethan Priest</t>
  </si>
  <si>
    <t>Alex Stiph</t>
  </si>
  <si>
    <t>Opertor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</si>
</sst>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&quot;$&quot;* #,##0.00000_);_(&quot;$&quot;* \(#,##0.00000\);_(&quot;$&quot;* &quot;-&quot;??_);_(@_)"/>
    <numFmt numFmtId="168" formatCode="_(* #,##0.0_);_(* \(#,##0.0\);_(* &quot;-&quot;??_);_(@_)"/>
    <numFmt numFmtId="169" formatCode="mm/dd/yy;@"/>
    <numFmt numFmtId="170" formatCode="_([$$-409]* #,##0_);_([$$-409]* \(#,##0\);_([$$-409]* &quot;-&quot;??_);_(@_)"/>
    <numFmt numFmtId="171" formatCode="[$$-409]#,##0"/>
  </numFmts>
  <fonts count="35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i/>
      <u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u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u val="singleAccounting"/>
      <sz val="11"/>
      <name val="Calibri"/>
      <family val="2"/>
    </font>
    <font>
      <b/>
      <i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u val="singleAccounting"/>
      <sz val="11"/>
      <name val="Calibri"/>
      <family val="2"/>
    </font>
    <font>
      <b/>
      <sz val="11"/>
      <color rgb="FF000000"/>
      <name val="Calibri"/>
      <family val="2"/>
    </font>
    <font>
      <b/>
      <sz val="16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sz val="11"/>
      <color rgb="FF000000"/>
      <name val="Aptos Narrow"/>
      <family val="2"/>
    </font>
    <font>
      <b/>
      <i/>
      <u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</cellStyleXfs>
  <cellXfs count="450">
    <xf numFmtId="0" fontId="0" fillId="0" borderId="0" xfId="0"/>
    <xf numFmtId="0" fontId="4" fillId="0" borderId="0" xfId="0" applyFont="1"/>
    <xf numFmtId="165" fontId="4" fillId="0" borderId="1" xfId="1" applyNumberFormat="1" applyFont="1" applyBorder="1"/>
    <xf numFmtId="165" fontId="4" fillId="0" borderId="0" xfId="1" applyNumberFormat="1" applyFont="1" applyBorder="1"/>
    <xf numFmtId="165" fontId="4" fillId="0" borderId="0" xfId="1" applyNumberFormat="1" applyFont="1"/>
    <xf numFmtId="165" fontId="4" fillId="0" borderId="7" xfId="1" applyNumberFormat="1" applyFont="1" applyBorder="1"/>
    <xf numFmtId="165" fontId="4" fillId="0" borderId="8" xfId="1" applyNumberFormat="1" applyFont="1" applyBorder="1"/>
    <xf numFmtId="43" fontId="4" fillId="0" borderId="0" xfId="1" applyFont="1"/>
    <xf numFmtId="165" fontId="10" fillId="0" borderId="0" xfId="1" applyNumberFormat="1" applyFont="1" applyBorder="1" applyAlignment="1">
      <alignment horizontal="center"/>
    </xf>
    <xf numFmtId="43" fontId="4" fillId="0" borderId="0" xfId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5" fontId="4" fillId="0" borderId="0" xfId="5" applyNumberFormat="1" applyFont="1" applyBorder="1"/>
    <xf numFmtId="43" fontId="4" fillId="0" borderId="0" xfId="1" applyFont="1" applyBorder="1" applyAlignment="1"/>
    <xf numFmtId="43" fontId="10" fillId="0" borderId="0" xfId="1" applyFont="1" applyBorder="1" applyAlignment="1">
      <alignment horizontal="center"/>
    </xf>
    <xf numFmtId="44" fontId="4" fillId="0" borderId="0" xfId="2" applyFont="1" applyBorder="1" applyAlignment="1"/>
    <xf numFmtId="165" fontId="4" fillId="0" borderId="1" xfId="0" applyNumberFormat="1" applyFont="1" applyBorder="1"/>
    <xf numFmtId="165" fontId="7" fillId="0" borderId="0" xfId="1" applyNumberFormat="1" applyFont="1"/>
    <xf numFmtId="165" fontId="10" fillId="0" borderId="8" xfId="1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166" fontId="4" fillId="0" borderId="8" xfId="3" applyNumberFormat="1" applyFont="1" applyBorder="1"/>
    <xf numFmtId="166" fontId="4" fillId="2" borderId="8" xfId="3" applyNumberFormat="1" applyFont="1" applyFill="1" applyBorder="1"/>
    <xf numFmtId="165" fontId="12" fillId="0" borderId="0" xfId="1" applyNumberFormat="1" applyFont="1"/>
    <xf numFmtId="44" fontId="4" fillId="0" borderId="0" xfId="2" applyFont="1" applyBorder="1"/>
    <xf numFmtId="43" fontId="4" fillId="0" borderId="0" xfId="1" applyFont="1" applyBorder="1" applyAlignment="1">
      <alignment horizontal="center"/>
    </xf>
    <xf numFmtId="165" fontId="4" fillId="0" borderId="0" xfId="1" applyNumberFormat="1" applyFont="1" applyAlignment="1">
      <alignment vertical="center"/>
    </xf>
    <xf numFmtId="165" fontId="9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5" fontId="4" fillId="0" borderId="0" xfId="1" applyNumberFormat="1" applyFont="1" applyAlignment="1"/>
    <xf numFmtId="10" fontId="4" fillId="0" borderId="0" xfId="3" applyNumberFormat="1" applyFont="1" applyBorder="1"/>
    <xf numFmtId="10" fontId="4" fillId="2" borderId="0" xfId="3" applyNumberFormat="1" applyFont="1" applyFill="1" applyBorder="1"/>
    <xf numFmtId="43" fontId="4" fillId="0" borderId="0" xfId="1" applyFont="1" applyAlignment="1">
      <alignment horizontal="right"/>
    </xf>
    <xf numFmtId="44" fontId="4" fillId="0" borderId="0" xfId="5" applyNumberFormat="1" applyFont="1" applyBorder="1"/>
    <xf numFmtId="10" fontId="4" fillId="0" borderId="0" xfId="3" applyNumberFormat="1" applyFont="1" applyBorder="1" applyAlignment="1"/>
    <xf numFmtId="43" fontId="4" fillId="0" borderId="7" xfId="1" applyFont="1" applyBorder="1" applyAlignment="1"/>
    <xf numFmtId="43" fontId="4" fillId="0" borderId="8" xfId="1" applyFont="1" applyBorder="1" applyAlignment="1"/>
    <xf numFmtId="44" fontId="4" fillId="0" borderId="0" xfId="2" applyFont="1"/>
    <xf numFmtId="44" fontId="15" fillId="0" borderId="8" xfId="2" applyFont="1" applyBorder="1" applyAlignment="1">
      <alignment horizontal="center"/>
    </xf>
    <xf numFmtId="0" fontId="16" fillId="0" borderId="0" xfId="0" applyFont="1"/>
    <xf numFmtId="165" fontId="4" fillId="0" borderId="0" xfId="1" applyNumberFormat="1" applyFont="1" applyFill="1"/>
    <xf numFmtId="44" fontId="4" fillId="0" borderId="0" xfId="2" applyFont="1" applyFill="1"/>
    <xf numFmtId="44" fontId="4" fillId="0" borderId="0" xfId="3" applyNumberFormat="1" applyFont="1" applyBorder="1" applyAlignment="1"/>
    <xf numFmtId="10" fontId="4" fillId="0" borderId="0" xfId="3" applyNumberFormat="1" applyFont="1" applyBorder="1" applyAlignment="1">
      <alignment horizontal="right"/>
    </xf>
    <xf numFmtId="164" fontId="4" fillId="0" borderId="0" xfId="5" applyNumberFormat="1" applyFont="1" applyBorder="1"/>
    <xf numFmtId="165" fontId="4" fillId="0" borderId="1" xfId="5" applyNumberFormat="1" applyFont="1" applyBorder="1"/>
    <xf numFmtId="0" fontId="17" fillId="0" borderId="0" xfId="0" applyFont="1"/>
    <xf numFmtId="43" fontId="4" fillId="0" borderId="1" xfId="1" applyFont="1" applyFill="1" applyBorder="1"/>
    <xf numFmtId="165" fontId="9" fillId="0" borderId="0" xfId="1" applyNumberFormat="1" applyFont="1" applyAlignment="1">
      <alignment vertical="center"/>
    </xf>
    <xf numFmtId="0" fontId="18" fillId="0" borderId="0" xfId="0" applyFont="1"/>
    <xf numFmtId="165" fontId="4" fillId="0" borderId="1" xfId="1" applyNumberFormat="1" applyFont="1" applyFill="1" applyBorder="1" applyAlignment="1">
      <alignment vertical="center"/>
    </xf>
    <xf numFmtId="165" fontId="16" fillId="0" borderId="0" xfId="5" applyNumberFormat="1" applyFont="1" applyFill="1" applyBorder="1"/>
    <xf numFmtId="165" fontId="16" fillId="0" borderId="0" xfId="5" applyNumberFormat="1" applyFont="1" applyFill="1" applyBorder="1" applyAlignment="1">
      <alignment horizontal="right"/>
    </xf>
    <xf numFmtId="165" fontId="16" fillId="0" borderId="3" xfId="5" applyNumberFormat="1" applyFont="1" applyFill="1" applyBorder="1"/>
    <xf numFmtId="165" fontId="16" fillId="0" borderId="2" xfId="5" applyNumberFormat="1" applyFont="1" applyFill="1" applyBorder="1" applyAlignment="1">
      <alignment horizontal="right"/>
    </xf>
    <xf numFmtId="165" fontId="16" fillId="0" borderId="4" xfId="5" applyNumberFormat="1" applyFont="1" applyFill="1" applyBorder="1"/>
    <xf numFmtId="165" fontId="17" fillId="0" borderId="0" xfId="5" applyNumberFormat="1" applyFont="1" applyFill="1" applyBorder="1" applyAlignment="1">
      <alignment horizontal="right"/>
    </xf>
    <xf numFmtId="165" fontId="16" fillId="0" borderId="8" xfId="5" applyNumberFormat="1" applyFont="1" applyFill="1" applyBorder="1"/>
    <xf numFmtId="165" fontId="21" fillId="0" borderId="0" xfId="5" applyNumberFormat="1" applyFont="1" applyFill="1" applyBorder="1" applyAlignment="1">
      <alignment horizontal="right"/>
    </xf>
    <xf numFmtId="165" fontId="16" fillId="0" borderId="7" xfId="5" applyNumberFormat="1" applyFont="1" applyFill="1" applyBorder="1" applyAlignment="1">
      <alignment horizontal="centerContinuous"/>
    </xf>
    <xf numFmtId="165" fontId="16" fillId="0" borderId="3" xfId="5" applyNumberFormat="1" applyFont="1" applyFill="1" applyBorder="1" applyAlignment="1">
      <alignment horizontal="right"/>
    </xf>
    <xf numFmtId="165" fontId="16" fillId="0" borderId="4" xfId="5" applyNumberFormat="1" applyFont="1" applyFill="1" applyBorder="1" applyAlignment="1">
      <alignment horizontal="right"/>
    </xf>
    <xf numFmtId="165" fontId="16" fillId="0" borderId="9" xfId="5" applyNumberFormat="1" applyFont="1" applyFill="1" applyBorder="1"/>
    <xf numFmtId="165" fontId="24" fillId="0" borderId="0" xfId="5" applyNumberFormat="1" applyFont="1" applyFill="1" applyBorder="1" applyAlignment="1">
      <alignment horizontal="right" vertical="center"/>
    </xf>
    <xf numFmtId="165" fontId="17" fillId="0" borderId="8" xfId="5" applyNumberFormat="1" applyFont="1" applyFill="1" applyBorder="1" applyAlignment="1">
      <alignment horizontal="right" vertical="center"/>
    </xf>
    <xf numFmtId="165" fontId="17" fillId="0" borderId="0" xfId="5" applyNumberFormat="1" applyFont="1" applyFill="1" applyBorder="1" applyAlignment="1">
      <alignment horizontal="right" vertical="center"/>
    </xf>
    <xf numFmtId="165" fontId="16" fillId="0" borderId="9" xfId="5" applyNumberFormat="1" applyFont="1" applyFill="1" applyBorder="1" applyAlignment="1">
      <alignment horizontal="left"/>
    </xf>
    <xf numFmtId="37" fontId="16" fillId="0" borderId="0" xfId="5" quotePrefix="1" applyNumberFormat="1" applyFont="1" applyFill="1" applyBorder="1" applyAlignment="1">
      <alignment horizontal="right"/>
    </xf>
    <xf numFmtId="165" fontId="16" fillId="0" borderId="6" xfId="5" applyNumberFormat="1" applyFont="1" applyFill="1" applyBorder="1"/>
    <xf numFmtId="165" fontId="17" fillId="0" borderId="7" xfId="5" applyNumberFormat="1" applyFont="1" applyFill="1" applyBorder="1" applyAlignment="1">
      <alignment horizontal="right"/>
    </xf>
    <xf numFmtId="165" fontId="17" fillId="0" borderId="2" xfId="5" applyNumberFormat="1" applyFont="1" applyFill="1" applyBorder="1" applyAlignment="1">
      <alignment horizontal="right"/>
    </xf>
    <xf numFmtId="165" fontId="17" fillId="0" borderId="7" xfId="5" applyNumberFormat="1" applyFont="1" applyFill="1" applyBorder="1"/>
    <xf numFmtId="164" fontId="17" fillId="0" borderId="0" xfId="6" applyNumberFormat="1" applyFont="1" applyFill="1" applyBorder="1" applyAlignment="1">
      <alignment horizontal="right"/>
    </xf>
    <xf numFmtId="165" fontId="16" fillId="0" borderId="7" xfId="5" applyNumberFormat="1" applyFont="1" applyFill="1" applyBorder="1"/>
    <xf numFmtId="164" fontId="16" fillId="0" borderId="0" xfId="6" applyNumberFormat="1" applyFont="1" applyFill="1" applyBorder="1" applyAlignment="1">
      <alignment horizontal="right"/>
    </xf>
    <xf numFmtId="165" fontId="16" fillId="0" borderId="5" xfId="5" applyNumberFormat="1" applyFont="1" applyFill="1" applyBorder="1" applyAlignment="1">
      <alignment horizontal="center"/>
    </xf>
    <xf numFmtId="165" fontId="16" fillId="0" borderId="1" xfId="5" applyNumberFormat="1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37" fontId="18" fillId="0" borderId="0" xfId="0" applyNumberFormat="1" applyFont="1" applyAlignment="1">
      <alignment horizontal="right"/>
    </xf>
    <xf numFmtId="9" fontId="18" fillId="0" borderId="0" xfId="3" applyFont="1" applyFill="1" applyBorder="1" applyAlignment="1">
      <alignment horizontal="left"/>
    </xf>
    <xf numFmtId="44" fontId="10" fillId="0" borderId="0" xfId="2" applyFont="1" applyBorder="1" applyAlignment="1">
      <alignment horizontal="right"/>
    </xf>
    <xf numFmtId="43" fontId="4" fillId="0" borderId="3" xfId="1" applyFont="1" applyBorder="1" applyAlignment="1"/>
    <xf numFmtId="43" fontId="4" fillId="0" borderId="4" xfId="1" applyFont="1" applyBorder="1" applyAlignment="1"/>
    <xf numFmtId="43" fontId="4" fillId="0" borderId="2" xfId="1" applyFont="1" applyBorder="1" applyAlignment="1">
      <alignment horizontal="center"/>
    </xf>
    <xf numFmtId="44" fontId="4" fillId="0" borderId="2" xfId="2" applyFont="1" applyBorder="1" applyAlignment="1"/>
    <xf numFmtId="165" fontId="11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right"/>
    </xf>
    <xf numFmtId="165" fontId="16" fillId="0" borderId="0" xfId="1" applyNumberFormat="1" applyFont="1" applyAlignment="1">
      <alignment horizontal="right"/>
    </xf>
    <xf numFmtId="165" fontId="16" fillId="0" borderId="0" xfId="1" applyNumberFormat="1" applyFont="1" applyBorder="1" applyAlignment="1">
      <alignment horizontal="right"/>
    </xf>
    <xf numFmtId="165" fontId="4" fillId="0" borderId="0" xfId="1" applyNumberFormat="1" applyFont="1" applyFill="1" applyAlignment="1">
      <alignment vertical="center"/>
    </xf>
    <xf numFmtId="0" fontId="0" fillId="0" borderId="8" xfId="0" applyBorder="1"/>
    <xf numFmtId="165" fontId="4" fillId="0" borderId="10" xfId="1" applyNumberFormat="1" applyFont="1" applyBorder="1"/>
    <xf numFmtId="0" fontId="0" fillId="0" borderId="10" xfId="0" applyBorder="1"/>
    <xf numFmtId="43" fontId="4" fillId="0" borderId="0" xfId="1" applyFont="1" applyFill="1" applyBorder="1"/>
    <xf numFmtId="43" fontId="4" fillId="0" borderId="7" xfId="1" applyFont="1" applyFill="1" applyBorder="1" applyAlignment="1"/>
    <xf numFmtId="43" fontId="4" fillId="0" borderId="0" xfId="1" applyFont="1" applyFill="1" applyBorder="1" applyAlignment="1">
      <alignment horizontal="center"/>
    </xf>
    <xf numFmtId="44" fontId="4" fillId="0" borderId="0" xfId="2" applyFont="1" applyFill="1" applyBorder="1" applyAlignment="1">
      <alignment horizontal="center"/>
    </xf>
    <xf numFmtId="44" fontId="4" fillId="0" borderId="0" xfId="2" applyFont="1" applyFill="1" applyBorder="1" applyAlignment="1">
      <alignment vertical="center"/>
    </xf>
    <xf numFmtId="10" fontId="4" fillId="0" borderId="0" xfId="3" applyNumberFormat="1" applyFont="1" applyFill="1" applyBorder="1" applyAlignment="1">
      <alignment horizontal="center"/>
    </xf>
    <xf numFmtId="44" fontId="15" fillId="0" borderId="8" xfId="2" applyFont="1" applyFill="1" applyBorder="1" applyAlignment="1">
      <alignment horizontal="center"/>
    </xf>
    <xf numFmtId="44" fontId="4" fillId="0" borderId="5" xfId="2" applyFont="1" applyFill="1" applyBorder="1" applyAlignment="1">
      <alignment horizontal="right"/>
    </xf>
    <xf numFmtId="44" fontId="4" fillId="0" borderId="1" xfId="2" applyFont="1" applyFill="1" applyBorder="1" applyAlignment="1">
      <alignment horizontal="center"/>
    </xf>
    <xf numFmtId="44" fontId="4" fillId="0" borderId="1" xfId="2" applyFont="1" applyFill="1" applyBorder="1" applyAlignment="1">
      <alignment vertical="center"/>
    </xf>
    <xf numFmtId="10" fontId="4" fillId="0" borderId="1" xfId="3" applyNumberFormat="1" applyFont="1" applyFill="1" applyBorder="1" applyAlignment="1">
      <alignment horizontal="center"/>
    </xf>
    <xf numFmtId="44" fontId="15" fillId="0" borderId="6" xfId="2" applyFont="1" applyFill="1" applyBorder="1" applyAlignment="1">
      <alignment horizontal="center"/>
    </xf>
    <xf numFmtId="44" fontId="4" fillId="0" borderId="7" xfId="2" applyFont="1" applyFill="1" applyBorder="1" applyAlignment="1">
      <alignment horizontal="right"/>
    </xf>
    <xf numFmtId="44" fontId="15" fillId="0" borderId="7" xfId="2" applyFont="1" applyFill="1" applyBorder="1" applyAlignment="1">
      <alignment horizontal="center"/>
    </xf>
    <xf numFmtId="44" fontId="15" fillId="0" borderId="0" xfId="2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44" fontId="10" fillId="0" borderId="0" xfId="2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43" fontId="16" fillId="0" borderId="0" xfId="1" applyFont="1" applyAlignment="1">
      <alignment horizontal="right"/>
    </xf>
    <xf numFmtId="0" fontId="16" fillId="0" borderId="0" xfId="1" applyNumberFormat="1" applyFont="1" applyAlignment="1">
      <alignment horizontal="right"/>
    </xf>
    <xf numFmtId="165" fontId="8" fillId="0" borderId="0" xfId="1" applyNumberFormat="1" applyFont="1"/>
    <xf numFmtId="43" fontId="16" fillId="0" borderId="0" xfId="1" applyFont="1" applyBorder="1" applyAlignment="1">
      <alignment horizontal="right"/>
    </xf>
    <xf numFmtId="44" fontId="16" fillId="0" borderId="0" xfId="1" applyNumberFormat="1" applyFont="1" applyBorder="1" applyAlignment="1">
      <alignment horizontal="right"/>
    </xf>
    <xf numFmtId="0" fontId="16" fillId="0" borderId="0" xfId="1" applyNumberFormat="1" applyFont="1" applyBorder="1" applyAlignment="1">
      <alignment horizontal="right"/>
    </xf>
    <xf numFmtId="44" fontId="16" fillId="0" borderId="0" xfId="3" applyNumberFormat="1" applyFont="1" applyBorder="1"/>
    <xf numFmtId="165" fontId="4" fillId="0" borderId="0" xfId="1" applyNumberFormat="1" applyFont="1" applyAlignment="1">
      <alignment horizontal="right" vertical="center" wrapText="1"/>
    </xf>
    <xf numFmtId="165" fontId="9" fillId="0" borderId="0" xfId="1" applyNumberFormat="1" applyFont="1" applyAlignment="1">
      <alignment horizontal="right" vertical="center" wrapText="1"/>
    </xf>
    <xf numFmtId="165" fontId="4" fillId="0" borderId="0" xfId="1" applyNumberFormat="1" applyFont="1" applyAlignment="1">
      <alignment horizontal="right" wrapText="1"/>
    </xf>
    <xf numFmtId="165" fontId="4" fillId="0" borderId="1" xfId="1" applyNumberFormat="1" applyFont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44" fontId="16" fillId="0" borderId="0" xfId="0" applyNumberFormat="1" applyFont="1" applyAlignment="1">
      <alignment horizontal="right"/>
    </xf>
    <xf numFmtId="165" fontId="16" fillId="0" borderId="0" xfId="1" applyNumberFormat="1" applyFont="1" applyBorder="1"/>
    <xf numFmtId="165" fontId="4" fillId="2" borderId="7" xfId="1" applyNumberFormat="1" applyFont="1" applyFill="1" applyBorder="1"/>
    <xf numFmtId="0" fontId="21" fillId="0" borderId="0" xfId="1" applyNumberFormat="1" applyFont="1" applyBorder="1" applyAlignment="1">
      <alignment horizontal="center"/>
    </xf>
    <xf numFmtId="165" fontId="4" fillId="0" borderId="0" xfId="1" applyNumberFormat="1" applyFont="1" applyAlignment="1">
      <alignment horizontal="right" vertical="center"/>
    </xf>
    <xf numFmtId="165" fontId="4" fillId="0" borderId="1" xfId="1" applyNumberFormat="1" applyFont="1" applyBorder="1" applyAlignment="1">
      <alignment horizontal="right" vertical="center"/>
    </xf>
    <xf numFmtId="165" fontId="4" fillId="0" borderId="0" xfId="1" applyNumberFormat="1" applyFont="1" applyFill="1" applyAlignment="1"/>
    <xf numFmtId="164" fontId="16" fillId="0" borderId="1" xfId="2" applyNumberFormat="1" applyFont="1" applyBorder="1" applyAlignment="1">
      <alignment horizontal="right"/>
    </xf>
    <xf numFmtId="164" fontId="16" fillId="0" borderId="1" xfId="2" applyNumberFormat="1" applyFont="1" applyFill="1" applyBorder="1" applyAlignment="1">
      <alignment horizontal="right"/>
    </xf>
    <xf numFmtId="44" fontId="11" fillId="0" borderId="0" xfId="2" applyFont="1" applyAlignment="1">
      <alignment horizontal="center" vertical="center"/>
    </xf>
    <xf numFmtId="44" fontId="11" fillId="0" borderId="7" xfId="2" applyFont="1" applyBorder="1" applyAlignment="1">
      <alignment horizontal="center" vertical="center"/>
    </xf>
    <xf numFmtId="44" fontId="10" fillId="0" borderId="7" xfId="2" applyFont="1" applyBorder="1" applyAlignment="1">
      <alignment horizontal="center"/>
    </xf>
    <xf numFmtId="44" fontId="4" fillId="0" borderId="7" xfId="2" applyFont="1" applyBorder="1"/>
    <xf numFmtId="44" fontId="4" fillId="2" borderId="7" xfId="2" applyFont="1" applyFill="1" applyBorder="1"/>
    <xf numFmtId="44" fontId="4" fillId="0" borderId="7" xfId="2" applyFont="1" applyFill="1" applyBorder="1"/>
    <xf numFmtId="44" fontId="4" fillId="0" borderId="10" xfId="2" applyFont="1" applyBorder="1"/>
    <xf numFmtId="44" fontId="10" fillId="0" borderId="0" xfId="2" applyFont="1" applyBorder="1" applyAlignment="1">
      <alignment horizontal="center"/>
    </xf>
    <xf numFmtId="164" fontId="16" fillId="0" borderId="0" xfId="2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wrapText="1"/>
    </xf>
    <xf numFmtId="165" fontId="4" fillId="0" borderId="2" xfId="1" applyNumberFormat="1" applyFont="1" applyBorder="1"/>
    <xf numFmtId="0" fontId="0" fillId="0" borderId="2" xfId="0" applyBorder="1"/>
    <xf numFmtId="44" fontId="4" fillId="0" borderId="2" xfId="2" applyFont="1" applyBorder="1"/>
    <xf numFmtId="165" fontId="26" fillId="0" borderId="0" xfId="1" applyNumberFormat="1" applyFont="1" applyAlignment="1">
      <alignment vertical="center"/>
    </xf>
    <xf numFmtId="49" fontId="27" fillId="0" borderId="0" xfId="0" applyNumberFormat="1" applyFont="1" applyAlignment="1">
      <alignment horizontal="left"/>
    </xf>
    <xf numFmtId="165" fontId="27" fillId="0" borderId="0" xfId="1" applyNumberFormat="1" applyFont="1" applyAlignment="1">
      <alignment horizontal="right"/>
    </xf>
    <xf numFmtId="165" fontId="4" fillId="0" borderId="1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/>
    </xf>
    <xf numFmtId="0" fontId="4" fillId="0" borderId="0" xfId="1" applyNumberFormat="1" applyFont="1" applyAlignment="1">
      <alignment vertical="center"/>
    </xf>
    <xf numFmtId="10" fontId="4" fillId="0" borderId="0" xfId="3" applyNumberFormat="1" applyFont="1" applyFill="1" applyAlignment="1">
      <alignment horizontal="right" vertical="center" wrapText="1"/>
    </xf>
    <xf numFmtId="165" fontId="28" fillId="0" borderId="0" xfId="5" applyNumberFormat="1" applyFont="1"/>
    <xf numFmtId="0" fontId="28" fillId="0" borderId="0" xfId="0" applyFont="1"/>
    <xf numFmtId="164" fontId="4" fillId="0" borderId="1" xfId="5" applyNumberFormat="1" applyFont="1" applyBorder="1"/>
    <xf numFmtId="44" fontId="4" fillId="0" borderId="1" xfId="0" applyNumberFormat="1" applyFont="1" applyBorder="1"/>
    <xf numFmtId="165" fontId="28" fillId="0" borderId="0" xfId="5" applyNumberFormat="1" applyFont="1" applyBorder="1"/>
    <xf numFmtId="10" fontId="4" fillId="0" borderId="1" xfId="0" applyNumberFormat="1" applyFont="1" applyBorder="1"/>
    <xf numFmtId="165" fontId="4" fillId="0" borderId="11" xfId="1" applyNumberFormat="1" applyFont="1" applyBorder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44" fontId="16" fillId="0" borderId="0" xfId="0" applyNumberFormat="1" applyFont="1"/>
    <xf numFmtId="49" fontId="16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right"/>
    </xf>
    <xf numFmtId="43" fontId="16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6" fillId="0" borderId="12" xfId="0" applyNumberFormat="1" applyFont="1" applyBorder="1" applyAlignment="1">
      <alignment horizontal="right"/>
    </xf>
    <xf numFmtId="165" fontId="16" fillId="0" borderId="12" xfId="1" applyNumberFormat="1" applyFont="1" applyBorder="1" applyAlignment="1">
      <alignment horizontal="right"/>
    </xf>
    <xf numFmtId="165" fontId="16" fillId="0" borderId="12" xfId="1" applyNumberFormat="1" applyFont="1" applyBorder="1"/>
    <xf numFmtId="164" fontId="16" fillId="0" borderId="12" xfId="2" applyNumberFormat="1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3" fontId="16" fillId="0" borderId="12" xfId="1" applyNumberFormat="1" applyFont="1" applyBorder="1" applyAlignment="1">
      <alignment horizontal="right"/>
    </xf>
    <xf numFmtId="44" fontId="16" fillId="0" borderId="12" xfId="0" applyNumberFormat="1" applyFont="1" applyBorder="1" applyAlignment="1">
      <alignment horizontal="right"/>
    </xf>
    <xf numFmtId="0" fontId="16" fillId="0" borderId="12" xfId="1" applyNumberFormat="1" applyFont="1" applyBorder="1" applyAlignment="1">
      <alignment horizontal="right"/>
    </xf>
    <xf numFmtId="43" fontId="16" fillId="0" borderId="12" xfId="1" applyFont="1" applyBorder="1" applyAlignment="1">
      <alignment horizontal="right"/>
    </xf>
    <xf numFmtId="0" fontId="16" fillId="0" borderId="12" xfId="0" applyFont="1" applyBorder="1"/>
    <xf numFmtId="164" fontId="16" fillId="0" borderId="0" xfId="2" applyNumberFormat="1" applyFont="1" applyFill="1" applyBorder="1" applyAlignment="1">
      <alignment horizontal="right"/>
    </xf>
    <xf numFmtId="10" fontId="16" fillId="0" borderId="0" xfId="3" applyNumberFormat="1" applyFont="1" applyBorder="1" applyAlignment="1">
      <alignment horizontal="right"/>
    </xf>
    <xf numFmtId="0" fontId="16" fillId="0" borderId="13" xfId="0" applyFont="1" applyBorder="1" applyAlignment="1">
      <alignment horizontal="center"/>
    </xf>
    <xf numFmtId="0" fontId="16" fillId="0" borderId="14" xfId="0" applyFont="1" applyBorder="1"/>
    <xf numFmtId="43" fontId="16" fillId="0" borderId="14" xfId="1" applyFont="1" applyBorder="1" applyAlignment="1">
      <alignment horizontal="right"/>
    </xf>
    <xf numFmtId="165" fontId="16" fillId="0" borderId="14" xfId="1" applyNumberFormat="1" applyFont="1" applyBorder="1" applyAlignment="1">
      <alignment horizontal="right"/>
    </xf>
    <xf numFmtId="0" fontId="16" fillId="0" borderId="14" xfId="1" applyNumberFormat="1" applyFont="1" applyBorder="1" applyAlignment="1">
      <alignment horizontal="right"/>
    </xf>
    <xf numFmtId="0" fontId="16" fillId="0" borderId="15" xfId="0" applyFont="1" applyBorder="1"/>
    <xf numFmtId="0" fontId="16" fillId="0" borderId="17" xfId="0" applyFont="1" applyBorder="1"/>
    <xf numFmtId="0" fontId="16" fillId="0" borderId="16" xfId="0" applyFont="1" applyBorder="1" applyAlignment="1">
      <alignment horizontal="center"/>
    </xf>
    <xf numFmtId="10" fontId="16" fillId="0" borderId="17" xfId="3" applyNumberFormat="1" applyFont="1" applyBorder="1"/>
    <xf numFmtId="44" fontId="17" fillId="0" borderId="0" xfId="0" applyNumberFormat="1" applyFont="1"/>
    <xf numFmtId="165" fontId="16" fillId="0" borderId="0" xfId="0" applyNumberFormat="1" applyFont="1"/>
    <xf numFmtId="0" fontId="21" fillId="0" borderId="0" xfId="0" applyFont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/>
    <xf numFmtId="165" fontId="4" fillId="0" borderId="5" xfId="1" applyNumberFormat="1" applyFont="1" applyBorder="1"/>
    <xf numFmtId="0" fontId="0" fillId="0" borderId="6" xfId="0" applyBorder="1"/>
    <xf numFmtId="44" fontId="4" fillId="0" borderId="5" xfId="2" applyFont="1" applyBorder="1"/>
    <xf numFmtId="44" fontId="4" fillId="0" borderId="1" xfId="2" applyFont="1" applyBorder="1"/>
    <xf numFmtId="43" fontId="4" fillId="0" borderId="1" xfId="1" applyFont="1" applyBorder="1"/>
    <xf numFmtId="165" fontId="4" fillId="0" borderId="6" xfId="1" applyNumberFormat="1" applyFont="1" applyBorder="1"/>
    <xf numFmtId="0" fontId="8" fillId="0" borderId="0" xfId="0" applyFont="1"/>
    <xf numFmtId="49" fontId="4" fillId="0" borderId="0" xfId="0" applyNumberFormat="1" applyFont="1"/>
    <xf numFmtId="0" fontId="28" fillId="0" borderId="13" xfId="0" applyFont="1" applyBorder="1"/>
    <xf numFmtId="0" fontId="28" fillId="0" borderId="14" xfId="0" applyFont="1" applyBorder="1"/>
    <xf numFmtId="165" fontId="28" fillId="0" borderId="14" xfId="5" applyNumberFormat="1" applyFont="1" applyBorder="1"/>
    <xf numFmtId="0" fontId="28" fillId="0" borderId="15" xfId="0" applyFont="1" applyBorder="1"/>
    <xf numFmtId="0" fontId="28" fillId="0" borderId="16" xfId="0" applyFont="1" applyBorder="1"/>
    <xf numFmtId="0" fontId="28" fillId="0" borderId="17" xfId="0" applyFont="1" applyBorder="1"/>
    <xf numFmtId="0" fontId="4" fillId="0" borderId="17" xfId="0" applyFont="1" applyBorder="1"/>
    <xf numFmtId="10" fontId="4" fillId="0" borderId="0" xfId="0" applyNumberFormat="1" applyFont="1"/>
    <xf numFmtId="44" fontId="4" fillId="0" borderId="0" xfId="0" applyNumberFormat="1" applyFont="1"/>
    <xf numFmtId="0" fontId="4" fillId="0" borderId="17" xfId="0" applyFont="1" applyBorder="1" applyAlignment="1">
      <alignment horizontal="center"/>
    </xf>
    <xf numFmtId="0" fontId="28" fillId="0" borderId="18" xfId="0" applyFont="1" applyBorder="1"/>
    <xf numFmtId="0" fontId="28" fillId="0" borderId="12" xfId="0" applyFont="1" applyBorder="1"/>
    <xf numFmtId="165" fontId="28" fillId="0" borderId="12" xfId="5" applyNumberFormat="1" applyFont="1" applyBorder="1"/>
    <xf numFmtId="0" fontId="28" fillId="0" borderId="19" xfId="0" applyFont="1" applyBorder="1"/>
    <xf numFmtId="165" fontId="16" fillId="0" borderId="20" xfId="5" applyNumberFormat="1" applyFont="1" applyFill="1" applyBorder="1" applyAlignment="1">
      <alignment horizontal="left"/>
    </xf>
    <xf numFmtId="165" fontId="16" fillId="0" borderId="0" xfId="1" applyNumberFormat="1" applyFont="1" applyFill="1" applyBorder="1" applyAlignment="1">
      <alignment horizontal="right"/>
    </xf>
    <xf numFmtId="165" fontId="17" fillId="0" borderId="5" xfId="5" applyNumberFormat="1" applyFont="1" applyFill="1" applyBorder="1" applyAlignment="1">
      <alignment horizontal="right" vertical="center"/>
    </xf>
    <xf numFmtId="165" fontId="17" fillId="0" borderId="6" xfId="5" applyNumberFormat="1" applyFont="1" applyFill="1" applyBorder="1" applyAlignment="1">
      <alignment horizontal="right" vertical="center"/>
    </xf>
    <xf numFmtId="165" fontId="17" fillId="0" borderId="1" xfId="5" applyNumberFormat="1" applyFont="1" applyFill="1" applyBorder="1" applyAlignment="1">
      <alignment horizontal="right" vertical="center"/>
    </xf>
    <xf numFmtId="165" fontId="16" fillId="0" borderId="5" xfId="1" applyNumberFormat="1" applyFont="1" applyFill="1" applyBorder="1" applyAlignment="1">
      <alignment horizontal="right"/>
    </xf>
    <xf numFmtId="165" fontId="16" fillId="0" borderId="4" xfId="1" applyNumberFormat="1" applyFont="1" applyFill="1" applyBorder="1" applyAlignment="1">
      <alignment horizontal="right"/>
    </xf>
    <xf numFmtId="165" fontId="16" fillId="0" borderId="21" xfId="1" applyNumberFormat="1" applyFont="1" applyBorder="1"/>
    <xf numFmtId="165" fontId="16" fillId="0" borderId="10" xfId="1" applyNumberFormat="1" applyFont="1" applyFill="1" applyBorder="1"/>
    <xf numFmtId="37" fontId="16" fillId="0" borderId="21" xfId="5" quotePrefix="1" applyNumberFormat="1" applyFont="1" applyFill="1" applyBorder="1" applyAlignment="1">
      <alignment horizontal="right"/>
    </xf>
    <xf numFmtId="165" fontId="16" fillId="0" borderId="22" xfId="5" applyNumberFormat="1" applyFont="1" applyFill="1" applyBorder="1"/>
    <xf numFmtId="0" fontId="8" fillId="0" borderId="0" xfId="1" applyNumberFormat="1" applyFont="1" applyAlignment="1">
      <alignment horizontal="center" vertical="center"/>
    </xf>
    <xf numFmtId="43" fontId="16" fillId="0" borderId="0" xfId="1" applyFont="1"/>
    <xf numFmtId="165" fontId="16" fillId="0" borderId="1" xfId="1" applyNumberFormat="1" applyFont="1" applyBorder="1"/>
    <xf numFmtId="167" fontId="4" fillId="0" borderId="0" xfId="2" applyNumberFormat="1" applyFont="1" applyFill="1" applyBorder="1" applyAlignment="1">
      <alignment horizontal="center"/>
    </xf>
    <xf numFmtId="167" fontId="4" fillId="0" borderId="0" xfId="2" applyNumberFormat="1" applyFont="1" applyFill="1" applyBorder="1" applyAlignment="1">
      <alignment vertical="center"/>
    </xf>
    <xf numFmtId="167" fontId="16" fillId="0" borderId="0" xfId="1" applyNumberFormat="1" applyFont="1" applyBorder="1" applyAlignment="1">
      <alignment horizontal="right"/>
    </xf>
    <xf numFmtId="3" fontId="16" fillId="0" borderId="0" xfId="0" applyNumberFormat="1" applyFont="1"/>
    <xf numFmtId="164" fontId="16" fillId="0" borderId="0" xfId="0" applyNumberFormat="1" applyFont="1" applyAlignment="1">
      <alignment horizontal="right"/>
    </xf>
    <xf numFmtId="168" fontId="16" fillId="0" borderId="0" xfId="5" applyNumberFormat="1" applyFont="1" applyFill="1" applyBorder="1" applyAlignment="1"/>
    <xf numFmtId="0" fontId="2" fillId="0" borderId="0" xfId="0" applyFont="1"/>
    <xf numFmtId="0" fontId="16" fillId="0" borderId="3" xfId="0" applyFont="1" applyBorder="1"/>
    <xf numFmtId="3" fontId="16" fillId="0" borderId="2" xfId="0" applyNumberFormat="1" applyFont="1" applyBorder="1"/>
    <xf numFmtId="164" fontId="16" fillId="0" borderId="2" xfId="0" applyNumberFormat="1" applyFont="1" applyBorder="1" applyAlignment="1">
      <alignment horizontal="right"/>
    </xf>
    <xf numFmtId="168" fontId="16" fillId="0" borderId="2" xfId="5" applyNumberFormat="1" applyFont="1" applyFill="1" applyBorder="1"/>
    <xf numFmtId="3" fontId="16" fillId="0" borderId="2" xfId="0" applyNumberFormat="1" applyFont="1" applyBorder="1" applyAlignment="1">
      <alignment horizontal="right"/>
    </xf>
    <xf numFmtId="3" fontId="16" fillId="0" borderId="4" xfId="0" applyNumberFormat="1" applyFont="1" applyBorder="1"/>
    <xf numFmtId="3" fontId="16" fillId="0" borderId="7" xfId="0" applyNumberFormat="1" applyFont="1" applyBorder="1"/>
    <xf numFmtId="0" fontId="16" fillId="0" borderId="7" xfId="0" applyFont="1" applyBorder="1"/>
    <xf numFmtId="3" fontId="16" fillId="0" borderId="8" xfId="0" applyNumberFormat="1" applyFont="1" applyBorder="1"/>
    <xf numFmtId="3" fontId="22" fillId="0" borderId="0" xfId="0" applyNumberFormat="1" applyFont="1" applyAlignment="1">
      <alignment horizontal="center" vertical="center"/>
    </xf>
    <xf numFmtId="0" fontId="16" fillId="0" borderId="5" xfId="0" applyFont="1" applyBorder="1"/>
    <xf numFmtId="3" fontId="22" fillId="0" borderId="1" xfId="0" applyNumberFormat="1" applyFont="1" applyBorder="1" applyAlignment="1">
      <alignment horizontal="center" vertical="center"/>
    </xf>
    <xf numFmtId="3" fontId="16" fillId="0" borderId="6" xfId="0" applyNumberFormat="1" applyFont="1" applyBorder="1"/>
    <xf numFmtId="3" fontId="21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8" fontId="21" fillId="0" borderId="0" xfId="5" applyNumberFormat="1" applyFont="1" applyFill="1" applyBorder="1" applyAlignment="1">
      <alignment horizontal="center"/>
    </xf>
    <xf numFmtId="44" fontId="24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3" fontId="21" fillId="0" borderId="0" xfId="0" applyNumberFormat="1" applyFont="1"/>
    <xf numFmtId="169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right"/>
    </xf>
    <xf numFmtId="164" fontId="16" fillId="0" borderId="0" xfId="5" applyNumberFormat="1" applyFont="1" applyFill="1" applyBorder="1" applyAlignment="1">
      <alignment horizontal="right"/>
    </xf>
    <xf numFmtId="165" fontId="16" fillId="0" borderId="0" xfId="5" applyNumberFormat="1" applyFont="1" applyFill="1" applyBorder="1" applyAlignment="1">
      <alignment horizontal="center"/>
    </xf>
    <xf numFmtId="164" fontId="21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168" fontId="16" fillId="0" borderId="0" xfId="5" applyNumberFormat="1" applyFont="1" applyFill="1" applyBorder="1" applyAlignment="1">
      <alignment horizontal="center"/>
    </xf>
    <xf numFmtId="168" fontId="16" fillId="0" borderId="0" xfId="5" quotePrefix="1" applyNumberFormat="1" applyFont="1" applyFill="1" applyBorder="1" applyAlignment="1">
      <alignment horizontal="center"/>
    </xf>
    <xf numFmtId="168" fontId="16" fillId="0" borderId="0" xfId="5" applyNumberFormat="1" applyFont="1" applyFill="1" applyBorder="1" applyAlignment="1">
      <alignment horizontal="right"/>
    </xf>
    <xf numFmtId="3" fontId="17" fillId="0" borderId="0" xfId="0" applyNumberFormat="1" applyFont="1"/>
    <xf numFmtId="170" fontId="17" fillId="0" borderId="0" xfId="0" applyNumberFormat="1" applyFont="1" applyAlignment="1">
      <alignment horizontal="right"/>
    </xf>
    <xf numFmtId="171" fontId="16" fillId="0" borderId="0" xfId="0" applyNumberFormat="1" applyFont="1"/>
    <xf numFmtId="170" fontId="17" fillId="0" borderId="0" xfId="0" applyNumberFormat="1" applyFont="1"/>
    <xf numFmtId="3" fontId="16" fillId="0" borderId="1" xfId="0" applyNumberFormat="1" applyFont="1" applyBorder="1"/>
    <xf numFmtId="164" fontId="16" fillId="0" borderId="1" xfId="0" applyNumberFormat="1" applyFont="1" applyBorder="1" applyAlignment="1">
      <alignment horizontal="right"/>
    </xf>
    <xf numFmtId="168" fontId="16" fillId="0" borderId="1" xfId="5" applyNumberFormat="1" applyFont="1" applyFill="1" applyBorder="1" applyAlignment="1">
      <alignment horizontal="right"/>
    </xf>
    <xf numFmtId="4" fontId="16" fillId="0" borderId="7" xfId="0" applyNumberFormat="1" applyFont="1" applyBorder="1"/>
    <xf numFmtId="0" fontId="2" fillId="0" borderId="0" xfId="0" applyFont="1" applyAlignment="1">
      <alignment horizontal="right"/>
    </xf>
    <xf numFmtId="164" fontId="29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4" fillId="0" borderId="1" xfId="1" applyNumberFormat="1" applyFont="1" applyFill="1" applyBorder="1"/>
    <xf numFmtId="0" fontId="4" fillId="0" borderId="1" xfId="0" applyFont="1" applyBorder="1"/>
    <xf numFmtId="43" fontId="4" fillId="0" borderId="1" xfId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8" fontId="4" fillId="0" borderId="0" xfId="1" applyNumberFormat="1" applyFont="1" applyFill="1"/>
    <xf numFmtId="43" fontId="16" fillId="0" borderId="1" xfId="1" applyFont="1" applyFill="1" applyBorder="1"/>
    <xf numFmtId="165" fontId="27" fillId="0" borderId="0" xfId="1" applyNumberFormat="1" applyFont="1" applyFill="1" applyAlignment="1">
      <alignment horizontal="right"/>
    </xf>
    <xf numFmtId="164" fontId="16" fillId="0" borderId="0" xfId="2" applyNumberFormat="1" applyFont="1" applyAlignment="1">
      <alignment horizontal="right"/>
    </xf>
    <xf numFmtId="165" fontId="27" fillId="0" borderId="1" xfId="1" applyNumberFormat="1" applyFont="1" applyFill="1" applyBorder="1" applyAlignment="1">
      <alignment horizontal="right"/>
    </xf>
    <xf numFmtId="43" fontId="4" fillId="0" borderId="0" xfId="0" applyNumberFormat="1" applyFont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168" fontId="4" fillId="0" borderId="0" xfId="1" applyNumberFormat="1" applyFont="1" applyFill="1" applyBorder="1"/>
    <xf numFmtId="43" fontId="16" fillId="0" borderId="0" xfId="5" applyFont="1" applyFill="1" applyBorder="1"/>
    <xf numFmtId="0" fontId="17" fillId="0" borderId="9" xfId="0" applyFont="1" applyBorder="1" applyAlignment="1" applyProtection="1">
      <alignment horizontal="center"/>
      <protection locked="0"/>
    </xf>
    <xf numFmtId="0" fontId="17" fillId="0" borderId="23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43" fontId="16" fillId="0" borderId="24" xfId="5" applyFont="1" applyFill="1" applyBorder="1" applyAlignment="1" applyProtection="1">
      <protection locked="0"/>
    </xf>
    <xf numFmtId="0" fontId="16" fillId="0" borderId="9" xfId="0" applyFont="1" applyBorder="1" applyAlignment="1" applyProtection="1">
      <alignment horizontal="center"/>
      <protection locked="0"/>
    </xf>
    <xf numFmtId="43" fontId="16" fillId="0" borderId="9" xfId="5" applyFont="1" applyFill="1" applyBorder="1" applyAlignment="1" applyProtection="1">
      <protection locked="0"/>
    </xf>
    <xf numFmtId="0" fontId="16" fillId="0" borderId="23" xfId="0" applyFont="1" applyBorder="1" applyAlignment="1" applyProtection="1">
      <alignment horizontal="center"/>
      <protection locked="0"/>
    </xf>
    <xf numFmtId="43" fontId="16" fillId="0" borderId="23" xfId="5" applyFont="1" applyFill="1" applyBorder="1" applyAlignment="1" applyProtection="1">
      <protection locked="0"/>
    </xf>
    <xf numFmtId="43" fontId="16" fillId="0" borderId="1" xfId="5" applyFont="1" applyFill="1" applyBorder="1"/>
    <xf numFmtId="43" fontId="16" fillId="0" borderId="0" xfId="0" applyNumberFormat="1" applyFont="1"/>
    <xf numFmtId="165" fontId="16" fillId="0" borderId="0" xfId="5" applyNumberFormat="1" applyFont="1" applyFill="1" applyBorder="1" applyAlignment="1" applyProtection="1">
      <alignment horizontal="center"/>
      <protection locked="0"/>
    </xf>
    <xf numFmtId="43" fontId="16" fillId="0" borderId="5" xfId="5" applyFont="1" applyFill="1" applyBorder="1"/>
    <xf numFmtId="43" fontId="16" fillId="0" borderId="7" xfId="5" applyFont="1" applyFill="1" applyBorder="1"/>
    <xf numFmtId="43" fontId="17" fillId="0" borderId="10" xfId="5" applyFont="1" applyFill="1" applyBorder="1" applyAlignment="1">
      <alignment horizontal="center"/>
    </xf>
    <xf numFmtId="43" fontId="17" fillId="0" borderId="0" xfId="5" applyFont="1" applyFill="1" applyBorder="1" applyAlignment="1">
      <alignment horizontal="right"/>
    </xf>
    <xf numFmtId="43" fontId="17" fillId="0" borderId="1" xfId="5" applyFont="1" applyFill="1" applyBorder="1" applyAlignment="1">
      <alignment horizontal="right"/>
    </xf>
    <xf numFmtId="166" fontId="16" fillId="0" borderId="0" xfId="3" applyNumberFormat="1" applyFont="1" applyFill="1" applyBorder="1"/>
    <xf numFmtId="0" fontId="17" fillId="0" borderId="0" xfId="0" applyFont="1" applyAlignment="1">
      <alignment horizontal="right"/>
    </xf>
    <xf numFmtId="0" fontId="17" fillId="0" borderId="1" xfId="0" applyFont="1" applyBorder="1" applyAlignment="1">
      <alignment horizontal="right"/>
    </xf>
    <xf numFmtId="43" fontId="16" fillId="0" borderId="1" xfId="0" applyNumberFormat="1" applyFont="1" applyBorder="1"/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0" xfId="1" applyNumberFormat="1" applyFont="1" applyFill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5" fontId="4" fillId="0" borderId="11" xfId="1" applyNumberFormat="1" applyFont="1" applyBorder="1" applyAlignment="1">
      <alignment horizontal="center"/>
    </xf>
    <xf numFmtId="165" fontId="4" fillId="0" borderId="0" xfId="1" applyNumberFormat="1" applyFont="1" applyFill="1" applyAlignment="1">
      <alignment horizontal="center" vertical="center"/>
    </xf>
    <xf numFmtId="43" fontId="4" fillId="0" borderId="0" xfId="1" applyFont="1" applyFill="1"/>
    <xf numFmtId="168" fontId="4" fillId="0" borderId="0" xfId="1" applyNumberFormat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168" fontId="4" fillId="0" borderId="1" xfId="1" applyNumberFormat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165" fontId="32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3" fontId="4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right" vertical="center" wrapText="1"/>
    </xf>
    <xf numFmtId="0" fontId="27" fillId="0" borderId="25" xfId="0" applyFont="1" applyBorder="1" applyAlignment="1">
      <alignment horizontal="left" vertical="center" wrapText="1" indent="4"/>
    </xf>
    <xf numFmtId="6" fontId="27" fillId="0" borderId="25" xfId="0" applyNumberFormat="1" applyFont="1" applyBorder="1" applyAlignment="1">
      <alignment horizontal="right" vertical="center" wrapText="1"/>
    </xf>
    <xf numFmtId="0" fontId="27" fillId="0" borderId="25" xfId="0" applyFont="1" applyBorder="1" applyAlignment="1">
      <alignment vertical="center" wrapText="1"/>
    </xf>
    <xf numFmtId="3" fontId="27" fillId="0" borderId="25" xfId="0" applyNumberFormat="1" applyFont="1" applyBorder="1" applyAlignment="1">
      <alignment horizontal="right" vertical="center" wrapText="1"/>
    </xf>
    <xf numFmtId="165" fontId="27" fillId="0" borderId="25" xfId="0" applyNumberFormat="1" applyFont="1" applyBorder="1" applyAlignment="1">
      <alignment vertical="center" wrapText="1"/>
    </xf>
    <xf numFmtId="10" fontId="27" fillId="0" borderId="25" xfId="0" applyNumberFormat="1" applyFont="1" applyBorder="1" applyAlignment="1">
      <alignment vertical="center" wrapText="1"/>
    </xf>
    <xf numFmtId="43" fontId="4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44" fontId="11" fillId="0" borderId="1" xfId="2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165" fontId="16" fillId="0" borderId="8" xfId="1" applyNumberFormat="1" applyFont="1" applyFill="1" applyBorder="1" applyAlignment="1">
      <alignment horizontal="right"/>
    </xf>
    <xf numFmtId="165" fontId="16" fillId="0" borderId="7" xfId="1" applyNumberFormat="1" applyFont="1" applyFill="1" applyBorder="1" applyAlignment="1">
      <alignment horizontal="right"/>
    </xf>
    <xf numFmtId="44" fontId="16" fillId="0" borderId="0" xfId="2" applyFont="1"/>
    <xf numFmtId="44" fontId="16" fillId="0" borderId="0" xfId="2" applyFont="1" applyAlignment="1">
      <alignment horizontal="right"/>
    </xf>
    <xf numFmtId="0" fontId="7" fillId="0" borderId="0" xfId="0" applyFont="1"/>
    <xf numFmtId="0" fontId="16" fillId="0" borderId="24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/>
    <xf numFmtId="44" fontId="4" fillId="0" borderId="0" xfId="2" applyFont="1" applyFill="1" applyBorder="1"/>
    <xf numFmtId="165" fontId="4" fillId="0" borderId="3" xfId="1" applyNumberFormat="1" applyFont="1" applyBorder="1"/>
    <xf numFmtId="165" fontId="4" fillId="0" borderId="4" xfId="1" applyNumberFormat="1" applyFont="1" applyBorder="1"/>
    <xf numFmtId="44" fontId="4" fillId="2" borderId="0" xfId="2" applyFont="1" applyFill="1" applyBorder="1"/>
    <xf numFmtId="165" fontId="4" fillId="0" borderId="7" xfId="1" applyNumberFormat="1" applyFont="1" applyFill="1" applyBorder="1"/>
    <xf numFmtId="165" fontId="4" fillId="0" borderId="0" xfId="1" applyNumberFormat="1" applyFont="1" applyFill="1" applyBorder="1"/>
    <xf numFmtId="10" fontId="4" fillId="0" borderId="0" xfId="3" applyNumberFormat="1" applyFont="1" applyFill="1" applyBorder="1"/>
    <xf numFmtId="166" fontId="4" fillId="0" borderId="8" xfId="3" applyNumberFormat="1" applyFont="1" applyFill="1" applyBorder="1"/>
    <xf numFmtId="3" fontId="33" fillId="0" borderId="0" xfId="0" applyNumberFormat="1" applyFont="1"/>
    <xf numFmtId="165" fontId="16" fillId="0" borderId="0" xfId="1" applyNumberFormat="1" applyFont="1"/>
    <xf numFmtId="168" fontId="4" fillId="0" borderId="1" xfId="1" applyNumberFormat="1" applyFont="1" applyFill="1" applyBorder="1"/>
    <xf numFmtId="165" fontId="16" fillId="0" borderId="1" xfId="1" applyNumberFormat="1" applyFont="1" applyBorder="1" applyAlignment="1">
      <alignment horizontal="right"/>
    </xf>
    <xf numFmtId="165" fontId="4" fillId="2" borderId="0" xfId="1" applyNumberFormat="1" applyFont="1" applyFill="1" applyBorder="1"/>
    <xf numFmtId="165" fontId="33" fillId="0" borderId="26" xfId="1" applyNumberFormat="1" applyFont="1" applyBorder="1"/>
    <xf numFmtId="165" fontId="16" fillId="0" borderId="12" xfId="1" applyNumberFormat="1" applyFont="1" applyFill="1" applyBorder="1" applyAlignment="1">
      <alignment horizontal="right"/>
    </xf>
    <xf numFmtId="0" fontId="16" fillId="0" borderId="25" xfId="0" applyFont="1" applyBorder="1" applyAlignment="1" applyProtection="1">
      <alignment horizontal="center"/>
      <protection locked="0"/>
    </xf>
    <xf numFmtId="0" fontId="16" fillId="0" borderId="25" xfId="0" applyFont="1" applyBorder="1" applyAlignment="1">
      <alignment horizontal="center"/>
    </xf>
    <xf numFmtId="43" fontId="16" fillId="0" borderId="25" xfId="5" applyFont="1" applyFill="1" applyBorder="1" applyAlignment="1" applyProtection="1">
      <protection locked="0"/>
    </xf>
    <xf numFmtId="166" fontId="16" fillId="0" borderId="1" xfId="3" applyNumberFormat="1" applyFont="1" applyFill="1" applyBorder="1"/>
    <xf numFmtId="10" fontId="4" fillId="0" borderId="1" xfId="3" applyNumberFormat="1" applyFont="1" applyFill="1" applyBorder="1"/>
    <xf numFmtId="43" fontId="18" fillId="0" borderId="1" xfId="0" applyNumberFormat="1" applyFont="1" applyBorder="1"/>
    <xf numFmtId="165" fontId="16" fillId="0" borderId="7" xfId="5" applyNumberFormat="1" applyFont="1" applyFill="1" applyBorder="1" applyAlignment="1">
      <alignment horizontal="left"/>
    </xf>
    <xf numFmtId="37" fontId="16" fillId="0" borderId="7" xfId="5" quotePrefix="1" applyNumberFormat="1" applyFont="1" applyFill="1" applyBorder="1" applyAlignment="1">
      <alignment horizontal="right"/>
    </xf>
    <xf numFmtId="0" fontId="18" fillId="0" borderId="7" xfId="0" applyFont="1" applyBorder="1"/>
    <xf numFmtId="165" fontId="16" fillId="0" borderId="22" xfId="1" applyNumberFormat="1" applyFont="1" applyBorder="1"/>
    <xf numFmtId="44" fontId="16" fillId="0" borderId="0" xfId="2" applyFont="1" applyFill="1"/>
    <xf numFmtId="44" fontId="29" fillId="0" borderId="0" xfId="2" applyFont="1" applyFill="1"/>
    <xf numFmtId="3" fontId="14" fillId="0" borderId="7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34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4" fillId="0" borderId="0" xfId="1" applyFont="1" applyBorder="1" applyAlignment="1">
      <alignment horizontal="right"/>
    </xf>
    <xf numFmtId="0" fontId="4" fillId="3" borderId="0" xfId="0" applyFont="1" applyFill="1" applyAlignment="1">
      <alignment horizontal="left"/>
    </xf>
    <xf numFmtId="165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7" fillId="0" borderId="0" xfId="0" applyFont="1" applyAlignment="1">
      <alignment horizontal="right" vertical="center" wrapText="1"/>
    </xf>
    <xf numFmtId="0" fontId="27" fillId="0" borderId="25" xfId="0" applyFont="1" applyBorder="1" applyAlignment="1">
      <alignment horizontal="left" vertical="center" wrapText="1" indent="4"/>
    </xf>
    <xf numFmtId="165" fontId="27" fillId="0" borderId="25" xfId="0" applyNumberFormat="1" applyFont="1" applyBorder="1" applyAlignment="1">
      <alignment vertical="center" wrapText="1"/>
    </xf>
    <xf numFmtId="10" fontId="27" fillId="0" borderId="24" xfId="0" applyNumberFormat="1" applyFont="1" applyBorder="1" applyAlignment="1">
      <alignment horizontal="right" vertical="center" wrapText="1"/>
    </xf>
    <xf numFmtId="10" fontId="27" fillId="0" borderId="9" xfId="0" applyNumberFormat="1" applyFont="1" applyBorder="1" applyAlignment="1">
      <alignment horizontal="right" vertical="center" wrapText="1"/>
    </xf>
    <xf numFmtId="10" fontId="27" fillId="0" borderId="23" xfId="0" applyNumberFormat="1" applyFont="1" applyBorder="1" applyAlignment="1">
      <alignment horizontal="right" vertical="center" wrapText="1"/>
    </xf>
    <xf numFmtId="43" fontId="17" fillId="0" borderId="1" xfId="5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168" fontId="21" fillId="0" borderId="0" xfId="5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165" fontId="19" fillId="0" borderId="7" xfId="5" applyNumberFormat="1" applyFont="1" applyFill="1" applyBorder="1" applyAlignment="1">
      <alignment horizontal="center"/>
    </xf>
    <xf numFmtId="165" fontId="19" fillId="0" borderId="0" xfId="5" applyNumberFormat="1" applyFont="1" applyFill="1" applyBorder="1" applyAlignment="1">
      <alignment horizontal="center"/>
    </xf>
    <xf numFmtId="165" fontId="20" fillId="0" borderId="7" xfId="5" applyNumberFormat="1" applyFont="1" applyFill="1" applyBorder="1" applyAlignment="1">
      <alignment horizontal="center"/>
    </xf>
    <xf numFmtId="165" fontId="20" fillId="0" borderId="0" xfId="5" applyNumberFormat="1" applyFont="1" applyFill="1" applyBorder="1" applyAlignment="1">
      <alignment horizontal="center"/>
    </xf>
    <xf numFmtId="165" fontId="22" fillId="0" borderId="7" xfId="5" applyNumberFormat="1" applyFont="1" applyFill="1" applyBorder="1" applyAlignment="1">
      <alignment horizontal="center" vertical="center"/>
    </xf>
    <xf numFmtId="165" fontId="22" fillId="0" borderId="0" xfId="5" applyNumberFormat="1" applyFont="1" applyFill="1" applyBorder="1" applyAlignment="1">
      <alignment horizontal="center" vertical="center"/>
    </xf>
    <xf numFmtId="165" fontId="23" fillId="0" borderId="7" xfId="5" applyNumberFormat="1" applyFont="1" applyFill="1" applyBorder="1" applyAlignment="1">
      <alignment horizontal="center"/>
    </xf>
    <xf numFmtId="165" fontId="23" fillId="0" borderId="0" xfId="5" applyNumberFormat="1" applyFont="1" applyFill="1" applyBorder="1" applyAlignment="1">
      <alignment horizontal="center"/>
    </xf>
    <xf numFmtId="0" fontId="17" fillId="0" borderId="5" xfId="5" applyNumberFormat="1" applyFont="1" applyFill="1" applyBorder="1" applyAlignment="1">
      <alignment horizontal="center" vertical="center"/>
    </xf>
    <xf numFmtId="0" fontId="17" fillId="0" borderId="6" xfId="5" applyNumberFormat="1" applyFont="1" applyFill="1" applyBorder="1" applyAlignment="1">
      <alignment horizontal="center" vertical="center"/>
    </xf>
    <xf numFmtId="44" fontId="15" fillId="0" borderId="7" xfId="2" applyFont="1" applyFill="1" applyBorder="1" applyAlignment="1">
      <alignment horizontal="center"/>
    </xf>
    <xf numFmtId="44" fontId="15" fillId="0" borderId="0" xfId="2" applyFont="1" applyFill="1" applyBorder="1" applyAlignment="1">
      <alignment horizontal="center"/>
    </xf>
    <xf numFmtId="44" fontId="15" fillId="0" borderId="8" xfId="2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43" fontId="31" fillId="0" borderId="7" xfId="1" applyFont="1" applyBorder="1" applyAlignment="1">
      <alignment horizontal="center"/>
    </xf>
    <xf numFmtId="43" fontId="31" fillId="0" borderId="0" xfId="1" applyFont="1" applyBorder="1" applyAlignment="1">
      <alignment horizontal="center"/>
    </xf>
    <xf numFmtId="43" fontId="31" fillId="0" borderId="8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44" fontId="25" fillId="0" borderId="3" xfId="2" applyFont="1" applyBorder="1" applyAlignment="1">
      <alignment horizontal="center"/>
    </xf>
    <xf numFmtId="44" fontId="25" fillId="0" borderId="2" xfId="2" applyFont="1" applyBorder="1" applyAlignment="1">
      <alignment horizontal="center"/>
    </xf>
    <xf numFmtId="44" fontId="25" fillId="0" borderId="4" xfId="2" applyFont="1" applyBorder="1" applyAlignment="1">
      <alignment horizontal="center"/>
    </xf>
    <xf numFmtId="165" fontId="5" fillId="0" borderId="7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5" fontId="5" fillId="0" borderId="8" xfId="1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16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7" xfId="0" applyFont="1" applyBorder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9" xr:uid="{00000000-0005-0000-0000-000002000000}"/>
    <cellStyle name="Currency" xfId="2" builtinId="4"/>
    <cellStyle name="Currency 2" xfId="6" xr:uid="{00000000-0005-0000-0000-000004000000}"/>
    <cellStyle name="Currency 3" xfId="10" xr:uid="{00000000-0005-0000-0000-000005000000}"/>
    <cellStyle name="Normal" xfId="0" builtinId="0"/>
    <cellStyle name="Normal 2" xfId="4" xr:uid="{00000000-0005-0000-0000-000007000000}"/>
    <cellStyle name="Normal 3" xfId="8" xr:uid="{00000000-0005-0000-0000-000008000000}"/>
    <cellStyle name="Normal 4" xfId="11" xr:uid="{6AF0DF84-7C4F-46F1-AA3C-2A5B115098BC}"/>
    <cellStyle name="Percent" xfId="3" builtinId="5"/>
    <cellStyle name="Percent 2" xfId="7" xr:uid="{00000000-0005-0000-0000-00000A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workbookViewId="0">
      <selection sqref="A1:G42"/>
    </sheetView>
  </sheetViews>
  <sheetFormatPr defaultColWidth="8.83203125" defaultRowHeight="14.25" x14ac:dyDescent="0.45"/>
  <cols>
    <col min="1" max="1" width="4.609375" style="4" customWidth="1"/>
    <col min="2" max="2" width="27.71875" style="4" customWidth="1"/>
    <col min="3" max="3" width="12.609375" style="4" customWidth="1"/>
    <col min="4" max="4" width="10.609375" style="4" customWidth="1"/>
    <col min="5" max="5" width="3.609375" style="316" customWidth="1"/>
    <col min="6" max="6" width="10.609375" style="123" customWidth="1"/>
    <col min="7" max="7" width="1.609375" style="4" customWidth="1"/>
    <col min="8" max="8" width="50.609375" style="4" customWidth="1"/>
    <col min="9" max="10" width="11.38671875" style="4" customWidth="1"/>
    <col min="11" max="11" width="10.83203125" style="4" customWidth="1"/>
    <col min="12" max="16384" width="8.83203125" style="4"/>
  </cols>
  <sheetData>
    <row r="1" spans="1:11" ht="18" x14ac:dyDescent="0.45">
      <c r="A1" s="391" t="s">
        <v>220</v>
      </c>
      <c r="B1" s="391"/>
      <c r="C1" s="391"/>
      <c r="D1" s="391"/>
      <c r="E1" s="391"/>
      <c r="F1" s="391"/>
      <c r="G1" s="27"/>
      <c r="H1" s="27"/>
      <c r="I1" s="27"/>
      <c r="J1" s="27"/>
    </row>
    <row r="2" spans="1:11" ht="18" x14ac:dyDescent="0.45">
      <c r="A2" s="391" t="s">
        <v>219</v>
      </c>
      <c r="B2" s="391"/>
      <c r="C2" s="391"/>
      <c r="D2" s="391"/>
      <c r="E2" s="391"/>
      <c r="F2" s="391"/>
      <c r="G2" s="27"/>
      <c r="H2" s="27"/>
      <c r="I2" s="27"/>
      <c r="J2" s="27"/>
      <c r="K2" s="27"/>
    </row>
    <row r="3" spans="1:11" ht="15.75" x14ac:dyDescent="0.5">
      <c r="A3" s="87"/>
      <c r="B3" s="87"/>
      <c r="C3" s="87"/>
      <c r="D3" s="87"/>
      <c r="E3" s="313"/>
      <c r="F3" s="87"/>
      <c r="G3" s="27"/>
      <c r="H3" s="27"/>
      <c r="I3" s="27"/>
      <c r="J3" s="27"/>
      <c r="K3" s="27"/>
    </row>
    <row r="4" spans="1:11" x14ac:dyDescent="0.45">
      <c r="A4" s="24"/>
      <c r="B4" s="29"/>
      <c r="C4" s="229">
        <v>2024</v>
      </c>
      <c r="D4" s="88"/>
      <c r="E4" s="314"/>
      <c r="F4" s="121"/>
      <c r="G4" s="27"/>
      <c r="H4" s="27"/>
      <c r="I4" s="27"/>
      <c r="J4" s="27"/>
    </row>
    <row r="5" spans="1:11" ht="16.5" x14ac:dyDescent="0.45">
      <c r="A5" s="27"/>
      <c r="B5" s="27"/>
      <c r="C5" s="28" t="s">
        <v>7</v>
      </c>
      <c r="D5" s="28" t="s">
        <v>8</v>
      </c>
      <c r="E5" s="315"/>
      <c r="F5" s="122" t="s">
        <v>9</v>
      </c>
      <c r="G5" s="27"/>
      <c r="H5" s="328" t="s">
        <v>76</v>
      </c>
      <c r="I5" s="27"/>
      <c r="J5" s="27"/>
    </row>
    <row r="6" spans="1:11" x14ac:dyDescent="0.45">
      <c r="A6" s="50" t="s">
        <v>90</v>
      </c>
      <c r="B6" s="27"/>
      <c r="C6" s="27"/>
      <c r="F6" s="121"/>
      <c r="G6" s="27"/>
      <c r="I6" s="27"/>
      <c r="J6" s="27"/>
    </row>
    <row r="7" spans="1:11" x14ac:dyDescent="0.45">
      <c r="A7" s="27"/>
      <c r="B7" s="149" t="s">
        <v>231</v>
      </c>
      <c r="C7" s="4">
        <v>3654067</v>
      </c>
      <c r="D7" s="92">
        <f>'Existing Billing Analysis'!G12</f>
        <v>21584.128490000032</v>
      </c>
      <c r="E7" s="322" t="s">
        <v>291</v>
      </c>
      <c r="F7" s="130">
        <f>C7+D7</f>
        <v>3675651.12849</v>
      </c>
      <c r="G7" s="148"/>
      <c r="H7" s="27" t="s">
        <v>288</v>
      </c>
      <c r="I7" s="27"/>
      <c r="J7" s="27"/>
    </row>
    <row r="8" spans="1:11" x14ac:dyDescent="0.45">
      <c r="A8" s="27"/>
      <c r="B8" s="149" t="s">
        <v>232</v>
      </c>
      <c r="C8" s="2">
        <v>99548</v>
      </c>
      <c r="D8" s="52">
        <v>0</v>
      </c>
      <c r="E8" s="318"/>
      <c r="F8" s="131">
        <f>C8+D8</f>
        <v>99548</v>
      </c>
      <c r="G8" s="27"/>
      <c r="H8" s="27"/>
      <c r="I8" s="27"/>
      <c r="J8" s="27"/>
    </row>
    <row r="9" spans="1:11" x14ac:dyDescent="0.45">
      <c r="A9" s="30" t="s">
        <v>91</v>
      </c>
      <c r="B9" s="27"/>
      <c r="C9" s="130">
        <f>SUM(C7:C8)</f>
        <v>3753615</v>
      </c>
      <c r="D9" s="27">
        <f>SUM(D7:D8)</f>
        <v>21584.128490000032</v>
      </c>
      <c r="F9" s="130">
        <f>SUM(F7:F8)</f>
        <v>3775199.12849</v>
      </c>
      <c r="G9" s="27"/>
      <c r="I9" s="29"/>
      <c r="J9" s="27"/>
    </row>
    <row r="10" spans="1:11" x14ac:dyDescent="0.45">
      <c r="A10" s="27"/>
      <c r="B10" s="27"/>
      <c r="C10" s="27"/>
      <c r="D10" s="92"/>
      <c r="E10" s="317"/>
      <c r="F10" s="121"/>
      <c r="G10" s="27"/>
      <c r="H10" s="27"/>
      <c r="I10" s="27"/>
      <c r="J10" s="27"/>
    </row>
    <row r="11" spans="1:11" x14ac:dyDescent="0.45">
      <c r="A11" s="50" t="s">
        <v>74</v>
      </c>
      <c r="B11" s="27"/>
      <c r="C11" s="27"/>
      <c r="D11" s="92"/>
      <c r="E11" s="317"/>
      <c r="F11" s="121"/>
      <c r="G11" s="27"/>
      <c r="H11" s="27"/>
      <c r="I11" s="153"/>
      <c r="J11" s="27"/>
    </row>
    <row r="12" spans="1:11" x14ac:dyDescent="0.45">
      <c r="A12" s="27"/>
      <c r="B12" s="149" t="s">
        <v>78</v>
      </c>
      <c r="C12" s="4">
        <v>688548</v>
      </c>
      <c r="D12" s="92">
        <f>-'Tap Fees'!D7</f>
        <v>0</v>
      </c>
      <c r="E12" s="317" t="s">
        <v>292</v>
      </c>
      <c r="F12" s="130"/>
      <c r="G12" s="148"/>
      <c r="H12" s="27" t="s">
        <v>286</v>
      </c>
      <c r="I12" s="27"/>
      <c r="J12" s="27"/>
    </row>
    <row r="13" spans="1:11" x14ac:dyDescent="0.45">
      <c r="A13" s="27"/>
      <c r="B13" s="149"/>
      <c r="D13" s="92">
        <f>'Wages and Benefits'!J23</f>
        <v>33792.908750000061</v>
      </c>
      <c r="E13" s="322" t="s">
        <v>293</v>
      </c>
      <c r="F13" s="130">
        <f>C12+D12+D13</f>
        <v>722340.90875000006</v>
      </c>
      <c r="G13" s="148"/>
      <c r="H13" s="27" t="s">
        <v>271</v>
      </c>
      <c r="I13" s="27"/>
      <c r="J13" s="27"/>
    </row>
    <row r="14" spans="1:11" x14ac:dyDescent="0.45">
      <c r="A14" s="27"/>
      <c r="B14" s="149" t="s">
        <v>79</v>
      </c>
      <c r="C14" s="4">
        <v>30000</v>
      </c>
      <c r="D14" s="92">
        <v>0</v>
      </c>
      <c r="E14" s="317"/>
      <c r="F14" s="130">
        <f t="shared" ref="F14:F28" si="0">C14+D14</f>
        <v>30000</v>
      </c>
      <c r="G14" s="148"/>
      <c r="H14" s="27"/>
      <c r="I14" s="27"/>
      <c r="J14" s="27"/>
    </row>
    <row r="15" spans="1:11" x14ac:dyDescent="0.45">
      <c r="A15" s="27"/>
      <c r="B15" s="149" t="s">
        <v>80</v>
      </c>
      <c r="C15" s="42">
        <v>290886</v>
      </c>
      <c r="D15" s="92">
        <f>'Wages and Benefits'!J35</f>
        <v>-16217.590470749972</v>
      </c>
      <c r="E15" s="317" t="s">
        <v>294</v>
      </c>
      <c r="F15" s="130"/>
      <c r="G15" s="148"/>
      <c r="H15" s="27" t="s">
        <v>270</v>
      </c>
      <c r="I15" s="27"/>
      <c r="J15" s="27"/>
    </row>
    <row r="16" spans="1:11" x14ac:dyDescent="0.45">
      <c r="A16" s="27"/>
      <c r="B16" s="149"/>
      <c r="C16" s="42"/>
      <c r="D16" s="92">
        <f>Medical!C26</f>
        <v>17716.269999999997</v>
      </c>
      <c r="E16" s="317" t="s">
        <v>296</v>
      </c>
      <c r="F16" s="130">
        <f>C15+D15+D16</f>
        <v>292384.67952925002</v>
      </c>
      <c r="G16" s="148"/>
      <c r="H16" s="27" t="s">
        <v>269</v>
      </c>
      <c r="I16" s="27"/>
      <c r="J16" s="27"/>
    </row>
    <row r="17" spans="1:10" x14ac:dyDescent="0.45">
      <c r="A17" s="27"/>
      <c r="B17" s="149" t="s">
        <v>81</v>
      </c>
      <c r="C17" s="150">
        <v>1472835</v>
      </c>
      <c r="D17" s="92">
        <f>'Water Loss Surcharge'!F33</f>
        <v>0</v>
      </c>
      <c r="E17" s="317"/>
      <c r="F17" s="130">
        <f t="shared" si="0"/>
        <v>1472835</v>
      </c>
      <c r="G17" s="148"/>
      <c r="H17" s="27"/>
      <c r="I17" s="27"/>
      <c r="J17" s="27"/>
    </row>
    <row r="18" spans="1:10" x14ac:dyDescent="0.45">
      <c r="A18" s="27"/>
      <c r="B18" s="149" t="s">
        <v>88</v>
      </c>
      <c r="C18" s="150">
        <v>76998</v>
      </c>
      <c r="D18" s="92">
        <f>'Water Loss Surcharge'!F34</f>
        <v>0</v>
      </c>
      <c r="E18" s="317"/>
      <c r="F18" s="130">
        <f t="shared" si="0"/>
        <v>76998</v>
      </c>
      <c r="G18" s="148"/>
      <c r="H18" s="27"/>
      <c r="I18" s="27"/>
      <c r="J18" s="27"/>
    </row>
    <row r="19" spans="1:10" x14ac:dyDescent="0.45">
      <c r="A19" s="27"/>
      <c r="B19" s="149" t="s">
        <v>77</v>
      </c>
      <c r="C19" s="150">
        <v>225936</v>
      </c>
      <c r="D19" s="92">
        <f>-'Tap Fees'!D8</f>
        <v>0</v>
      </c>
      <c r="E19" s="317" t="s">
        <v>292</v>
      </c>
      <c r="F19" s="130">
        <f t="shared" si="0"/>
        <v>225936</v>
      </c>
      <c r="G19" s="148"/>
      <c r="H19" s="27" t="s">
        <v>285</v>
      </c>
      <c r="I19" s="27"/>
      <c r="J19" s="27"/>
    </row>
    <row r="20" spans="1:10" x14ac:dyDescent="0.45">
      <c r="A20" s="27"/>
      <c r="B20" s="149" t="s">
        <v>233</v>
      </c>
      <c r="C20" s="150">
        <v>885</v>
      </c>
      <c r="D20" s="92">
        <v>0</v>
      </c>
      <c r="E20" s="317"/>
      <c r="F20" s="150">
        <v>885</v>
      </c>
      <c r="G20" s="148"/>
      <c r="H20" s="27"/>
      <c r="I20" s="27"/>
      <c r="J20" s="27"/>
    </row>
    <row r="21" spans="1:10" x14ac:dyDescent="0.45">
      <c r="A21" s="27"/>
      <c r="B21" s="149" t="s">
        <v>82</v>
      </c>
      <c r="C21" s="150">
        <v>35304</v>
      </c>
      <c r="D21" s="92">
        <f>D14*0.062</f>
        <v>0</v>
      </c>
      <c r="E21" s="317"/>
      <c r="F21" s="130">
        <f t="shared" si="0"/>
        <v>35304</v>
      </c>
      <c r="G21" s="148"/>
      <c r="H21" s="27"/>
      <c r="I21" s="27"/>
      <c r="J21" s="27"/>
    </row>
    <row r="22" spans="1:10" x14ac:dyDescent="0.45">
      <c r="A22" s="27"/>
      <c r="B22" s="149" t="s">
        <v>83</v>
      </c>
      <c r="C22" s="285">
        <v>10115</v>
      </c>
      <c r="D22" s="92">
        <f>D14*0.0145</f>
        <v>0</v>
      </c>
      <c r="E22" s="317"/>
      <c r="F22" s="130">
        <f t="shared" si="0"/>
        <v>10115</v>
      </c>
      <c r="G22" s="148"/>
      <c r="H22" s="27"/>
      <c r="I22" s="27"/>
      <c r="J22" s="27"/>
    </row>
    <row r="23" spans="1:10" x14ac:dyDescent="0.45">
      <c r="A23" s="27"/>
      <c r="B23" s="149" t="s">
        <v>234</v>
      </c>
      <c r="C23" s="4">
        <v>54530</v>
      </c>
      <c r="D23" s="92">
        <f>D14*0.035</f>
        <v>0</v>
      </c>
      <c r="E23" s="317"/>
      <c r="F23" s="130">
        <f t="shared" si="0"/>
        <v>54530</v>
      </c>
      <c r="G23" s="148"/>
      <c r="H23" s="27"/>
      <c r="I23" s="27"/>
      <c r="J23" s="27"/>
    </row>
    <row r="24" spans="1:10" x14ac:dyDescent="0.45">
      <c r="A24" s="27"/>
      <c r="B24" s="149" t="s">
        <v>84</v>
      </c>
      <c r="C24" s="150">
        <v>28721</v>
      </c>
      <c r="D24" s="92">
        <v>0</v>
      </c>
      <c r="E24" s="317"/>
      <c r="F24" s="130">
        <f t="shared" si="0"/>
        <v>28721</v>
      </c>
      <c r="G24" s="148"/>
      <c r="H24" s="27"/>
      <c r="I24" s="27"/>
      <c r="J24" s="27"/>
    </row>
    <row r="25" spans="1:10" x14ac:dyDescent="0.45">
      <c r="A25" s="27"/>
      <c r="B25" s="149" t="s">
        <v>85</v>
      </c>
      <c r="C25" s="150">
        <v>43336</v>
      </c>
      <c r="D25" s="92">
        <v>0</v>
      </c>
      <c r="E25" s="317"/>
      <c r="F25" s="130">
        <f t="shared" si="0"/>
        <v>43336</v>
      </c>
      <c r="G25" s="148"/>
      <c r="H25" s="27"/>
      <c r="I25" s="27"/>
      <c r="J25" s="27"/>
    </row>
    <row r="26" spans="1:10" x14ac:dyDescent="0.45">
      <c r="A26" s="27"/>
      <c r="B26" s="149" t="s">
        <v>86</v>
      </c>
      <c r="C26" s="150">
        <v>4573</v>
      </c>
      <c r="D26" s="92">
        <v>0</v>
      </c>
      <c r="E26" s="317"/>
      <c r="F26" s="130">
        <f t="shared" si="0"/>
        <v>4573</v>
      </c>
      <c r="G26" s="148"/>
      <c r="H26" s="27"/>
      <c r="I26" s="27"/>
      <c r="J26" s="27"/>
    </row>
    <row r="27" spans="1:10" x14ac:dyDescent="0.45">
      <c r="A27" s="27"/>
      <c r="B27" s="149" t="s">
        <v>301</v>
      </c>
      <c r="C27" s="150">
        <v>0</v>
      </c>
      <c r="D27" s="92">
        <f>'Rate Case Expenses'!B7</f>
        <v>3111.6666666666665</v>
      </c>
      <c r="E27" s="317" t="s">
        <v>298</v>
      </c>
      <c r="F27" s="130">
        <f>C27+D27</f>
        <v>3111.6666666666665</v>
      </c>
      <c r="G27" s="148"/>
      <c r="H27" s="27" t="s">
        <v>308</v>
      </c>
      <c r="I27" s="27"/>
      <c r="J27" s="27"/>
    </row>
    <row r="28" spans="1:10" x14ac:dyDescent="0.45">
      <c r="A28" s="27"/>
      <c r="B28" s="149" t="s">
        <v>87</v>
      </c>
      <c r="C28" s="287">
        <v>148000</v>
      </c>
      <c r="D28" s="52">
        <v>0</v>
      </c>
      <c r="E28" s="318"/>
      <c r="F28" s="131">
        <f t="shared" si="0"/>
        <v>148000</v>
      </c>
      <c r="G28" s="148"/>
      <c r="H28" s="27"/>
      <c r="I28" s="27"/>
      <c r="J28" s="27"/>
    </row>
    <row r="29" spans="1:10" x14ac:dyDescent="0.45">
      <c r="A29" s="116" t="s">
        <v>92</v>
      </c>
      <c r="C29" s="89">
        <f>SUM(C12:C28)</f>
        <v>3110667</v>
      </c>
      <c r="D29" s="4">
        <f>SUM(D12:D28)</f>
        <v>38403.254945916749</v>
      </c>
      <c r="F29" s="4">
        <f>SUM(F12:F28)</f>
        <v>3149070.2549459166</v>
      </c>
    </row>
    <row r="30" spans="1:10" x14ac:dyDescent="0.45">
      <c r="A30" s="116"/>
      <c r="C30" s="89"/>
      <c r="F30" s="4"/>
    </row>
    <row r="31" spans="1:10" x14ac:dyDescent="0.45">
      <c r="A31" s="116" t="s">
        <v>94</v>
      </c>
      <c r="C31" s="89"/>
      <c r="F31" s="4"/>
    </row>
    <row r="32" spans="1:10" x14ac:dyDescent="0.45">
      <c r="B32" s="4" t="s">
        <v>89</v>
      </c>
      <c r="C32" s="4">
        <v>762769</v>
      </c>
      <c r="D32" s="4">
        <f>Depreciation!F49</f>
        <v>5941.9786599999061</v>
      </c>
      <c r="E32" s="316" t="s">
        <v>297</v>
      </c>
      <c r="F32" s="130">
        <f>C32+D32</f>
        <v>768710.97865999991</v>
      </c>
      <c r="H32" s="4" t="s">
        <v>272</v>
      </c>
    </row>
    <row r="33" spans="1:10" x14ac:dyDescent="0.45">
      <c r="A33" s="116"/>
      <c r="B33" s="4" t="s">
        <v>93</v>
      </c>
      <c r="C33" s="289">
        <v>50981</v>
      </c>
      <c r="D33" s="2">
        <f>'Wages and Benefits'!J29</f>
        <v>4278.0795193750018</v>
      </c>
      <c r="E33" s="319" t="s">
        <v>295</v>
      </c>
      <c r="F33" s="2">
        <f>C33+D33</f>
        <v>55259.079519375002</v>
      </c>
      <c r="H33" s="4" t="s">
        <v>271</v>
      </c>
    </row>
    <row r="34" spans="1:10" x14ac:dyDescent="0.45">
      <c r="A34" s="116" t="s">
        <v>95</v>
      </c>
      <c r="C34" s="152">
        <f>SUM(C32:C33)</f>
        <v>813750</v>
      </c>
      <c r="D34" s="3">
        <f t="shared" ref="D34:F34" si="1">SUM(D32:D33)</f>
        <v>10220.058179374908</v>
      </c>
      <c r="E34" s="320"/>
      <c r="F34" s="3">
        <f t="shared" si="1"/>
        <v>823970.0581793749</v>
      </c>
    </row>
    <row r="35" spans="1:10" x14ac:dyDescent="0.45">
      <c r="A35" s="116"/>
      <c r="C35" s="152"/>
      <c r="D35" s="3"/>
      <c r="E35" s="320"/>
      <c r="F35" s="3"/>
    </row>
    <row r="36" spans="1:10" x14ac:dyDescent="0.45">
      <c r="A36" s="116" t="s">
        <v>96</v>
      </c>
      <c r="C36" s="152"/>
      <c r="D36" s="3"/>
      <c r="E36" s="320"/>
      <c r="F36" s="3"/>
    </row>
    <row r="37" spans="1:10" x14ac:dyDescent="0.45">
      <c r="A37" s="116"/>
      <c r="B37" s="4" t="s">
        <v>98</v>
      </c>
      <c r="C37" s="152">
        <v>48698</v>
      </c>
      <c r="D37" s="4">
        <v>0</v>
      </c>
      <c r="F37" s="89">
        <f>C37+D37</f>
        <v>48698</v>
      </c>
    </row>
    <row r="38" spans="1:10" x14ac:dyDescent="0.45">
      <c r="A38" s="116"/>
      <c r="B38" s="4" t="s">
        <v>97</v>
      </c>
      <c r="C38" s="151">
        <v>0</v>
      </c>
      <c r="D38" s="279">
        <v>0</v>
      </c>
      <c r="E38" s="318"/>
      <c r="F38" s="2">
        <f>C38+D38</f>
        <v>0</v>
      </c>
    </row>
    <row r="39" spans="1:10" x14ac:dyDescent="0.45">
      <c r="A39" s="116" t="s">
        <v>99</v>
      </c>
      <c r="C39" s="152">
        <f>SUM(C37:C38)</f>
        <v>48698</v>
      </c>
      <c r="D39" s="3">
        <f t="shared" ref="D39" si="2">SUM(D37:D38)</f>
        <v>0</v>
      </c>
      <c r="E39" s="320"/>
      <c r="F39" s="3">
        <f t="shared" ref="F39" si="3">SUM(F37:F38)</f>
        <v>48698</v>
      </c>
    </row>
    <row r="40" spans="1:10" x14ac:dyDescent="0.45">
      <c r="A40" s="116"/>
      <c r="C40" s="152"/>
      <c r="D40" s="3"/>
      <c r="E40" s="320"/>
      <c r="F40" s="3"/>
    </row>
    <row r="41" spans="1:10" ht="14.65" thickBot="1" x14ac:dyDescent="0.5">
      <c r="A41" s="116" t="s">
        <v>100</v>
      </c>
      <c r="C41" s="161">
        <f>C9-C29-C34+C39</f>
        <v>-122104</v>
      </c>
      <c r="D41" s="161">
        <f>D9-D29-D34+D39</f>
        <v>-27039.184635291625</v>
      </c>
      <c r="E41" s="321"/>
      <c r="F41" s="161">
        <f>F9-F29-F34+F39</f>
        <v>-149143.18463529146</v>
      </c>
    </row>
    <row r="42" spans="1:10" ht="14.65" thickTop="1" x14ac:dyDescent="0.45">
      <c r="A42" s="116"/>
      <c r="F42" s="4"/>
    </row>
    <row r="43" spans="1:10" x14ac:dyDescent="0.45">
      <c r="A43" s="116" t="s">
        <v>101</v>
      </c>
      <c r="F43" s="4"/>
    </row>
    <row r="44" spans="1:10" x14ac:dyDescent="0.45">
      <c r="A44" s="116"/>
      <c r="B44" s="4" t="s">
        <v>102</v>
      </c>
      <c r="C44" s="4">
        <v>-279484</v>
      </c>
      <c r="F44" s="4"/>
    </row>
    <row r="45" spans="1:10" x14ac:dyDescent="0.45">
      <c r="A45" s="116"/>
      <c r="B45" s="4" t="s">
        <v>103</v>
      </c>
      <c r="C45" s="4">
        <v>157380</v>
      </c>
      <c r="F45" s="4"/>
    </row>
    <row r="46" spans="1:10" x14ac:dyDescent="0.45">
      <c r="A46" s="116"/>
      <c r="B46" s="4" t="s">
        <v>104</v>
      </c>
      <c r="C46" s="2">
        <v>0</v>
      </c>
      <c r="F46" s="4"/>
    </row>
    <row r="47" spans="1:10" x14ac:dyDescent="0.45">
      <c r="A47" s="116" t="s">
        <v>101</v>
      </c>
      <c r="C47" s="4">
        <f>SUM(C44:C46)</f>
        <v>-122104</v>
      </c>
      <c r="D47" s="89" t="str">
        <f>IF(C47=C41,"OK","Out of Balance")</f>
        <v>OK</v>
      </c>
      <c r="F47" s="4"/>
    </row>
    <row r="48" spans="1:10" x14ac:dyDescent="0.45">
      <c r="A48" s="27"/>
      <c r="B48" s="27"/>
      <c r="C48" s="27"/>
      <c r="D48" s="27"/>
      <c r="F48" s="121"/>
      <c r="G48" s="27"/>
      <c r="H48" s="27"/>
      <c r="I48" s="27"/>
      <c r="J48" s="27"/>
    </row>
    <row r="49" spans="1:6" x14ac:dyDescent="0.45">
      <c r="A49" s="27"/>
      <c r="B49" s="27"/>
      <c r="C49" s="31">
        <f>C47-C41</f>
        <v>0</v>
      </c>
      <c r="D49" s="27"/>
      <c r="F49" s="121"/>
    </row>
    <row r="50" spans="1:6" x14ac:dyDescent="0.45">
      <c r="A50" s="30"/>
      <c r="B50" s="27"/>
      <c r="C50" s="31"/>
      <c r="D50" s="27"/>
      <c r="F50" s="121"/>
    </row>
  </sheetData>
  <mergeCells count="2">
    <mergeCell ref="A1:F1"/>
    <mergeCell ref="A2:F2"/>
  </mergeCells>
  <printOptions horizontalCentered="1" verticalCentered="1"/>
  <pageMargins left="0.45" right="0.25" top="0.5" bottom="0.5" header="0.3" footer="0.3"/>
  <pageSetup orientation="portrait" horizontalDpi="4294967293" r:id="rId1"/>
  <rowBreaks count="1" manualBreakCount="1">
    <brk id="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G33"/>
  <sheetViews>
    <sheetView showGridLines="0" workbookViewId="0">
      <selection sqref="A1:I34"/>
    </sheetView>
  </sheetViews>
  <sheetFormatPr defaultColWidth="8.83203125" defaultRowHeight="14.25" x14ac:dyDescent="0.45"/>
  <cols>
    <col min="1" max="1" width="2.83203125" style="13" customWidth="1"/>
    <col min="2" max="2" width="2.609375" style="13" customWidth="1"/>
    <col min="3" max="3" width="30.5546875" style="26" customWidth="1"/>
    <col min="4" max="4" width="9.38671875" style="15" bestFit="1" customWidth="1"/>
    <col min="5" max="5" width="9.609375" style="15" customWidth="1"/>
    <col min="6" max="7" width="9.609375" style="26" customWidth="1"/>
    <col min="8" max="8" width="2.609375" style="13" customWidth="1"/>
    <col min="9" max="9" width="2" style="13" customWidth="1"/>
    <col min="10" max="10" width="9.609375" style="36" customWidth="1"/>
    <col min="11" max="189" width="9.609375" style="13" customWidth="1"/>
    <col min="190" max="16384" width="8.83203125" style="9"/>
  </cols>
  <sheetData>
    <row r="2" spans="2:10" ht="6" customHeight="1" x14ac:dyDescent="0.45">
      <c r="B2" s="83"/>
      <c r="C2" s="85"/>
      <c r="D2" s="86"/>
      <c r="E2" s="86"/>
      <c r="F2" s="85"/>
      <c r="G2" s="85"/>
      <c r="H2" s="84"/>
    </row>
    <row r="3" spans="2:10" ht="18" hidden="1" customHeight="1" x14ac:dyDescent="0.65">
      <c r="B3" s="422" t="s">
        <v>206</v>
      </c>
      <c r="C3" s="423"/>
      <c r="D3" s="423"/>
      <c r="E3" s="423"/>
      <c r="F3" s="423"/>
      <c r="G3" s="423"/>
      <c r="H3" s="424"/>
    </row>
    <row r="4" spans="2:10" ht="21" x14ac:dyDescent="0.65">
      <c r="B4" s="426" t="s">
        <v>12</v>
      </c>
      <c r="C4" s="427"/>
      <c r="D4" s="427"/>
      <c r="E4" s="427"/>
      <c r="F4" s="427"/>
      <c r="G4" s="427"/>
      <c r="H4" s="428"/>
    </row>
    <row r="5" spans="2:10" ht="21" hidden="1" x14ac:dyDescent="0.65">
      <c r="B5" s="382"/>
      <c r="C5" s="385"/>
      <c r="D5" s="386" t="s">
        <v>305</v>
      </c>
      <c r="E5" s="383"/>
      <c r="F5" s="383"/>
      <c r="G5" s="383"/>
      <c r="H5" s="384"/>
    </row>
    <row r="6" spans="2:10" ht="18" customHeight="1" x14ac:dyDescent="0.45">
      <c r="B6" s="429" t="s">
        <v>219</v>
      </c>
      <c r="C6" s="430"/>
      <c r="D6" s="430"/>
      <c r="E6" s="430"/>
      <c r="F6" s="430"/>
      <c r="G6" s="430"/>
      <c r="H6" s="431"/>
    </row>
    <row r="7" spans="2:10" ht="6" customHeight="1" x14ac:dyDescent="0.45">
      <c r="B7" s="37"/>
      <c r="H7" s="38"/>
    </row>
    <row r="8" spans="2:10" ht="8" customHeight="1" x14ac:dyDescent="0.45">
      <c r="B8" s="83"/>
      <c r="C8" s="85"/>
      <c r="D8" s="86"/>
      <c r="E8" s="86"/>
      <c r="F8" s="85"/>
      <c r="G8" s="85"/>
      <c r="H8" s="84"/>
    </row>
    <row r="9" spans="2:10" ht="19.5" x14ac:dyDescent="0.75">
      <c r="B9" s="37"/>
      <c r="C9" s="14" t="s">
        <v>56</v>
      </c>
      <c r="D9" s="82" t="s">
        <v>13</v>
      </c>
      <c r="E9" s="82" t="s">
        <v>0</v>
      </c>
      <c r="F9" s="425" t="s">
        <v>17</v>
      </c>
      <c r="G9" s="425"/>
      <c r="H9" s="40"/>
      <c r="J9" s="45"/>
    </row>
    <row r="10" spans="2:10" ht="18" x14ac:dyDescent="0.55000000000000004">
      <c r="B10" s="97"/>
      <c r="C10" s="98" t="s">
        <v>71</v>
      </c>
      <c r="D10" s="99">
        <v>24.73</v>
      </c>
      <c r="E10" s="100">
        <f>ROUND(D10*(1+'Revenue Requirement'!$F$19),2)</f>
        <v>31.75</v>
      </c>
      <c r="F10" s="99">
        <f t="shared" ref="F10:F14" si="0">E10-D10</f>
        <v>7.02</v>
      </c>
      <c r="G10" s="101">
        <f t="shared" ref="G10:G14" si="1">F10/D10</f>
        <v>0.28386575010109177</v>
      </c>
      <c r="H10" s="102"/>
      <c r="J10" s="44"/>
    </row>
    <row r="11" spans="2:10" ht="18" x14ac:dyDescent="0.55000000000000004">
      <c r="B11" s="97"/>
      <c r="C11" s="98" t="s">
        <v>147</v>
      </c>
      <c r="D11" s="232">
        <v>1.2019999999999999E-2</v>
      </c>
      <c r="E11" s="233">
        <f>ROUND(D11*(1+'Revenue Requirement'!$F$19),5)</f>
        <v>1.5429999999999999E-2</v>
      </c>
      <c r="F11" s="232">
        <f t="shared" si="0"/>
        <v>3.4099999999999998E-3</v>
      </c>
      <c r="G11" s="101">
        <f t="shared" si="1"/>
        <v>0.28369384359401001</v>
      </c>
      <c r="H11" s="102"/>
      <c r="J11" s="44"/>
    </row>
    <row r="12" spans="2:10" ht="18" x14ac:dyDescent="0.55000000000000004">
      <c r="B12" s="97"/>
      <c r="C12" s="98" t="s">
        <v>224</v>
      </c>
      <c r="D12" s="232">
        <v>1.162E-2</v>
      </c>
      <c r="E12" s="233">
        <f>ROUND(D12*(1+'Revenue Requirement'!$F$19),5)</f>
        <v>1.4919999999999999E-2</v>
      </c>
      <c r="F12" s="232">
        <f t="shared" ref="F12" si="2">E12-D12</f>
        <v>3.2999999999999991E-3</v>
      </c>
      <c r="G12" s="101">
        <f t="shared" ref="G12" si="3">F12/D12</f>
        <v>0.28399311531841642</v>
      </c>
      <c r="H12" s="102"/>
      <c r="J12" s="44"/>
    </row>
    <row r="13" spans="2:10" ht="18" x14ac:dyDescent="0.55000000000000004">
      <c r="B13" s="97"/>
      <c r="C13" s="98" t="s">
        <v>225</v>
      </c>
      <c r="D13" s="232">
        <v>1.072E-2</v>
      </c>
      <c r="E13" s="233">
        <f>ROUND(D13*(1+'Revenue Requirement'!$F$19),5)</f>
        <v>1.376E-2</v>
      </c>
      <c r="F13" s="232">
        <f t="shared" si="0"/>
        <v>3.0399999999999993E-3</v>
      </c>
      <c r="G13" s="101">
        <f t="shared" si="1"/>
        <v>0.28358208955223874</v>
      </c>
      <c r="H13" s="102"/>
      <c r="J13" s="44"/>
    </row>
    <row r="14" spans="2:10" ht="18" x14ac:dyDescent="0.55000000000000004">
      <c r="B14" s="97"/>
      <c r="C14" s="98" t="s">
        <v>226</v>
      </c>
      <c r="D14" s="232">
        <v>9.4500000000000001E-3</v>
      </c>
      <c r="E14" s="233">
        <f>ROUND(D14*(1+'Revenue Requirement'!$F$19),5)</f>
        <v>1.213E-2</v>
      </c>
      <c r="F14" s="232">
        <f t="shared" si="0"/>
        <v>2.6800000000000001E-3</v>
      </c>
      <c r="G14" s="101">
        <f t="shared" si="1"/>
        <v>0.28359788359788363</v>
      </c>
      <c r="H14" s="102"/>
      <c r="J14" s="44"/>
    </row>
    <row r="15" spans="2:10" ht="8" customHeight="1" x14ac:dyDescent="0.55000000000000004">
      <c r="B15" s="103"/>
      <c r="C15" s="104"/>
      <c r="D15" s="104"/>
      <c r="E15" s="105"/>
      <c r="F15" s="104"/>
      <c r="G15" s="106"/>
      <c r="H15" s="107"/>
    </row>
    <row r="16" spans="2:10" ht="8" customHeight="1" x14ac:dyDescent="0.55000000000000004">
      <c r="B16" s="108"/>
      <c r="C16" s="99"/>
      <c r="D16" s="99"/>
      <c r="E16" s="100"/>
      <c r="F16" s="99"/>
      <c r="G16" s="101"/>
      <c r="H16" s="102"/>
    </row>
    <row r="17" spans="2:8" ht="18" customHeight="1" x14ac:dyDescent="0.55000000000000004">
      <c r="B17" s="418" t="s">
        <v>227</v>
      </c>
      <c r="C17" s="419"/>
      <c r="D17" s="419"/>
      <c r="E17" s="419"/>
      <c r="F17" s="419"/>
      <c r="G17" s="419"/>
      <c r="H17" s="420"/>
    </row>
    <row r="18" spans="2:8" ht="9" customHeight="1" x14ac:dyDescent="0.55000000000000004">
      <c r="B18" s="109"/>
      <c r="C18" s="110"/>
      <c r="D18" s="110"/>
      <c r="E18" s="110"/>
      <c r="F18" s="110"/>
      <c r="G18" s="110"/>
      <c r="H18" s="102"/>
    </row>
    <row r="19" spans="2:8" ht="18" customHeight="1" x14ac:dyDescent="0.75">
      <c r="B19" s="97"/>
      <c r="C19" s="111" t="s">
        <v>56</v>
      </c>
      <c r="D19" s="112" t="s">
        <v>13</v>
      </c>
      <c r="E19" s="112" t="s">
        <v>0</v>
      </c>
      <c r="F19" s="421" t="s">
        <v>17</v>
      </c>
      <c r="G19" s="421"/>
      <c r="H19" s="102"/>
    </row>
    <row r="20" spans="2:8" ht="18" x14ac:dyDescent="0.55000000000000004">
      <c r="B20" s="108"/>
      <c r="C20" s="98" t="s">
        <v>228</v>
      </c>
      <c r="D20" s="232">
        <v>8.8599999999999998E-3</v>
      </c>
      <c r="E20" s="233">
        <f>ROUND(D20*(1+'Revenue Requirement'!$F$19),5)</f>
        <v>1.1379999999999999E-2</v>
      </c>
      <c r="F20" s="232">
        <f t="shared" ref="F20" si="4">E20-D20</f>
        <v>2.5199999999999997E-3</v>
      </c>
      <c r="G20" s="101">
        <f t="shared" ref="G20" si="5">F20/D20</f>
        <v>0.28442437923250563</v>
      </c>
      <c r="H20" s="102"/>
    </row>
    <row r="21" spans="2:8" ht="7.9" customHeight="1" x14ac:dyDescent="0.55000000000000004">
      <c r="B21" s="103"/>
      <c r="C21" s="104"/>
      <c r="D21" s="104"/>
      <c r="E21" s="105"/>
      <c r="F21" s="104"/>
      <c r="G21" s="106"/>
      <c r="H21" s="107"/>
    </row>
    <row r="22" spans="2:8" ht="7.9" customHeight="1" x14ac:dyDescent="0.45">
      <c r="B22" s="83"/>
      <c r="H22" s="84"/>
    </row>
    <row r="23" spans="2:8" ht="18" x14ac:dyDescent="0.55000000000000004">
      <c r="B23" s="418" t="s">
        <v>229</v>
      </c>
      <c r="C23" s="419"/>
      <c r="D23" s="419"/>
      <c r="E23" s="419"/>
      <c r="F23" s="419"/>
      <c r="G23" s="419"/>
      <c r="H23" s="420"/>
    </row>
    <row r="24" spans="2:8" ht="7.9" customHeight="1" x14ac:dyDescent="0.55000000000000004">
      <c r="B24" s="109"/>
      <c r="C24" s="110"/>
      <c r="D24" s="110"/>
      <c r="E24" s="110"/>
      <c r="F24" s="110"/>
      <c r="G24" s="110"/>
      <c r="H24" s="102"/>
    </row>
    <row r="25" spans="2:8" ht="19.5" x14ac:dyDescent="0.75">
      <c r="B25" s="97"/>
      <c r="C25" s="111" t="s">
        <v>56</v>
      </c>
      <c r="D25" s="112" t="s">
        <v>13</v>
      </c>
      <c r="E25" s="112" t="s">
        <v>0</v>
      </c>
      <c r="F25" s="421" t="s">
        <v>17</v>
      </c>
      <c r="G25" s="421"/>
      <c r="H25" s="102"/>
    </row>
    <row r="26" spans="2:8" ht="18" x14ac:dyDescent="0.55000000000000004">
      <c r="B26" s="108"/>
      <c r="C26" s="98" t="s">
        <v>228</v>
      </c>
      <c r="D26" s="232">
        <v>6.3600000000000002E-3</v>
      </c>
      <c r="E26" s="233">
        <f>ROUND(D26*(1+'Revenue Requirement'!$F$19),5)</f>
        <v>8.1700000000000002E-3</v>
      </c>
      <c r="F26" s="232">
        <f t="shared" ref="F26" si="6">E26-D26</f>
        <v>1.81E-3</v>
      </c>
      <c r="G26" s="101">
        <f t="shared" ref="G26" si="7">F26/D26</f>
        <v>0.28459119496855345</v>
      </c>
      <c r="H26" s="102"/>
    </row>
    <row r="27" spans="2:8" ht="7.9" customHeight="1" x14ac:dyDescent="0.55000000000000004">
      <c r="B27" s="103"/>
      <c r="C27" s="104"/>
      <c r="D27" s="104"/>
      <c r="E27" s="105"/>
      <c r="F27" s="104"/>
      <c r="G27" s="106"/>
      <c r="H27" s="107"/>
    </row>
    <row r="28" spans="2:8" ht="7.9" customHeight="1" x14ac:dyDescent="0.45">
      <c r="B28" s="83"/>
      <c r="H28" s="84"/>
    </row>
    <row r="29" spans="2:8" ht="18" x14ac:dyDescent="0.55000000000000004">
      <c r="B29" s="418" t="s">
        <v>230</v>
      </c>
      <c r="C29" s="419"/>
      <c r="D29" s="419"/>
      <c r="E29" s="419"/>
      <c r="F29" s="419"/>
      <c r="G29" s="419"/>
      <c r="H29" s="420"/>
    </row>
    <row r="30" spans="2:8" ht="7.9" customHeight="1" x14ac:dyDescent="0.55000000000000004">
      <c r="B30" s="109"/>
      <c r="C30" s="110"/>
      <c r="D30" s="110"/>
      <c r="E30" s="110"/>
      <c r="F30" s="110"/>
      <c r="G30" s="110"/>
      <c r="H30" s="102"/>
    </row>
    <row r="31" spans="2:8" ht="19.5" x14ac:dyDescent="0.75">
      <c r="B31" s="97"/>
      <c r="C31" s="111" t="s">
        <v>56</v>
      </c>
      <c r="D31" s="112" t="s">
        <v>13</v>
      </c>
      <c r="E31" s="112" t="s">
        <v>0</v>
      </c>
      <c r="F31" s="421" t="s">
        <v>17</v>
      </c>
      <c r="G31" s="421"/>
      <c r="H31" s="102"/>
    </row>
    <row r="32" spans="2:8" ht="18" x14ac:dyDescent="0.55000000000000004">
      <c r="B32" s="108"/>
      <c r="C32" s="98" t="s">
        <v>228</v>
      </c>
      <c r="D32" s="232">
        <v>6.5100000000000002E-3</v>
      </c>
      <c r="E32" s="233">
        <f>ROUND(D32*(1+'Revenue Requirement'!$F$19),5)</f>
        <v>8.3599999999999994E-3</v>
      </c>
      <c r="F32" s="232">
        <f>E32-D32</f>
        <v>1.8499999999999992E-3</v>
      </c>
      <c r="G32" s="101">
        <f t="shared" ref="G32" si="8">F32/D32</f>
        <v>0.28417818740399375</v>
      </c>
      <c r="H32" s="102"/>
    </row>
    <row r="33" spans="2:8" ht="7.9" customHeight="1" x14ac:dyDescent="0.55000000000000004">
      <c r="B33" s="103"/>
      <c r="C33" s="104"/>
      <c r="D33" s="104"/>
      <c r="E33" s="105"/>
      <c r="F33" s="104"/>
      <c r="G33" s="106"/>
      <c r="H33" s="107"/>
    </row>
  </sheetData>
  <mergeCells count="10">
    <mergeCell ref="B29:H29"/>
    <mergeCell ref="F31:G31"/>
    <mergeCell ref="B23:H23"/>
    <mergeCell ref="F25:G25"/>
    <mergeCell ref="B3:H3"/>
    <mergeCell ref="F9:G9"/>
    <mergeCell ref="B17:H17"/>
    <mergeCell ref="F19:G19"/>
    <mergeCell ref="B4:H4"/>
    <mergeCell ref="B6:H6"/>
  </mergeCells>
  <printOptions horizontalCentered="1" verticalCentered="1"/>
  <pageMargins left="0.7" right="0.7" top="0.75" bottom="0.75" header="0.3" footer="0.3"/>
  <pageSetup scale="96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N43"/>
  <sheetViews>
    <sheetView showGridLines="0" zoomScale="99" zoomScaleNormal="99" workbookViewId="0">
      <selection activeCell="I44" sqref="A1:I44"/>
    </sheetView>
  </sheetViews>
  <sheetFormatPr defaultColWidth="8.83203125" defaultRowHeight="14.25" x14ac:dyDescent="0.45"/>
  <cols>
    <col min="1" max="1" width="3.0546875" style="4" customWidth="1"/>
    <col min="2" max="2" width="1.83203125" style="4" customWidth="1"/>
    <col min="3" max="3" width="9.83203125" style="4" customWidth="1"/>
    <col min="4" max="6" width="9.83203125" style="39" customWidth="1"/>
    <col min="7" max="7" width="9.83203125" style="4" customWidth="1"/>
    <col min="8" max="8" width="1.83203125" style="4" customWidth="1"/>
    <col min="9" max="9" width="2.83203125" style="4" customWidth="1"/>
    <col min="10" max="16384" width="8.83203125" style="4"/>
  </cols>
  <sheetData>
    <row r="1" spans="2:10" ht="20" customHeight="1" x14ac:dyDescent="0.45"/>
    <row r="2" spans="2:10" ht="6" customHeight="1" x14ac:dyDescent="0.45">
      <c r="B2" s="356"/>
      <c r="C2" s="145"/>
      <c r="D2" s="147"/>
      <c r="E2" s="147"/>
      <c r="F2" s="147"/>
      <c r="G2" s="145"/>
      <c r="H2" s="357"/>
    </row>
    <row r="3" spans="2:10" ht="20" customHeight="1" x14ac:dyDescent="0.55000000000000004">
      <c r="B3" s="435" t="s">
        <v>53</v>
      </c>
      <c r="C3" s="436"/>
      <c r="D3" s="436"/>
      <c r="E3" s="436"/>
      <c r="F3" s="436"/>
      <c r="G3" s="436"/>
      <c r="H3" s="437"/>
    </row>
    <row r="4" spans="2:10" ht="18" x14ac:dyDescent="0.55000000000000004">
      <c r="B4" s="438" t="s">
        <v>54</v>
      </c>
      <c r="C4" s="439"/>
      <c r="D4" s="439"/>
      <c r="E4" s="439"/>
      <c r="F4" s="439"/>
      <c r="G4" s="439"/>
      <c r="H4" s="440"/>
    </row>
    <row r="5" spans="2:10" ht="15.75" x14ac:dyDescent="0.45">
      <c r="B5" s="441" t="s">
        <v>219</v>
      </c>
      <c r="C5" s="442"/>
      <c r="D5" s="442"/>
      <c r="E5" s="442"/>
      <c r="F5" s="442"/>
      <c r="G5" s="442"/>
      <c r="H5" s="443"/>
    </row>
    <row r="6" spans="2:10" ht="6" customHeight="1" x14ac:dyDescent="0.45">
      <c r="B6" s="340"/>
      <c r="C6" s="341"/>
      <c r="D6" s="342"/>
      <c r="E6" s="342"/>
      <c r="F6" s="342"/>
      <c r="G6" s="341"/>
      <c r="H6" s="343"/>
    </row>
    <row r="7" spans="2:10" ht="6" customHeight="1" x14ac:dyDescent="0.45">
      <c r="B7" s="5"/>
      <c r="C7" s="6"/>
      <c r="D7" s="136"/>
      <c r="E7" s="135"/>
      <c r="F7" s="135"/>
      <c r="G7" s="20"/>
      <c r="H7" s="21"/>
      <c r="I7" s="19"/>
      <c r="J7" s="19"/>
    </row>
    <row r="8" spans="2:10" ht="16.5" x14ac:dyDescent="0.75">
      <c r="B8" s="5"/>
      <c r="C8" s="18" t="s">
        <v>2</v>
      </c>
      <c r="D8" s="137" t="s">
        <v>4</v>
      </c>
      <c r="E8" s="142" t="s">
        <v>0</v>
      </c>
      <c r="F8" s="142"/>
      <c r="G8" s="8"/>
      <c r="H8" s="18"/>
    </row>
    <row r="9" spans="2:10" ht="16.5" x14ac:dyDescent="0.75">
      <c r="B9" s="5"/>
      <c r="C9" s="18" t="s">
        <v>57</v>
      </c>
      <c r="D9" s="137" t="s">
        <v>18</v>
      </c>
      <c r="E9" s="142" t="s">
        <v>18</v>
      </c>
      <c r="F9" s="142" t="s">
        <v>5</v>
      </c>
      <c r="G9" s="8" t="s">
        <v>19</v>
      </c>
      <c r="H9" s="18"/>
    </row>
    <row r="10" spans="2:10" x14ac:dyDescent="0.45">
      <c r="B10" s="5"/>
      <c r="C10" s="9">
        <v>0</v>
      </c>
      <c r="D10" s="138">
        <f>Rates!D10</f>
        <v>24.73</v>
      </c>
      <c r="E10" s="138">
        <f>Rates!E10</f>
        <v>31.75</v>
      </c>
      <c r="F10" s="25">
        <f>E10-D10</f>
        <v>7.02</v>
      </c>
      <c r="G10" s="32">
        <f>F10/D10</f>
        <v>0.28386575010109177</v>
      </c>
      <c r="H10" s="22"/>
    </row>
    <row r="11" spans="2:10" x14ac:dyDescent="0.45">
      <c r="B11" s="5"/>
      <c r="C11" s="3">
        <v>2000</v>
      </c>
      <c r="D11" s="138">
        <f>Rates!D10</f>
        <v>24.73</v>
      </c>
      <c r="E11" s="138">
        <f>Rates!E10</f>
        <v>31.75</v>
      </c>
      <c r="F11" s="25">
        <f t="shared" ref="F11:F16" si="0">E11-D11</f>
        <v>7.02</v>
      </c>
      <c r="G11" s="32">
        <f t="shared" ref="G11:G26" si="1">F11/D11</f>
        <v>0.28386575010109177</v>
      </c>
      <c r="H11" s="22"/>
    </row>
    <row r="12" spans="2:10" x14ac:dyDescent="0.45">
      <c r="B12" s="128"/>
      <c r="C12" s="367">
        <f>'Existing Billing Analysis'!P23</f>
        <v>3810</v>
      </c>
      <c r="D12" s="139">
        <f>Rates!D$10+((Bills!$C12-2000)*Rates!D$11)</f>
        <v>46.486199999999997</v>
      </c>
      <c r="E12" s="139">
        <f>Rates!E$10+((Bills!$C12-2000)*Rates!E$11)</f>
        <v>59.6783</v>
      </c>
      <c r="F12" s="358">
        <f t="shared" si="0"/>
        <v>13.192100000000003</v>
      </c>
      <c r="G12" s="33">
        <f t="shared" si="1"/>
        <v>0.28378529542100678</v>
      </c>
      <c r="H12" s="23"/>
    </row>
    <row r="13" spans="2:10" x14ac:dyDescent="0.45">
      <c r="B13" s="359"/>
      <c r="C13" s="360">
        <v>4000</v>
      </c>
      <c r="D13" s="140">
        <f>Rates!D$10+((Bills!$C13-2000)*Rates!D$11)</f>
        <v>48.769999999999996</v>
      </c>
      <c r="E13" s="140">
        <f>Rates!E$10+((Bills!$C13-2000)*Rates!E$11)</f>
        <v>62.61</v>
      </c>
      <c r="F13" s="355">
        <f t="shared" ref="F13" si="2">E13-D13</f>
        <v>13.840000000000003</v>
      </c>
      <c r="G13" s="361">
        <f t="shared" ref="G13" si="3">F13/D13</f>
        <v>0.28378101291777741</v>
      </c>
      <c r="H13" s="362"/>
    </row>
    <row r="14" spans="2:10" x14ac:dyDescent="0.45">
      <c r="B14" s="5"/>
      <c r="C14" s="3">
        <v>6000</v>
      </c>
      <c r="D14" s="140">
        <f>Rates!D$10+((Bills!$C14-2000)*Rates!D$11)</f>
        <v>72.81</v>
      </c>
      <c r="E14" s="140">
        <f>Rates!E$10+((Bills!$C14-2000)*Rates!E$11)</f>
        <v>93.47</v>
      </c>
      <c r="F14" s="355">
        <f t="shared" ref="F14" si="4">E14-D14</f>
        <v>20.659999999999997</v>
      </c>
      <c r="G14" s="32">
        <f t="shared" si="1"/>
        <v>0.28375223183628617</v>
      </c>
      <c r="H14" s="22"/>
    </row>
    <row r="15" spans="2:10" x14ac:dyDescent="0.45">
      <c r="B15" s="5"/>
      <c r="C15" s="3">
        <v>8000</v>
      </c>
      <c r="D15" s="140">
        <f>Rates!D$10+(5000*Rates!D$11)+((Bills!$C15-7000)*Rates!D$12)</f>
        <v>96.45</v>
      </c>
      <c r="E15" s="140">
        <f>Rates!E$10+(5000*Rates!E$11)+((Bills!$C15-7000)*Rates!E$12)</f>
        <v>123.82</v>
      </c>
      <c r="F15" s="25">
        <f t="shared" si="0"/>
        <v>27.36999999999999</v>
      </c>
      <c r="G15" s="32">
        <f t="shared" si="1"/>
        <v>0.28377397615344729</v>
      </c>
      <c r="H15" s="22"/>
    </row>
    <row r="16" spans="2:10" x14ac:dyDescent="0.45">
      <c r="B16" s="5"/>
      <c r="C16" s="3">
        <v>10000</v>
      </c>
      <c r="D16" s="140">
        <f>Rates!D$10+(5000*Rates!D$11)+((Bills!$C16-7000)*Rates!D$12)</f>
        <v>119.69</v>
      </c>
      <c r="E16" s="140">
        <f>Rates!E$10+(5000*Rates!E$11)+((Bills!$C16-7000)*Rates!E$12)</f>
        <v>153.66</v>
      </c>
      <c r="F16" s="25">
        <f t="shared" si="0"/>
        <v>33.97</v>
      </c>
      <c r="G16" s="32">
        <f t="shared" si="1"/>
        <v>0.28381652602556606</v>
      </c>
      <c r="H16" s="22"/>
    </row>
    <row r="17" spans="2:14" x14ac:dyDescent="0.45">
      <c r="B17" s="5"/>
      <c r="C17" s="3">
        <v>15000</v>
      </c>
      <c r="D17" s="140">
        <f>Rates!D$10+(5000*Rates!D$11)+((Bills!$C17-7000)*Rates!D$12)</f>
        <v>177.79000000000002</v>
      </c>
      <c r="E17" s="140">
        <f>Rates!E$10+(5000*Rates!E$11)+((Bills!$C17-7000)*Rates!E$12)</f>
        <v>228.26</v>
      </c>
      <c r="F17" s="25">
        <f>E17-D17</f>
        <v>50.46999999999997</v>
      </c>
      <c r="G17" s="32">
        <f>F17/D17</f>
        <v>0.2838742336464366</v>
      </c>
      <c r="H17" s="22"/>
    </row>
    <row r="18" spans="2:14" x14ac:dyDescent="0.45">
      <c r="B18" s="5"/>
      <c r="C18" s="3">
        <v>20000</v>
      </c>
      <c r="D18" s="140">
        <f>Rates!D$10+(5000*Rates!D$11)+(10000*Rates!D$12)+((Bills!$C18-17000)*Rates!D$13)</f>
        <v>233.19</v>
      </c>
      <c r="E18" s="140">
        <f>Rates!E$10+(5000*Rates!E$11)+(10000*Rates!E$12)+((Bills!$C18-17000)*Rates!E$13)</f>
        <v>299.38</v>
      </c>
      <c r="F18" s="25">
        <f>E18-D18</f>
        <v>66.19</v>
      </c>
      <c r="G18" s="32">
        <f>F18/D18</f>
        <v>0.2838457909858913</v>
      </c>
      <c r="H18" s="22"/>
    </row>
    <row r="19" spans="2:14" x14ac:dyDescent="0.45">
      <c r="B19" s="5"/>
      <c r="C19" s="3">
        <v>25000</v>
      </c>
      <c r="D19" s="140">
        <f>Rates!D$10+(5000*Rates!D$11)+(10000*Rates!D$12)+((Bills!$C19-17000)*Rates!D$13)</f>
        <v>286.79000000000002</v>
      </c>
      <c r="E19" s="140">
        <f>Rates!E$10+(5000*Rates!E$11)+(10000*Rates!E$12)+((Bills!$C19-17000)*Rates!E$13)</f>
        <v>368.17999999999995</v>
      </c>
      <c r="F19" s="25">
        <f>E19-D19</f>
        <v>81.38999999999993</v>
      </c>
      <c r="G19" s="32">
        <f>F19/D19</f>
        <v>0.28379650615432866</v>
      </c>
      <c r="H19" s="22"/>
    </row>
    <row r="20" spans="2:14" x14ac:dyDescent="0.45">
      <c r="B20" s="5"/>
      <c r="C20" s="3">
        <v>30000</v>
      </c>
      <c r="D20" s="140">
        <f>Rates!D$10+(5000*Rates!D$11)+(10000*Rates!D$12)+((Bills!$C20-17000)*Rates!D$13)</f>
        <v>340.39</v>
      </c>
      <c r="E20" s="140">
        <f>Rates!E$10+(5000*Rates!E$11)+(10000*Rates!E$12)+((Bills!$C20-17000)*Rates!E$13)</f>
        <v>436.97999999999996</v>
      </c>
      <c r="F20" s="25">
        <f>E20-D20</f>
        <v>96.589999999999975</v>
      </c>
      <c r="G20" s="32">
        <f>F20/D20</f>
        <v>0.28376274273627305</v>
      </c>
      <c r="H20" s="22"/>
      <c r="N20" s="3"/>
    </row>
    <row r="21" spans="2:14" x14ac:dyDescent="0.45">
      <c r="B21" s="5"/>
      <c r="C21" s="3">
        <v>40000</v>
      </c>
      <c r="D21" s="140">
        <f>Rates!D$10+(5000*Rates!D$11)+(10000*Rates!D$12)+(20000*Rates!D$13)+((Bills!$C21-37000)*Rates!D$14)</f>
        <v>443.78000000000003</v>
      </c>
      <c r="E21" s="140">
        <f>Rates!E$10+(5000*Rates!E$11)+(10000*Rates!E$12)+(20000*Rates!E$13)+((Bills!$C21-37000)*Rates!E$14)</f>
        <v>569.68999999999994</v>
      </c>
      <c r="F21" s="25">
        <f>E21-D21</f>
        <v>125.90999999999991</v>
      </c>
      <c r="G21" s="32">
        <f>F21/D21</f>
        <v>0.28372166388751163</v>
      </c>
      <c r="H21" s="22"/>
    </row>
    <row r="22" spans="2:14" x14ac:dyDescent="0.45">
      <c r="B22" s="5"/>
      <c r="C22" s="3">
        <v>50000</v>
      </c>
      <c r="D22" s="140">
        <f>Rates!D$10+(5000*Rates!D$11)+(10000*Rates!D$12)+(20000*Rates!D$13)+((Bills!$C22-37000)*Rates!D$14)</f>
        <v>538.28</v>
      </c>
      <c r="E22" s="140">
        <f>Rates!E$10+(5000*Rates!E$11)+(10000*Rates!E$12)+(20000*Rates!E$13)+((Bills!$C22-37000)*Rates!E$14)</f>
        <v>690.99</v>
      </c>
      <c r="F22" s="25">
        <f t="shared" ref="F22:F26" si="5">E22-D22</f>
        <v>152.71000000000004</v>
      </c>
      <c r="G22" s="32">
        <f t="shared" si="1"/>
        <v>0.28369993312030922</v>
      </c>
      <c r="H22" s="22"/>
    </row>
    <row r="23" spans="2:14" x14ac:dyDescent="0.45">
      <c r="B23" s="5"/>
      <c r="C23" s="3">
        <v>75000</v>
      </c>
      <c r="D23" s="140">
        <f>Rates!D$10+(5000*Rates!D$11)+(10000*Rates!D$12)+(20000*Rates!D$13)+((Bills!$C23-37000)*Rates!D$14)</f>
        <v>774.53</v>
      </c>
      <c r="E23" s="140">
        <f>Rates!E$10+(5000*Rates!E$11)+(10000*Rates!E$12)+(20000*Rates!E$13)+((Bills!$C23-37000)*Rates!E$14)</f>
        <v>994.24</v>
      </c>
      <c r="F23" s="25">
        <f t="shared" si="5"/>
        <v>219.71000000000004</v>
      </c>
      <c r="G23" s="32">
        <f t="shared" si="1"/>
        <v>0.28366880559823382</v>
      </c>
      <c r="H23" s="22"/>
    </row>
    <row r="24" spans="2:14" x14ac:dyDescent="0.45">
      <c r="B24" s="5"/>
      <c r="C24" s="3">
        <v>100000</v>
      </c>
      <c r="D24" s="140">
        <f>Rates!D$10+(5000*Rates!D$11)+(10000*Rates!D$12)+(20000*Rates!D$13)+((Bills!$C24-37000)*Rates!D$14)</f>
        <v>1010.78</v>
      </c>
      <c r="E24" s="140">
        <f>Rates!E$10+(5000*Rates!E$11)+(10000*Rates!E$12)+(20000*Rates!E$13)+((Bills!$C24-37000)*Rates!E$14)</f>
        <v>1297.49</v>
      </c>
      <c r="F24" s="25">
        <f t="shared" si="5"/>
        <v>286.71000000000004</v>
      </c>
      <c r="G24" s="32">
        <f t="shared" si="1"/>
        <v>0.28365222897168529</v>
      </c>
      <c r="H24" s="22"/>
    </row>
    <row r="25" spans="2:14" x14ac:dyDescent="0.45">
      <c r="B25" s="5"/>
      <c r="C25" s="3">
        <v>200000</v>
      </c>
      <c r="D25" s="140">
        <f>Rates!D$10+(5000*Rates!D$11)+(10000*Rates!D$12)+(20000*Rates!D$13)+((Bills!$C25-37000)*Rates!D$14)</f>
        <v>1955.78</v>
      </c>
      <c r="E25" s="140">
        <f>Rates!E$10+(5000*Rates!E$11)+(10000*Rates!E$12)+(20000*Rates!E$13)+((Bills!$C25-37000)*Rates!E$14)</f>
        <v>2510.4899999999998</v>
      </c>
      <c r="F25" s="25">
        <f t="shared" si="5"/>
        <v>554.70999999999981</v>
      </c>
      <c r="G25" s="32">
        <f t="shared" si="1"/>
        <v>0.28362597020114727</v>
      </c>
      <c r="H25" s="22"/>
    </row>
    <row r="26" spans="2:14" x14ac:dyDescent="0.45">
      <c r="B26" s="5"/>
      <c r="C26" s="3">
        <v>500000</v>
      </c>
      <c r="D26" s="140">
        <f>Rates!D$10+(5000*Rates!D$11)+(10000*Rates!D$12)+(20000*Rates!D$13)+((Bills!$C26-37000)*Rates!D$14)</f>
        <v>4790.7800000000007</v>
      </c>
      <c r="E26" s="140">
        <f>Rates!E$10+(5000*Rates!E$11)+(10000*Rates!E$12)+(20000*Rates!E$13)+((Bills!$C26-37000)*Rates!E$14)</f>
        <v>6149.4900000000007</v>
      </c>
      <c r="F26" s="25">
        <f t="shared" si="5"/>
        <v>1358.71</v>
      </c>
      <c r="G26" s="32">
        <f t="shared" si="1"/>
        <v>0.28360934962573942</v>
      </c>
      <c r="H26" s="22"/>
    </row>
    <row r="27" spans="2:14" ht="6" customHeight="1" x14ac:dyDescent="0.45">
      <c r="B27" s="5"/>
      <c r="C27" s="93"/>
      <c r="D27" s="138"/>
      <c r="E27" s="25"/>
      <c r="F27" s="25"/>
      <c r="G27" s="3"/>
      <c r="H27" s="6"/>
    </row>
    <row r="28" spans="2:14" ht="16.5" customHeight="1" x14ac:dyDescent="0.45">
      <c r="B28" s="94"/>
      <c r="C28" s="95"/>
      <c r="D28" s="141"/>
      <c r="E28" s="141"/>
      <c r="F28" s="141"/>
      <c r="G28" s="94"/>
      <c r="H28" s="94"/>
    </row>
    <row r="29" spans="2:14" ht="15.75" x14ac:dyDescent="0.5">
      <c r="B29" s="432" t="s">
        <v>229</v>
      </c>
      <c r="C29" s="433"/>
      <c r="D29" s="433"/>
      <c r="E29" s="433"/>
      <c r="F29" s="433"/>
      <c r="G29" s="433"/>
      <c r="H29" s="434"/>
    </row>
    <row r="30" spans="2:14" ht="6" customHeight="1" x14ac:dyDescent="0.45">
      <c r="B30" s="5"/>
      <c r="C30" s="6"/>
      <c r="D30" s="136"/>
      <c r="E30" s="135"/>
      <c r="F30" s="135"/>
      <c r="G30" s="20"/>
      <c r="H30" s="21"/>
    </row>
    <row r="31" spans="2:14" ht="16.5" x14ac:dyDescent="0.75">
      <c r="B31" s="5"/>
      <c r="C31" s="18" t="s">
        <v>2</v>
      </c>
      <c r="D31" s="137" t="s">
        <v>4</v>
      </c>
      <c r="E31" s="142" t="s">
        <v>0</v>
      </c>
      <c r="F31" s="142"/>
      <c r="G31" s="8"/>
      <c r="H31" s="18"/>
    </row>
    <row r="32" spans="2:14" ht="16.5" x14ac:dyDescent="0.75">
      <c r="B32" s="5"/>
      <c r="C32" s="18" t="s">
        <v>57</v>
      </c>
      <c r="D32" s="137" t="s">
        <v>18</v>
      </c>
      <c r="E32" s="142" t="s">
        <v>18</v>
      </c>
      <c r="F32" s="142" t="s">
        <v>5</v>
      </c>
      <c r="G32" s="8" t="s">
        <v>19</v>
      </c>
      <c r="H32" s="18"/>
    </row>
    <row r="33" spans="2:8" ht="6" customHeight="1" x14ac:dyDescent="0.45">
      <c r="B33" s="5"/>
      <c r="C33" s="9"/>
      <c r="D33" s="138"/>
      <c r="E33" s="138"/>
      <c r="F33" s="25"/>
      <c r="G33" s="32"/>
      <c r="H33" s="22"/>
    </row>
    <row r="34" spans="2:8" x14ac:dyDescent="0.45">
      <c r="B34" s="128"/>
      <c r="C34" s="367">
        <f>'Existing Billing Analysis'!P75</f>
        <v>5958036</v>
      </c>
      <c r="D34" s="139">
        <f>C34*Rates!D26</f>
        <v>37893.108959999998</v>
      </c>
      <c r="E34" s="139">
        <f>C34*Rates!E26</f>
        <v>48677.154119999999</v>
      </c>
      <c r="F34" s="358">
        <f t="shared" ref="F34" si="6">E34-D34</f>
        <v>10784.045160000001</v>
      </c>
      <c r="G34" s="33">
        <f t="shared" ref="G34" si="7">F34/D34</f>
        <v>0.28459119496855351</v>
      </c>
      <c r="H34" s="23"/>
    </row>
    <row r="35" spans="2:8" ht="6" customHeight="1" x14ac:dyDescent="0.45">
      <c r="B35" s="5"/>
      <c r="C35" s="93"/>
      <c r="D35" s="138"/>
      <c r="E35" s="25"/>
      <c r="F35" s="25"/>
      <c r="G35" s="3"/>
      <c r="H35" s="6"/>
    </row>
    <row r="36" spans="2:8" ht="14.55" customHeight="1" x14ac:dyDescent="0.45">
      <c r="B36" s="145"/>
      <c r="C36" s="146"/>
      <c r="D36" s="147"/>
      <c r="E36" s="147"/>
      <c r="F36" s="147"/>
      <c r="G36" s="145"/>
      <c r="H36" s="145"/>
    </row>
    <row r="37" spans="2:8" ht="15.75" x14ac:dyDescent="0.5">
      <c r="B37" s="432" t="s">
        <v>230</v>
      </c>
      <c r="C37" s="433"/>
      <c r="D37" s="433"/>
      <c r="E37" s="433"/>
      <c r="F37" s="433"/>
      <c r="G37" s="433"/>
      <c r="H37" s="434"/>
    </row>
    <row r="38" spans="2:8" ht="6" customHeight="1" x14ac:dyDescent="0.45">
      <c r="B38" s="5"/>
      <c r="C38" s="6"/>
      <c r="D38" s="136"/>
      <c r="E38" s="135"/>
      <c r="F38" s="135"/>
      <c r="G38" s="20"/>
      <c r="H38" s="21"/>
    </row>
    <row r="39" spans="2:8" ht="16.5" x14ac:dyDescent="0.75">
      <c r="B39" s="5"/>
      <c r="C39" s="18" t="s">
        <v>2</v>
      </c>
      <c r="D39" s="137" t="s">
        <v>4</v>
      </c>
      <c r="E39" s="142" t="s">
        <v>0</v>
      </c>
      <c r="F39" s="142"/>
      <c r="G39" s="8"/>
      <c r="H39" s="18"/>
    </row>
    <row r="40" spans="2:8" ht="16.5" x14ac:dyDescent="0.75">
      <c r="B40" s="5"/>
      <c r="C40" s="18" t="s">
        <v>57</v>
      </c>
      <c r="D40" s="137" t="s">
        <v>18</v>
      </c>
      <c r="E40" s="142" t="s">
        <v>18</v>
      </c>
      <c r="F40" s="142" t="s">
        <v>5</v>
      </c>
      <c r="G40" s="8" t="s">
        <v>19</v>
      </c>
      <c r="H40" s="18"/>
    </row>
    <row r="41" spans="2:8" ht="6" customHeight="1" x14ac:dyDescent="0.45">
      <c r="B41" s="5"/>
      <c r="C41" s="9"/>
      <c r="D41" s="138"/>
      <c r="E41" s="138"/>
      <c r="F41" s="25"/>
      <c r="G41" s="32"/>
      <c r="H41" s="22"/>
    </row>
    <row r="42" spans="2:8" x14ac:dyDescent="0.45">
      <c r="B42" s="128"/>
      <c r="C42" s="367">
        <f>'Existing Billing Analysis'!P95</f>
        <v>178345</v>
      </c>
      <c r="D42" s="139">
        <f>C42*Rates!D32</f>
        <v>1161.02595</v>
      </c>
      <c r="E42" s="139">
        <f>C42*Rates!E32</f>
        <v>1490.9641999999999</v>
      </c>
      <c r="F42" s="358">
        <f t="shared" ref="F42" si="8">E42-D42</f>
        <v>329.93824999999993</v>
      </c>
      <c r="G42" s="33">
        <f t="shared" ref="G42" si="9">F42/D42</f>
        <v>0.28417818740399381</v>
      </c>
      <c r="H42" s="23"/>
    </row>
    <row r="43" spans="2:8" ht="6" customHeight="1" x14ac:dyDescent="0.45">
      <c r="B43" s="196"/>
      <c r="C43" s="197"/>
      <c r="D43" s="198"/>
      <c r="E43" s="199"/>
      <c r="F43" s="199"/>
      <c r="G43" s="2"/>
      <c r="H43" s="201"/>
    </row>
  </sheetData>
  <mergeCells count="5">
    <mergeCell ref="B37:H37"/>
    <mergeCell ref="B29:H29"/>
    <mergeCell ref="B3:H3"/>
    <mergeCell ref="B4:H4"/>
    <mergeCell ref="B5:H5"/>
  </mergeCells>
  <printOptions horizontalCentered="1"/>
  <pageMargins left="0.25" right="0.25" top="0.25" bottom="0.25" header="0" footer="0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C1BC1-F667-40CA-9958-AC20B397132F}">
  <sheetPr>
    <pageSetUpPr fitToPage="1"/>
  </sheetPr>
  <dimension ref="B1:P111"/>
  <sheetViews>
    <sheetView zoomScale="96" zoomScaleNormal="96" workbookViewId="0">
      <selection sqref="A1:N111"/>
    </sheetView>
  </sheetViews>
  <sheetFormatPr defaultColWidth="8.83203125" defaultRowHeight="14.25" x14ac:dyDescent="0.45"/>
  <cols>
    <col min="1" max="1" width="1.609375" style="41" customWidth="1"/>
    <col min="2" max="2" width="5.94140625" style="113" customWidth="1"/>
    <col min="3" max="3" width="30.609375" style="41" customWidth="1"/>
    <col min="4" max="4" width="12.609375" style="41" customWidth="1"/>
    <col min="5" max="5" width="12.609375" style="114" customWidth="1"/>
    <col min="6" max="6" width="12.609375" style="90" customWidth="1"/>
    <col min="7" max="7" width="12.609375" style="115" customWidth="1"/>
    <col min="8" max="8" width="12.609375" style="41" customWidth="1"/>
    <col min="9" max="10" width="14.609375" style="41" customWidth="1"/>
    <col min="11" max="11" width="10.5546875" style="41" bestFit="1" customWidth="1"/>
    <col min="12" max="12" width="10" style="41" bestFit="1" customWidth="1"/>
    <col min="13" max="13" width="1.44140625" style="41" customWidth="1"/>
    <col min="14" max="14" width="1.609375" style="41" customWidth="1"/>
    <col min="15" max="15" width="8.83203125" style="41"/>
    <col min="16" max="16" width="12.21875" style="41" customWidth="1"/>
    <col min="17" max="16384" width="8.83203125" style="41"/>
  </cols>
  <sheetData>
    <row r="1" spans="2:13" ht="14.65" thickBot="1" x14ac:dyDescent="0.5"/>
    <row r="2" spans="2:13" x14ac:dyDescent="0.45">
      <c r="B2" s="182"/>
      <c r="C2" s="183"/>
      <c r="D2" s="183"/>
      <c r="E2" s="184"/>
      <c r="F2" s="185"/>
      <c r="G2" s="186"/>
      <c r="H2" s="183"/>
      <c r="I2" s="183"/>
      <c r="J2" s="183"/>
      <c r="K2" s="183"/>
      <c r="L2" s="183"/>
      <c r="M2" s="187"/>
    </row>
    <row r="3" spans="2:13" ht="18" hidden="1" customHeight="1" x14ac:dyDescent="0.55000000000000004">
      <c r="B3" s="446" t="s">
        <v>302</v>
      </c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1"/>
    </row>
    <row r="4" spans="2:13" ht="18" customHeight="1" x14ac:dyDescent="0.55000000000000004">
      <c r="B4" s="447" t="s">
        <v>139</v>
      </c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9"/>
    </row>
    <row r="5" spans="2:13" ht="15.5" customHeight="1" x14ac:dyDescent="0.55000000000000004">
      <c r="B5" s="446" t="s">
        <v>219</v>
      </c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1"/>
    </row>
    <row r="6" spans="2:13" ht="14.75" customHeight="1" x14ac:dyDescent="0.45">
      <c r="B6" s="444"/>
      <c r="C6" s="445"/>
      <c r="D6" s="445"/>
      <c r="E6" s="445"/>
      <c r="F6" s="445"/>
      <c r="G6" s="445"/>
      <c r="H6" s="445"/>
      <c r="I6" s="445"/>
      <c r="J6" s="162"/>
      <c r="K6" s="162"/>
      <c r="M6" s="188"/>
    </row>
    <row r="7" spans="2:13" x14ac:dyDescent="0.45">
      <c r="B7" s="189"/>
      <c r="D7" s="163" t="s">
        <v>61</v>
      </c>
      <c r="E7" s="91" t="s">
        <v>10</v>
      </c>
      <c r="F7" s="91" t="s">
        <v>62</v>
      </c>
      <c r="G7" s="164" t="s">
        <v>63</v>
      </c>
      <c r="H7" s="165"/>
      <c r="I7" s="165"/>
      <c r="J7" s="165"/>
      <c r="M7" s="188"/>
    </row>
    <row r="8" spans="2:13" x14ac:dyDescent="0.45">
      <c r="B8" s="189"/>
      <c r="D8" s="163" t="s">
        <v>137</v>
      </c>
      <c r="E8" s="91">
        <f>E31+E49+E59+E69+E79+E89+E99+E109</f>
        <v>64463</v>
      </c>
      <c r="F8" s="91">
        <f>F31+F49+F59+F69+F79+F89+F99+F109</f>
        <v>320100759</v>
      </c>
      <c r="G8" s="143">
        <f>H31+H49+H59+H69+H79+H89+H99+H109</f>
        <v>3675651.12849</v>
      </c>
      <c r="H8" s="165"/>
      <c r="I8" s="165"/>
      <c r="J8" s="165"/>
      <c r="M8" s="188"/>
    </row>
    <row r="9" spans="2:13" x14ac:dyDescent="0.45">
      <c r="B9" s="189"/>
      <c r="D9" s="163" t="s">
        <v>136</v>
      </c>
      <c r="E9" s="91"/>
      <c r="F9" s="91"/>
      <c r="G9" s="134">
        <v>0</v>
      </c>
      <c r="H9" s="165"/>
      <c r="I9" s="165"/>
      <c r="J9" s="165"/>
      <c r="M9" s="188"/>
    </row>
    <row r="10" spans="2:13" x14ac:dyDescent="0.45">
      <c r="B10" s="189"/>
      <c r="D10" s="163" t="s">
        <v>135</v>
      </c>
      <c r="E10" s="91"/>
      <c r="F10" s="91"/>
      <c r="G10" s="143">
        <f>G8-G9</f>
        <v>3675651.12849</v>
      </c>
      <c r="H10" s="165"/>
      <c r="I10" s="165"/>
      <c r="J10" s="165"/>
      <c r="M10" s="188"/>
    </row>
    <row r="11" spans="2:13" x14ac:dyDescent="0.45">
      <c r="B11" s="189"/>
      <c r="D11" s="163" t="s">
        <v>299</v>
      </c>
      <c r="E11" s="91"/>
      <c r="F11" s="91"/>
      <c r="G11" s="133">
        <f>SAO!C7</f>
        <v>3654067</v>
      </c>
      <c r="H11" s="165"/>
      <c r="I11" s="165"/>
      <c r="J11" s="165"/>
      <c r="M11" s="188"/>
    </row>
    <row r="12" spans="2:13" x14ac:dyDescent="0.45">
      <c r="B12" s="189"/>
      <c r="D12" s="163" t="s">
        <v>134</v>
      </c>
      <c r="E12" s="91"/>
      <c r="F12" s="91"/>
      <c r="G12" s="180">
        <f>G10-G11</f>
        <v>21584.128490000032</v>
      </c>
      <c r="H12" s="165" t="s">
        <v>64</v>
      </c>
      <c r="I12" s="165"/>
      <c r="J12" s="165"/>
      <c r="M12" s="188"/>
    </row>
    <row r="13" spans="2:13" x14ac:dyDescent="0.45">
      <c r="B13" s="189"/>
      <c r="C13" s="166"/>
      <c r="E13" s="91"/>
      <c r="F13" s="91"/>
      <c r="G13" s="181">
        <f>G12/G11</f>
        <v>5.9068781415338124E-3</v>
      </c>
      <c r="H13" s="167"/>
      <c r="I13" s="165"/>
      <c r="J13" s="165"/>
      <c r="K13" s="165"/>
      <c r="M13" s="188"/>
    </row>
    <row r="14" spans="2:13" x14ac:dyDescent="0.45">
      <c r="B14" s="189"/>
      <c r="E14" s="91"/>
      <c r="F14" s="91"/>
      <c r="G14" s="119"/>
      <c r="H14" s="113"/>
      <c r="I14" s="165"/>
      <c r="J14" s="165"/>
      <c r="K14" s="165"/>
      <c r="M14" s="188"/>
    </row>
    <row r="15" spans="2:13" x14ac:dyDescent="0.45">
      <c r="B15" s="189"/>
      <c r="E15" s="91"/>
      <c r="F15" s="91"/>
      <c r="G15" s="119"/>
      <c r="H15" s="113"/>
      <c r="I15" s="165"/>
      <c r="J15" s="165"/>
      <c r="K15" s="165"/>
      <c r="M15" s="188"/>
    </row>
    <row r="16" spans="2:13" x14ac:dyDescent="0.45">
      <c r="B16" s="189"/>
      <c r="C16" s="129" t="s">
        <v>276</v>
      </c>
      <c r="E16" s="91"/>
      <c r="F16" s="91"/>
      <c r="G16" s="117" t="str">
        <f>C18</f>
        <v>First</v>
      </c>
      <c r="H16" s="117" t="str">
        <f>C19</f>
        <v>Next</v>
      </c>
      <c r="I16" s="117" t="str">
        <f>C20</f>
        <v>Next</v>
      </c>
      <c r="J16" s="117" t="s">
        <v>75</v>
      </c>
      <c r="K16" s="117" t="str">
        <f>C22</f>
        <v>Over</v>
      </c>
      <c r="L16" s="126"/>
      <c r="M16" s="188"/>
    </row>
    <row r="17" spans="2:16" ht="14.65" thickBot="1" x14ac:dyDescent="0.5">
      <c r="B17" s="189"/>
      <c r="C17" s="113" t="s">
        <v>65</v>
      </c>
      <c r="D17" s="174" t="s">
        <v>68</v>
      </c>
      <c r="E17" s="171" t="s">
        <v>10</v>
      </c>
      <c r="F17" s="171" t="s">
        <v>62</v>
      </c>
      <c r="G17" s="175">
        <f>D18</f>
        <v>2000</v>
      </c>
      <c r="H17" s="175">
        <f>D19</f>
        <v>5000</v>
      </c>
      <c r="I17" s="175">
        <f>D20</f>
        <v>10000</v>
      </c>
      <c r="J17" s="175">
        <f>D21</f>
        <v>20000</v>
      </c>
      <c r="K17" s="175">
        <f>D22</f>
        <v>37000</v>
      </c>
      <c r="L17" s="176" t="s">
        <v>69</v>
      </c>
      <c r="M17" s="188"/>
    </row>
    <row r="18" spans="2:16" x14ac:dyDescent="0.45">
      <c r="B18" s="189"/>
      <c r="C18" s="168" t="s">
        <v>66</v>
      </c>
      <c r="D18" s="169">
        <v>2000</v>
      </c>
      <c r="E18" s="91">
        <f>1291+14188</f>
        <v>15479</v>
      </c>
      <c r="F18" s="91">
        <f>0+15498620</f>
        <v>15498620</v>
      </c>
      <c r="G18" s="91">
        <f>F18</f>
        <v>15498620</v>
      </c>
      <c r="H18" s="91">
        <v>0</v>
      </c>
      <c r="I18" s="91">
        <v>0</v>
      </c>
      <c r="J18" s="91">
        <v>0</v>
      </c>
      <c r="K18" s="91">
        <v>0</v>
      </c>
      <c r="L18" s="127">
        <f>SUM(G18:K18)</f>
        <v>15498620</v>
      </c>
      <c r="M18" s="188"/>
    </row>
    <row r="19" spans="2:16" x14ac:dyDescent="0.45">
      <c r="B19" s="189"/>
      <c r="C19" s="168" t="s">
        <v>75</v>
      </c>
      <c r="D19" s="169">
        <v>5000</v>
      </c>
      <c r="E19" s="91">
        <v>27079</v>
      </c>
      <c r="F19" s="91">
        <v>103067094</v>
      </c>
      <c r="G19" s="91">
        <f>E19*D18</f>
        <v>54158000</v>
      </c>
      <c r="H19" s="91">
        <f>F19-G19</f>
        <v>48909094</v>
      </c>
      <c r="I19" s="91">
        <v>0</v>
      </c>
      <c r="J19" s="91">
        <v>0</v>
      </c>
      <c r="K19" s="91">
        <v>0</v>
      </c>
      <c r="L19" s="127">
        <f>SUM(G19:K19)</f>
        <v>103067094</v>
      </c>
      <c r="M19" s="188"/>
    </row>
    <row r="20" spans="2:16" x14ac:dyDescent="0.45">
      <c r="B20" s="189"/>
      <c r="C20" s="168" t="s">
        <v>75</v>
      </c>
      <c r="D20" s="169">
        <v>10000</v>
      </c>
      <c r="E20" s="91">
        <v>4180</v>
      </c>
      <c r="F20" s="91">
        <v>40144673</v>
      </c>
      <c r="G20" s="91">
        <f>E20*D18</f>
        <v>8360000</v>
      </c>
      <c r="H20" s="91">
        <f>E20*D19</f>
        <v>20900000</v>
      </c>
      <c r="I20" s="91">
        <f>F20-G20-H20</f>
        <v>10884673</v>
      </c>
      <c r="J20" s="91">
        <v>0</v>
      </c>
      <c r="K20" s="91">
        <v>0</v>
      </c>
      <c r="L20" s="127">
        <f>SUM(G20:K20)</f>
        <v>40144673</v>
      </c>
      <c r="M20" s="188"/>
    </row>
    <row r="21" spans="2:16" x14ac:dyDescent="0.45">
      <c r="B21" s="189"/>
      <c r="C21" s="168" t="s">
        <v>75</v>
      </c>
      <c r="D21" s="169">
        <v>20000</v>
      </c>
      <c r="E21" s="91">
        <v>480</v>
      </c>
      <c r="F21" s="91">
        <v>10857451</v>
      </c>
      <c r="G21" s="91">
        <f>E21*D18</f>
        <v>960000</v>
      </c>
      <c r="H21" s="91">
        <f>E21*D19</f>
        <v>2400000</v>
      </c>
      <c r="I21" s="91">
        <f>E21*D20</f>
        <v>4800000</v>
      </c>
      <c r="J21" s="91">
        <f>F21-G21-H21-I21</f>
        <v>2697451</v>
      </c>
      <c r="K21" s="91">
        <v>0</v>
      </c>
      <c r="L21" s="127">
        <f>SUM(G21:K21)</f>
        <v>10857451</v>
      </c>
      <c r="M21" s="188"/>
    </row>
    <row r="22" spans="2:16" ht="14.65" thickBot="1" x14ac:dyDescent="0.5">
      <c r="B22" s="189"/>
      <c r="C22" s="168" t="s">
        <v>67</v>
      </c>
      <c r="D22" s="169">
        <v>37000</v>
      </c>
      <c r="E22" s="171">
        <f>69+34</f>
        <v>103</v>
      </c>
      <c r="F22" s="171">
        <f>3380186+12458394</f>
        <v>15838580</v>
      </c>
      <c r="G22" s="171">
        <f>E22*D18</f>
        <v>206000</v>
      </c>
      <c r="H22" s="171">
        <f>E22*D19</f>
        <v>515000</v>
      </c>
      <c r="I22" s="171">
        <f>E22*D20</f>
        <v>1030000</v>
      </c>
      <c r="J22" s="171">
        <f>E22*D21</f>
        <v>2060000</v>
      </c>
      <c r="K22" s="171">
        <f>F22-G22-H22-I22-J22</f>
        <v>12027580</v>
      </c>
      <c r="L22" s="172">
        <f>SUM(G22:K22)</f>
        <v>15838580</v>
      </c>
      <c r="M22" s="188"/>
    </row>
    <row r="23" spans="2:16" x14ac:dyDescent="0.45">
      <c r="B23" s="189"/>
      <c r="C23" s="166"/>
      <c r="E23" s="91">
        <f t="shared" ref="E23:L23" si="0">SUM(E18:E22)</f>
        <v>47321</v>
      </c>
      <c r="F23" s="91">
        <f t="shared" si="0"/>
        <v>185406418</v>
      </c>
      <c r="G23" s="91">
        <f t="shared" si="0"/>
        <v>79182620</v>
      </c>
      <c r="H23" s="91">
        <f t="shared" si="0"/>
        <v>72724094</v>
      </c>
      <c r="I23" s="91">
        <f t="shared" si="0"/>
        <v>16714673</v>
      </c>
      <c r="J23" s="91">
        <f t="shared" si="0"/>
        <v>4757451</v>
      </c>
      <c r="K23" s="91">
        <f t="shared" si="0"/>
        <v>12027580</v>
      </c>
      <c r="L23" s="91">
        <f t="shared" si="0"/>
        <v>185406418</v>
      </c>
      <c r="M23" s="188"/>
      <c r="O23" s="41" t="s">
        <v>148</v>
      </c>
      <c r="P23" s="364">
        <f>ROUND((F23+F41)/(E23+E41),0)</f>
        <v>3810</v>
      </c>
    </row>
    <row r="24" spans="2:16" x14ac:dyDescent="0.45">
      <c r="B24" s="189"/>
      <c r="E24" s="91"/>
      <c r="F24" s="91"/>
      <c r="G24" s="119"/>
      <c r="H24" s="119"/>
      <c r="I24" s="119"/>
      <c r="J24" s="119"/>
      <c r="K24" s="119"/>
      <c r="L24" s="165"/>
      <c r="M24" s="188"/>
    </row>
    <row r="25" spans="2:16" ht="14.65" thickBot="1" x14ac:dyDescent="0.5">
      <c r="B25" s="189"/>
      <c r="C25" s="166" t="s">
        <v>70</v>
      </c>
      <c r="D25" s="174" t="s">
        <v>68</v>
      </c>
      <c r="E25" s="171" t="s">
        <v>10</v>
      </c>
      <c r="F25" s="171" t="s">
        <v>62</v>
      </c>
      <c r="G25" s="177" t="s">
        <v>11</v>
      </c>
      <c r="H25" s="174" t="s">
        <v>63</v>
      </c>
      <c r="I25" s="119"/>
      <c r="J25" s="119"/>
      <c r="K25" s="119"/>
      <c r="L25" s="165"/>
      <c r="M25" s="188"/>
    </row>
    <row r="26" spans="2:16" x14ac:dyDescent="0.45">
      <c r="B26" s="189"/>
      <c r="C26" s="169" t="str">
        <f t="shared" ref="C26:D29" si="1">C18</f>
        <v>First</v>
      </c>
      <c r="D26" s="169">
        <f t="shared" si="1"/>
        <v>2000</v>
      </c>
      <c r="E26" s="91">
        <f>E23</f>
        <v>47321</v>
      </c>
      <c r="F26" s="91">
        <f>G23</f>
        <v>79182620</v>
      </c>
      <c r="G26" s="118">
        <f>Rates!D10</f>
        <v>24.73</v>
      </c>
      <c r="H26" s="143">
        <f>E26*G26</f>
        <v>1170248.33</v>
      </c>
      <c r="I26" s="118"/>
      <c r="J26" s="118"/>
      <c r="K26" s="118"/>
      <c r="L26" s="165"/>
      <c r="M26" s="188"/>
    </row>
    <row r="27" spans="2:16" x14ac:dyDescent="0.45">
      <c r="B27" s="189"/>
      <c r="C27" s="169" t="str">
        <f t="shared" si="1"/>
        <v>Next</v>
      </c>
      <c r="D27" s="169">
        <f t="shared" si="1"/>
        <v>5000</v>
      </c>
      <c r="E27" s="91"/>
      <c r="F27" s="91">
        <f>H23</f>
        <v>72724094</v>
      </c>
      <c r="G27" s="234">
        <f>Rates!D11</f>
        <v>1.2019999999999999E-2</v>
      </c>
      <c r="H27" s="143">
        <f>F27*G27</f>
        <v>874143.60988</v>
      </c>
      <c r="I27" s="118"/>
      <c r="J27" s="118"/>
      <c r="K27" s="118"/>
      <c r="L27" s="165"/>
      <c r="M27" s="188"/>
    </row>
    <row r="28" spans="2:16" x14ac:dyDescent="0.45">
      <c r="B28" s="189"/>
      <c r="C28" s="169" t="str">
        <f t="shared" si="1"/>
        <v>Next</v>
      </c>
      <c r="D28" s="169">
        <f t="shared" si="1"/>
        <v>10000</v>
      </c>
      <c r="E28" s="91"/>
      <c r="F28" s="91">
        <f>I23</f>
        <v>16714673</v>
      </c>
      <c r="G28" s="234">
        <f>Rates!D12</f>
        <v>1.162E-2</v>
      </c>
      <c r="H28" s="143">
        <f>F28*G28</f>
        <v>194224.50026</v>
      </c>
      <c r="I28" s="118"/>
      <c r="J28" s="118"/>
      <c r="K28" s="118"/>
      <c r="L28" s="165"/>
      <c r="M28" s="188"/>
    </row>
    <row r="29" spans="2:16" x14ac:dyDescent="0.45">
      <c r="B29" s="189"/>
      <c r="C29" s="169" t="str">
        <f t="shared" si="1"/>
        <v>Next</v>
      </c>
      <c r="D29" s="169">
        <f t="shared" si="1"/>
        <v>20000</v>
      </c>
      <c r="E29" s="91"/>
      <c r="F29" s="91">
        <f>J23</f>
        <v>4757451</v>
      </c>
      <c r="G29" s="234">
        <f>Rates!D13</f>
        <v>1.072E-2</v>
      </c>
      <c r="H29" s="143">
        <f>F29*G29</f>
        <v>50999.87472</v>
      </c>
      <c r="I29" s="118"/>
      <c r="J29" s="118"/>
      <c r="K29" s="118"/>
      <c r="L29" s="165"/>
      <c r="M29" s="188"/>
    </row>
    <row r="30" spans="2:16" ht="14.65" thickBot="1" x14ac:dyDescent="0.5">
      <c r="B30" s="189"/>
      <c r="C30" s="169" t="str">
        <f>C22</f>
        <v>Over</v>
      </c>
      <c r="D30" s="169">
        <f>D22</f>
        <v>37000</v>
      </c>
      <c r="E30" s="171"/>
      <c r="F30" s="171">
        <f>K23</f>
        <v>12027580</v>
      </c>
      <c r="G30" s="234">
        <f>Rates!D14</f>
        <v>9.4500000000000001E-3</v>
      </c>
      <c r="H30" s="173">
        <f>F30*G30</f>
        <v>113660.63099999999</v>
      </c>
      <c r="I30" s="118"/>
      <c r="J30" s="118"/>
      <c r="K30" s="118"/>
      <c r="L30" s="165"/>
      <c r="M30" s="188"/>
    </row>
    <row r="31" spans="2:16" x14ac:dyDescent="0.45">
      <c r="B31" s="189"/>
      <c r="C31" s="166"/>
      <c r="E31" s="91">
        <f>SUM(E26:E30)</f>
        <v>47321</v>
      </c>
      <c r="F31" s="91">
        <f>SUM(F26:F30)</f>
        <v>185406418</v>
      </c>
      <c r="G31" s="119"/>
      <c r="H31" s="143">
        <f>SUM(H26:H30)</f>
        <v>2403276.9458600003</v>
      </c>
      <c r="I31" s="119"/>
      <c r="J31" s="119"/>
      <c r="K31" s="119"/>
      <c r="L31" s="120"/>
      <c r="M31" s="190"/>
    </row>
    <row r="32" spans="2:16" x14ac:dyDescent="0.45">
      <c r="B32" s="189"/>
      <c r="C32" s="166"/>
      <c r="E32" s="91"/>
      <c r="F32" s="91"/>
      <c r="G32" s="119"/>
      <c r="H32" s="143"/>
      <c r="I32" s="119"/>
      <c r="J32" s="119"/>
      <c r="K32" s="119"/>
      <c r="L32" s="120"/>
      <c r="M32" s="190"/>
    </row>
    <row r="33" spans="2:16" x14ac:dyDescent="0.45">
      <c r="B33" s="189"/>
      <c r="C33" s="166"/>
      <c r="E33" s="91"/>
      <c r="F33" s="91"/>
      <c r="G33" s="119"/>
      <c r="H33" s="119"/>
      <c r="I33" s="119"/>
      <c r="J33" s="119"/>
      <c r="K33" s="119"/>
      <c r="L33" s="165"/>
      <c r="M33" s="188"/>
    </row>
    <row r="34" spans="2:16" x14ac:dyDescent="0.45">
      <c r="B34" s="189"/>
      <c r="C34" s="129" t="s">
        <v>277</v>
      </c>
      <c r="E34" s="91"/>
      <c r="F34" s="91"/>
      <c r="G34" s="117" t="str">
        <f>C36</f>
        <v>First</v>
      </c>
      <c r="H34" s="117" t="str">
        <f>C37</f>
        <v>Next</v>
      </c>
      <c r="I34" s="117" t="str">
        <f>C38</f>
        <v>Next</v>
      </c>
      <c r="J34" s="117" t="s">
        <v>75</v>
      </c>
      <c r="K34" s="117" t="str">
        <f>C40</f>
        <v>Over</v>
      </c>
      <c r="L34" s="126"/>
      <c r="M34" s="188"/>
    </row>
    <row r="35" spans="2:16" ht="14.65" thickBot="1" x14ac:dyDescent="0.5">
      <c r="B35" s="189"/>
      <c r="C35" s="113" t="s">
        <v>65</v>
      </c>
      <c r="D35" s="174" t="s">
        <v>68</v>
      </c>
      <c r="E35" s="171" t="s">
        <v>10</v>
      </c>
      <c r="F35" s="171" t="s">
        <v>62</v>
      </c>
      <c r="G35" s="175">
        <f>D36</f>
        <v>2000</v>
      </c>
      <c r="H35" s="175">
        <f>D37</f>
        <v>5000</v>
      </c>
      <c r="I35" s="175">
        <f>D38</f>
        <v>10000</v>
      </c>
      <c r="J35" s="175">
        <f>D39</f>
        <v>20000</v>
      </c>
      <c r="K35" s="175">
        <f>D40</f>
        <v>37000</v>
      </c>
      <c r="L35" s="176" t="s">
        <v>69</v>
      </c>
      <c r="M35" s="188"/>
    </row>
    <row r="36" spans="2:16" ht="14.25" customHeight="1" x14ac:dyDescent="0.45">
      <c r="B36" s="189"/>
      <c r="C36" s="168" t="s">
        <v>66</v>
      </c>
      <c r="D36" s="169">
        <v>2000</v>
      </c>
      <c r="E36" s="91">
        <f>ROUND((E18/$E$23)*17118,0)</f>
        <v>5599</v>
      </c>
      <c r="F36" s="91">
        <f>ROUND((F18/$F$23)*60098168,0)</f>
        <v>5023767</v>
      </c>
      <c r="G36" s="91">
        <f>F36</f>
        <v>5023767</v>
      </c>
      <c r="H36" s="91">
        <v>0</v>
      </c>
      <c r="I36" s="91">
        <v>0</v>
      </c>
      <c r="J36" s="91">
        <v>0</v>
      </c>
      <c r="K36" s="91">
        <v>0</v>
      </c>
      <c r="L36" s="127">
        <f>SUM(G36:K36)</f>
        <v>5023767</v>
      </c>
      <c r="M36" s="188"/>
      <c r="O36" s="48" t="s">
        <v>300</v>
      </c>
    </row>
    <row r="37" spans="2:16" x14ac:dyDescent="0.45">
      <c r="B37" s="189"/>
      <c r="C37" s="168" t="s">
        <v>75</v>
      </c>
      <c r="D37" s="169">
        <v>5000</v>
      </c>
      <c r="E37" s="91">
        <f t="shared" ref="E37:E40" si="2">ROUND((E19/$E$23)*17118,0)</f>
        <v>9796</v>
      </c>
      <c r="F37" s="91">
        <f t="shared" ref="F37:F40" si="3">ROUND((F19/$F$23)*60098168,0)</f>
        <v>33408463</v>
      </c>
      <c r="G37" s="91">
        <f>E37*D36</f>
        <v>19592000</v>
      </c>
      <c r="H37" s="91">
        <f>F37-G37</f>
        <v>13816463</v>
      </c>
      <c r="I37" s="91">
        <v>0</v>
      </c>
      <c r="J37" s="91">
        <v>0</v>
      </c>
      <c r="K37" s="91">
        <v>0</v>
      </c>
      <c r="L37" s="127">
        <f>SUM(G37:K37)</f>
        <v>33408463</v>
      </c>
      <c r="M37" s="188"/>
    </row>
    <row r="38" spans="2:16" x14ac:dyDescent="0.45">
      <c r="B38" s="189"/>
      <c r="C38" s="168" t="s">
        <v>75</v>
      </c>
      <c r="D38" s="169">
        <v>10000</v>
      </c>
      <c r="E38" s="91">
        <f t="shared" si="2"/>
        <v>1512</v>
      </c>
      <c r="F38" s="91">
        <f t="shared" si="3"/>
        <v>13012609</v>
      </c>
      <c r="G38" s="91">
        <f>E38*D36</f>
        <v>3024000</v>
      </c>
      <c r="H38" s="91">
        <f>E38*D37</f>
        <v>7560000</v>
      </c>
      <c r="I38" s="91">
        <f>F38-G38-H38</f>
        <v>2428609</v>
      </c>
      <c r="J38" s="91">
        <v>0</v>
      </c>
      <c r="K38" s="91">
        <v>0</v>
      </c>
      <c r="L38" s="127">
        <f>SUM(G38:K38)</f>
        <v>13012609</v>
      </c>
      <c r="M38" s="188"/>
    </row>
    <row r="39" spans="2:16" x14ac:dyDescent="0.45">
      <c r="B39" s="189"/>
      <c r="C39" s="168" t="s">
        <v>75</v>
      </c>
      <c r="D39" s="169">
        <v>20000</v>
      </c>
      <c r="E39" s="91">
        <f t="shared" si="2"/>
        <v>174</v>
      </c>
      <c r="F39" s="91">
        <f t="shared" si="3"/>
        <v>3519365</v>
      </c>
      <c r="G39" s="91">
        <f>E39*D36</f>
        <v>348000</v>
      </c>
      <c r="H39" s="91">
        <f>E39*D37</f>
        <v>870000</v>
      </c>
      <c r="I39" s="91">
        <f>E39*D38</f>
        <v>1740000</v>
      </c>
      <c r="J39" s="91">
        <f>F39-G39-H39-I39</f>
        <v>561365</v>
      </c>
      <c r="K39" s="91">
        <v>0</v>
      </c>
      <c r="L39" s="127">
        <f>SUM(G39:K39)</f>
        <v>3519365</v>
      </c>
      <c r="M39" s="188"/>
    </row>
    <row r="40" spans="2:16" ht="14.65" thickBot="1" x14ac:dyDescent="0.5">
      <c r="B40" s="189"/>
      <c r="C40" s="168" t="s">
        <v>67</v>
      </c>
      <c r="D40" s="169">
        <v>37000</v>
      </c>
      <c r="E40" s="366">
        <f t="shared" si="2"/>
        <v>37</v>
      </c>
      <c r="F40" s="366">
        <f t="shared" si="3"/>
        <v>5133963</v>
      </c>
      <c r="G40" s="171">
        <f>E40*D36</f>
        <v>74000</v>
      </c>
      <c r="H40" s="171">
        <f>E40*D37</f>
        <v>185000</v>
      </c>
      <c r="I40" s="171">
        <f>E40*D38</f>
        <v>370000</v>
      </c>
      <c r="J40" s="171">
        <f>E40*D39</f>
        <v>740000</v>
      </c>
      <c r="K40" s="171">
        <f>F40-G40-H40-I40-J40</f>
        <v>3764963</v>
      </c>
      <c r="L40" s="172">
        <f>SUM(G40:K40)</f>
        <v>5133963</v>
      </c>
      <c r="M40" s="188"/>
    </row>
    <row r="41" spans="2:16" x14ac:dyDescent="0.45">
      <c r="B41" s="189"/>
      <c r="C41" s="166"/>
      <c r="D41" s="192"/>
      <c r="E41" s="363">
        <f>SUM(E36:E40)</f>
        <v>17118</v>
      </c>
      <c r="F41" s="91">
        <f t="shared" ref="F41" si="4">SUM(F36:F40)</f>
        <v>60098167</v>
      </c>
      <c r="G41" s="91">
        <f t="shared" ref="G41:J41" si="5">SUM(G36:G40)</f>
        <v>28061767</v>
      </c>
      <c r="H41" s="91">
        <f t="shared" si="5"/>
        <v>22431463</v>
      </c>
      <c r="I41" s="91">
        <f t="shared" si="5"/>
        <v>4538609</v>
      </c>
      <c r="J41" s="91">
        <f t="shared" si="5"/>
        <v>1301365</v>
      </c>
      <c r="K41" s="91">
        <f t="shared" ref="K41:L41" si="6">SUM(K36:K40)</f>
        <v>3764963</v>
      </c>
      <c r="L41" s="91">
        <f t="shared" si="6"/>
        <v>60098167</v>
      </c>
      <c r="M41" s="188"/>
      <c r="P41" s="230"/>
    </row>
    <row r="42" spans="2:16" x14ac:dyDescent="0.45">
      <c r="B42" s="189"/>
      <c r="E42" s="91"/>
      <c r="F42" s="91"/>
      <c r="G42" s="119"/>
      <c r="H42" s="119"/>
      <c r="I42" s="119"/>
      <c r="J42" s="119"/>
      <c r="K42" s="119"/>
      <c r="L42" s="165"/>
      <c r="M42" s="188"/>
    </row>
    <row r="43" spans="2:16" ht="14.65" thickBot="1" x14ac:dyDescent="0.5">
      <c r="B43" s="189"/>
      <c r="C43" s="166" t="s">
        <v>70</v>
      </c>
      <c r="D43" s="174" t="s">
        <v>68</v>
      </c>
      <c r="E43" s="171" t="s">
        <v>10</v>
      </c>
      <c r="F43" s="171" t="s">
        <v>62</v>
      </c>
      <c r="G43" s="177" t="s">
        <v>11</v>
      </c>
      <c r="H43" s="174" t="s">
        <v>63</v>
      </c>
      <c r="I43" s="119"/>
      <c r="J43" s="119"/>
      <c r="K43" s="119"/>
      <c r="L43" s="165"/>
      <c r="M43" s="188"/>
    </row>
    <row r="44" spans="2:16" x14ac:dyDescent="0.45">
      <c r="B44" s="189"/>
      <c r="C44" s="169" t="str">
        <f t="shared" ref="C44:D44" si="7">C36</f>
        <v>First</v>
      </c>
      <c r="D44" s="169">
        <f t="shared" si="7"/>
        <v>2000</v>
      </c>
      <c r="E44" s="91">
        <f>E41</f>
        <v>17118</v>
      </c>
      <c r="F44" s="91">
        <f>G41</f>
        <v>28061767</v>
      </c>
      <c r="G44" s="118">
        <f>Rates!D10</f>
        <v>24.73</v>
      </c>
      <c r="H44" s="143">
        <f>E44*G44</f>
        <v>423328.14</v>
      </c>
      <c r="I44" s="118"/>
      <c r="J44" s="118"/>
      <c r="K44" s="118"/>
      <c r="L44" s="165"/>
      <c r="M44" s="188"/>
    </row>
    <row r="45" spans="2:16" x14ac:dyDescent="0.45">
      <c r="B45" s="189"/>
      <c r="C45" s="169" t="str">
        <f t="shared" ref="C45:D45" si="8">C37</f>
        <v>Next</v>
      </c>
      <c r="D45" s="169">
        <f t="shared" si="8"/>
        <v>5000</v>
      </c>
      <c r="E45" s="91"/>
      <c r="F45" s="91">
        <f>H41</f>
        <v>22431463</v>
      </c>
      <c r="G45" s="234">
        <f>Rates!D11</f>
        <v>1.2019999999999999E-2</v>
      </c>
      <c r="H45" s="143">
        <f>F45*G45</f>
        <v>269626.18526</v>
      </c>
      <c r="I45" s="118"/>
      <c r="J45" s="118"/>
      <c r="K45" s="118"/>
      <c r="L45" s="165"/>
      <c r="M45" s="188"/>
    </row>
    <row r="46" spans="2:16" x14ac:dyDescent="0.45">
      <c r="B46" s="189"/>
      <c r="C46" s="169" t="str">
        <f t="shared" ref="C46:D46" si="9">C38</f>
        <v>Next</v>
      </c>
      <c r="D46" s="169">
        <f t="shared" si="9"/>
        <v>10000</v>
      </c>
      <c r="E46" s="91"/>
      <c r="F46" s="91">
        <f>I41</f>
        <v>4538609</v>
      </c>
      <c r="G46" s="234">
        <f>Rates!D12</f>
        <v>1.162E-2</v>
      </c>
      <c r="H46" s="143">
        <f>F46*G46</f>
        <v>52738.636579999999</v>
      </c>
      <c r="I46" s="118"/>
      <c r="J46" s="118"/>
      <c r="K46" s="118"/>
      <c r="L46" s="165"/>
      <c r="M46" s="188"/>
    </row>
    <row r="47" spans="2:16" x14ac:dyDescent="0.45">
      <c r="B47" s="189"/>
      <c r="C47" s="168" t="s">
        <v>75</v>
      </c>
      <c r="D47" s="169">
        <v>20000</v>
      </c>
      <c r="E47" s="91"/>
      <c r="F47" s="91">
        <f>J41</f>
        <v>1301365</v>
      </c>
      <c r="G47" s="234">
        <f>Rates!D13</f>
        <v>1.072E-2</v>
      </c>
      <c r="H47" s="143">
        <f>F47*G47</f>
        <v>13950.632800000001</v>
      </c>
      <c r="I47" s="118"/>
      <c r="J47" s="118"/>
      <c r="K47" s="118"/>
      <c r="L47" s="165"/>
      <c r="M47" s="188"/>
    </row>
    <row r="48" spans="2:16" ht="14.65" thickBot="1" x14ac:dyDescent="0.5">
      <c r="B48" s="189"/>
      <c r="C48" s="169" t="str">
        <f>C40</f>
        <v>Over</v>
      </c>
      <c r="D48" s="169">
        <f>D40</f>
        <v>37000</v>
      </c>
      <c r="E48" s="171"/>
      <c r="F48" s="171">
        <f>K41</f>
        <v>3764963</v>
      </c>
      <c r="G48" s="234">
        <f>Rates!D14</f>
        <v>9.4500000000000001E-3</v>
      </c>
      <c r="H48" s="173">
        <f>F48*G48</f>
        <v>35578.900350000004</v>
      </c>
      <c r="I48" s="118"/>
      <c r="J48" s="118"/>
      <c r="K48" s="118"/>
      <c r="L48" s="165"/>
      <c r="M48" s="188"/>
    </row>
    <row r="49" spans="2:16" x14ac:dyDescent="0.45">
      <c r="B49" s="189"/>
      <c r="C49" s="166"/>
      <c r="E49" s="91">
        <f>SUM(E44:E48)</f>
        <v>17118</v>
      </c>
      <c r="F49" s="91">
        <f>SUM(F44:F48)</f>
        <v>60098167</v>
      </c>
      <c r="G49" s="119"/>
      <c r="H49" s="143">
        <f>SUM(H44:H48)</f>
        <v>795222.49499000015</v>
      </c>
      <c r="I49" s="119"/>
      <c r="J49" s="119"/>
      <c r="K49" s="119"/>
      <c r="L49" s="120"/>
      <c r="M49" s="190"/>
    </row>
    <row r="50" spans="2:16" x14ac:dyDescent="0.45">
      <c r="B50" s="189"/>
      <c r="C50" s="166"/>
      <c r="E50" s="91"/>
      <c r="F50" s="91"/>
      <c r="G50" s="119"/>
      <c r="H50" s="143"/>
      <c r="I50" s="119"/>
      <c r="J50" s="119"/>
      <c r="K50" s="119"/>
      <c r="L50" s="120"/>
      <c r="M50" s="190"/>
    </row>
    <row r="51" spans="2:16" x14ac:dyDescent="0.45">
      <c r="B51" s="189"/>
      <c r="C51" s="166"/>
      <c r="E51" s="91"/>
      <c r="F51" s="91"/>
      <c r="G51" s="119"/>
      <c r="H51" s="119"/>
      <c r="I51" s="119"/>
      <c r="J51" s="119"/>
      <c r="K51" s="119"/>
      <c r="L51" s="165"/>
      <c r="M51" s="188"/>
    </row>
    <row r="52" spans="2:16" x14ac:dyDescent="0.45">
      <c r="B52" s="189"/>
      <c r="C52" s="129" t="s">
        <v>282</v>
      </c>
      <c r="E52" s="91"/>
      <c r="F52" s="91"/>
      <c r="G52" s="126"/>
      <c r="M52" s="188"/>
    </row>
    <row r="53" spans="2:16" ht="14.65" thickBot="1" x14ac:dyDescent="0.5">
      <c r="B53" s="189"/>
      <c r="C53" s="113" t="s">
        <v>65</v>
      </c>
      <c r="D53" s="174" t="s">
        <v>68</v>
      </c>
      <c r="E53" s="171" t="s">
        <v>10</v>
      </c>
      <c r="F53" s="171" t="s">
        <v>62</v>
      </c>
      <c r="G53" s="176" t="s">
        <v>69</v>
      </c>
      <c r="M53" s="188"/>
    </row>
    <row r="54" spans="2:16" ht="14.65" thickBot="1" x14ac:dyDescent="0.5">
      <c r="B54" s="189"/>
      <c r="C54" s="168"/>
      <c r="D54" s="169" t="s">
        <v>235</v>
      </c>
      <c r="E54" s="171" t="s">
        <v>284</v>
      </c>
      <c r="F54" s="171">
        <v>819400</v>
      </c>
      <c r="G54" s="172">
        <f>F54</f>
        <v>819400</v>
      </c>
      <c r="M54" s="188"/>
    </row>
    <row r="55" spans="2:16" x14ac:dyDescent="0.45">
      <c r="B55" s="189"/>
      <c r="C55" s="166"/>
      <c r="E55" s="91">
        <f>SUM(E54:E54)</f>
        <v>0</v>
      </c>
      <c r="F55" s="91">
        <f>SUM(F54:F54)</f>
        <v>819400</v>
      </c>
      <c r="G55" s="91">
        <f>SUM(G54:G54)</f>
        <v>819400</v>
      </c>
      <c r="M55" s="188"/>
      <c r="P55" s="230"/>
    </row>
    <row r="56" spans="2:16" x14ac:dyDescent="0.45">
      <c r="B56" s="189"/>
      <c r="E56" s="91"/>
      <c r="F56" s="91"/>
      <c r="G56" s="119"/>
      <c r="H56" s="119"/>
      <c r="I56" s="119"/>
      <c r="J56" s="119"/>
      <c r="K56" s="119"/>
      <c r="L56" s="165"/>
      <c r="M56" s="188"/>
    </row>
    <row r="57" spans="2:16" ht="14.65" thickBot="1" x14ac:dyDescent="0.5">
      <c r="B57" s="189"/>
      <c r="C57" s="166" t="s">
        <v>70</v>
      </c>
      <c r="D57" s="174" t="s">
        <v>68</v>
      </c>
      <c r="E57" s="171" t="s">
        <v>10</v>
      </c>
      <c r="F57" s="171" t="s">
        <v>62</v>
      </c>
      <c r="G57" s="177" t="s">
        <v>11</v>
      </c>
      <c r="H57" s="174" t="s">
        <v>63</v>
      </c>
      <c r="I57" s="119"/>
      <c r="J57" s="119"/>
      <c r="K57" s="119"/>
      <c r="L57" s="165"/>
      <c r="M57" s="188"/>
    </row>
    <row r="58" spans="2:16" ht="14.65" thickBot="1" x14ac:dyDescent="0.5">
      <c r="B58" s="189"/>
      <c r="C58" s="169"/>
      <c r="D58" s="169" t="str">
        <f>D54</f>
        <v>All</v>
      </c>
      <c r="E58" s="171">
        <f>E55</f>
        <v>0</v>
      </c>
      <c r="F58" s="171">
        <f>F55</f>
        <v>819400</v>
      </c>
      <c r="G58" s="234">
        <f>Rates!D20</f>
        <v>8.8599999999999998E-3</v>
      </c>
      <c r="H58" s="173">
        <f>F58*G58</f>
        <v>7259.884</v>
      </c>
      <c r="I58" s="118"/>
      <c r="J58" s="118"/>
      <c r="K58" s="118"/>
      <c r="L58" s="165"/>
      <c r="M58" s="188"/>
      <c r="O58" s="48"/>
    </row>
    <row r="59" spans="2:16" x14ac:dyDescent="0.45">
      <c r="B59" s="189"/>
      <c r="C59" s="166"/>
      <c r="E59" s="91">
        <f>SUM(E58:E58)</f>
        <v>0</v>
      </c>
      <c r="F59" s="91">
        <f>SUM(F58:F58)</f>
        <v>819400</v>
      </c>
      <c r="G59" s="119"/>
      <c r="H59" s="143">
        <f>SUM(H58:H58)</f>
        <v>7259.884</v>
      </c>
      <c r="I59" s="119"/>
      <c r="J59" s="119"/>
      <c r="K59" s="119"/>
      <c r="L59" s="120"/>
      <c r="M59" s="188"/>
    </row>
    <row r="60" spans="2:16" x14ac:dyDescent="0.45">
      <c r="B60" s="189"/>
      <c r="C60" s="166"/>
      <c r="E60" s="91"/>
      <c r="F60" s="91"/>
      <c r="G60" s="119"/>
      <c r="H60" s="119"/>
      <c r="I60" s="119"/>
      <c r="J60" s="119"/>
      <c r="K60" s="119"/>
      <c r="L60" s="165"/>
      <c r="M60" s="188"/>
    </row>
    <row r="61" spans="2:16" x14ac:dyDescent="0.45">
      <c r="B61" s="189"/>
      <c r="C61" s="166"/>
      <c r="E61" s="117"/>
      <c r="F61" s="91"/>
      <c r="G61" s="119"/>
      <c r="I61" s="191"/>
      <c r="J61" s="191"/>
      <c r="K61" s="191"/>
      <c r="M61" s="188"/>
    </row>
    <row r="62" spans="2:16" x14ac:dyDescent="0.45">
      <c r="B62" s="189"/>
      <c r="C62" s="129" t="s">
        <v>283</v>
      </c>
      <c r="E62" s="91"/>
      <c r="F62" s="91"/>
      <c r="G62" s="126"/>
      <c r="M62" s="188"/>
    </row>
    <row r="63" spans="2:16" ht="14.65" thickBot="1" x14ac:dyDescent="0.5">
      <c r="B63" s="189"/>
      <c r="C63" s="113" t="s">
        <v>65</v>
      </c>
      <c r="D63" s="174" t="s">
        <v>68</v>
      </c>
      <c r="E63" s="171" t="s">
        <v>10</v>
      </c>
      <c r="F63" s="171" t="s">
        <v>62</v>
      </c>
      <c r="G63" s="176" t="s">
        <v>69</v>
      </c>
      <c r="M63" s="188"/>
    </row>
    <row r="64" spans="2:16" ht="14.65" thickBot="1" x14ac:dyDescent="0.5">
      <c r="B64" s="189"/>
      <c r="C64" s="168"/>
      <c r="D64" s="169" t="s">
        <v>235</v>
      </c>
      <c r="E64" s="171" t="s">
        <v>284</v>
      </c>
      <c r="F64" s="171">
        <v>140200</v>
      </c>
      <c r="G64" s="172">
        <f>F64</f>
        <v>140200</v>
      </c>
      <c r="M64" s="188"/>
    </row>
    <row r="65" spans="2:16" x14ac:dyDescent="0.45">
      <c r="B65" s="189"/>
      <c r="C65" s="166"/>
      <c r="E65" s="91">
        <f>SUM(E64:E64)</f>
        <v>0</v>
      </c>
      <c r="F65" s="91">
        <f>SUM(F64:F64)</f>
        <v>140200</v>
      </c>
      <c r="G65" s="91">
        <f>SUM(G64:G64)</f>
        <v>140200</v>
      </c>
      <c r="M65" s="188"/>
      <c r="P65" s="230"/>
    </row>
    <row r="66" spans="2:16" x14ac:dyDescent="0.45">
      <c r="B66" s="189"/>
      <c r="E66" s="91"/>
      <c r="F66" s="91"/>
      <c r="G66" s="119"/>
      <c r="H66" s="119"/>
      <c r="I66" s="119"/>
      <c r="J66" s="119"/>
      <c r="K66" s="119"/>
      <c r="L66" s="165"/>
      <c r="M66" s="188"/>
    </row>
    <row r="67" spans="2:16" ht="14.65" thickBot="1" x14ac:dyDescent="0.5">
      <c r="B67" s="189"/>
      <c r="C67" s="166" t="s">
        <v>70</v>
      </c>
      <c r="D67" s="174" t="s">
        <v>68</v>
      </c>
      <c r="E67" s="171" t="s">
        <v>10</v>
      </c>
      <c r="F67" s="171" t="s">
        <v>62</v>
      </c>
      <c r="G67" s="177" t="s">
        <v>11</v>
      </c>
      <c r="H67" s="174" t="s">
        <v>63</v>
      </c>
      <c r="I67" s="119"/>
      <c r="J67" s="119"/>
      <c r="K67" s="119"/>
      <c r="L67" s="165"/>
      <c r="M67" s="188"/>
    </row>
    <row r="68" spans="2:16" ht="14.65" thickBot="1" x14ac:dyDescent="0.5">
      <c r="B68" s="189"/>
      <c r="C68" s="169"/>
      <c r="D68" s="169" t="str">
        <f>D64</f>
        <v>All</v>
      </c>
      <c r="E68" s="171">
        <f>E65</f>
        <v>0</v>
      </c>
      <c r="F68" s="171">
        <f>F65</f>
        <v>140200</v>
      </c>
      <c r="G68" s="234">
        <f>Rates!D20</f>
        <v>8.8599999999999998E-3</v>
      </c>
      <c r="H68" s="173">
        <f>F68*G68</f>
        <v>1242.172</v>
      </c>
      <c r="I68" s="118"/>
      <c r="J68" s="118"/>
      <c r="K68" s="118"/>
      <c r="L68" s="165"/>
      <c r="M68" s="188"/>
      <c r="O68" s="48"/>
    </row>
    <row r="69" spans="2:16" x14ac:dyDescent="0.45">
      <c r="B69" s="189"/>
      <c r="C69" s="166"/>
      <c r="E69" s="91">
        <f>SUM(E68:E68)</f>
        <v>0</v>
      </c>
      <c r="F69" s="91">
        <f>SUM(F68:F68)</f>
        <v>140200</v>
      </c>
      <c r="G69" s="119"/>
      <c r="H69" s="143">
        <f>SUM(H68:H68)</f>
        <v>1242.172</v>
      </c>
      <c r="I69" s="119"/>
      <c r="J69" s="119"/>
      <c r="K69" s="119"/>
      <c r="L69" s="120"/>
      <c r="M69" s="188"/>
    </row>
    <row r="70" spans="2:16" x14ac:dyDescent="0.45">
      <c r="B70" s="189"/>
      <c r="C70" s="166"/>
      <c r="E70" s="91"/>
      <c r="F70" s="91"/>
      <c r="G70" s="119"/>
      <c r="H70" s="119"/>
      <c r="I70" s="119"/>
      <c r="J70" s="119"/>
      <c r="K70" s="119"/>
      <c r="L70" s="165"/>
      <c r="M70" s="188"/>
    </row>
    <row r="71" spans="2:16" x14ac:dyDescent="0.45">
      <c r="B71" s="189"/>
      <c r="C71" s="166"/>
      <c r="E71" s="117"/>
      <c r="F71" s="91"/>
      <c r="G71" s="119"/>
      <c r="I71" s="191"/>
      <c r="J71" s="191"/>
      <c r="K71" s="191"/>
      <c r="M71" s="188"/>
    </row>
    <row r="72" spans="2:16" x14ac:dyDescent="0.45">
      <c r="B72" s="189"/>
      <c r="C72" s="129" t="s">
        <v>278</v>
      </c>
      <c r="E72" s="91"/>
      <c r="F72" s="91"/>
      <c r="G72" s="164"/>
      <c r="M72" s="188"/>
    </row>
    <row r="73" spans="2:16" ht="14.65" thickBot="1" x14ac:dyDescent="0.5">
      <c r="B73" s="189"/>
      <c r="C73" s="113" t="s">
        <v>65</v>
      </c>
      <c r="D73" s="174" t="s">
        <v>68</v>
      </c>
      <c r="E73" s="171" t="s">
        <v>10</v>
      </c>
      <c r="F73" s="171" t="s">
        <v>62</v>
      </c>
      <c r="G73" s="170" t="s">
        <v>1</v>
      </c>
      <c r="M73" s="188"/>
    </row>
    <row r="74" spans="2:16" ht="14.65" thickBot="1" x14ac:dyDescent="0.5">
      <c r="B74" s="189"/>
      <c r="C74" s="168"/>
      <c r="D74" s="169" t="s">
        <v>235</v>
      </c>
      <c r="E74" s="369">
        <v>9</v>
      </c>
      <c r="F74" s="369">
        <v>54182129</v>
      </c>
      <c r="G74" s="172">
        <f>F74</f>
        <v>54182129</v>
      </c>
      <c r="M74" s="188"/>
    </row>
    <row r="75" spans="2:16" x14ac:dyDescent="0.45">
      <c r="B75" s="189"/>
      <c r="C75" s="166"/>
      <c r="E75" s="91">
        <f>SUM(E74:E74)</f>
        <v>9</v>
      </c>
      <c r="F75" s="91">
        <f>SUM(F74:F74)</f>
        <v>54182129</v>
      </c>
      <c r="G75" s="192">
        <f>SUM(G74:G74)</f>
        <v>54182129</v>
      </c>
      <c r="M75" s="188"/>
      <c r="O75" s="41" t="s">
        <v>148</v>
      </c>
      <c r="P75" s="364">
        <f>ROUND((F79+F89)/(E79+E89),0)</f>
        <v>5958036</v>
      </c>
    </row>
    <row r="76" spans="2:16" x14ac:dyDescent="0.45">
      <c r="B76" s="189"/>
      <c r="C76" s="166"/>
      <c r="E76" s="91"/>
      <c r="F76" s="91"/>
      <c r="G76" s="91"/>
      <c r="H76" s="91"/>
      <c r="I76" s="91"/>
      <c r="J76" s="91"/>
      <c r="K76" s="91"/>
      <c r="L76" s="192"/>
      <c r="M76" s="188"/>
    </row>
    <row r="77" spans="2:16" ht="14.65" thickBot="1" x14ac:dyDescent="0.5">
      <c r="B77" s="189"/>
      <c r="C77" s="166" t="s">
        <v>70</v>
      </c>
      <c r="D77" s="174" t="s">
        <v>68</v>
      </c>
      <c r="E77" s="171" t="s">
        <v>10</v>
      </c>
      <c r="F77" s="171" t="s">
        <v>62</v>
      </c>
      <c r="G77" s="177" t="s">
        <v>11</v>
      </c>
      <c r="H77" s="174" t="s">
        <v>63</v>
      </c>
      <c r="M77" s="188"/>
    </row>
    <row r="78" spans="2:16" ht="14.65" thickBot="1" x14ac:dyDescent="0.5">
      <c r="B78" s="189"/>
      <c r="C78" s="168">
        <f>C74</f>
        <v>0</v>
      </c>
      <c r="D78" s="169" t="str">
        <f>D74</f>
        <v>All</v>
      </c>
      <c r="E78" s="171">
        <f>E75</f>
        <v>9</v>
      </c>
      <c r="F78" s="171">
        <f>F75</f>
        <v>54182129</v>
      </c>
      <c r="G78" s="234">
        <f>Rates!D26</f>
        <v>6.3600000000000002E-3</v>
      </c>
      <c r="H78" s="173">
        <f>F78*G78</f>
        <v>344598.34044</v>
      </c>
      <c r="M78" s="188"/>
    </row>
    <row r="79" spans="2:16" x14ac:dyDescent="0.45">
      <c r="B79" s="189"/>
      <c r="C79" s="166"/>
      <c r="E79" s="91">
        <f>SUM(E78:E78)</f>
        <v>9</v>
      </c>
      <c r="F79" s="91">
        <f>SUM(F78:F78)</f>
        <v>54182129</v>
      </c>
      <c r="G79" s="119"/>
      <c r="H79" s="143">
        <f>SUM(H78:H78)</f>
        <v>344598.34044</v>
      </c>
      <c r="M79" s="188"/>
    </row>
    <row r="80" spans="2:16" x14ac:dyDescent="0.45">
      <c r="B80" s="189"/>
      <c r="E80" s="117"/>
      <c r="F80" s="91"/>
      <c r="G80" s="119"/>
      <c r="M80" s="188"/>
    </row>
    <row r="81" spans="2:16" x14ac:dyDescent="0.45">
      <c r="B81" s="189"/>
      <c r="E81" s="117"/>
      <c r="F81" s="91"/>
      <c r="G81" s="119"/>
      <c r="M81" s="188"/>
    </row>
    <row r="82" spans="2:16" x14ac:dyDescent="0.45">
      <c r="B82" s="189"/>
      <c r="C82" s="129" t="s">
        <v>279</v>
      </c>
      <c r="E82" s="91"/>
      <c r="F82" s="91"/>
      <c r="G82" s="164"/>
      <c r="M82" s="188"/>
    </row>
    <row r="83" spans="2:16" ht="14.65" thickBot="1" x14ac:dyDescent="0.5">
      <c r="B83" s="189"/>
      <c r="C83" s="113" t="s">
        <v>65</v>
      </c>
      <c r="D83" s="174" t="s">
        <v>68</v>
      </c>
      <c r="E83" s="171" t="s">
        <v>10</v>
      </c>
      <c r="F83" s="171" t="s">
        <v>62</v>
      </c>
      <c r="G83" s="170" t="s">
        <v>1</v>
      </c>
      <c r="M83" s="188"/>
    </row>
    <row r="84" spans="2:16" ht="14.65" thickBot="1" x14ac:dyDescent="0.5">
      <c r="B84" s="189"/>
      <c r="C84" s="168"/>
      <c r="D84" s="169" t="s">
        <v>235</v>
      </c>
      <c r="E84" s="171">
        <v>3</v>
      </c>
      <c r="F84" s="368">
        <v>17314305</v>
      </c>
      <c r="G84" s="172">
        <f>F84</f>
        <v>17314305</v>
      </c>
      <c r="M84" s="188"/>
    </row>
    <row r="85" spans="2:16" x14ac:dyDescent="0.45">
      <c r="B85" s="189"/>
      <c r="C85" s="166"/>
      <c r="E85" s="91">
        <f>SUM(E84:E84)</f>
        <v>3</v>
      </c>
      <c r="F85" s="91">
        <f>SUM(F84:F84)</f>
        <v>17314305</v>
      </c>
      <c r="G85" s="192">
        <f>SUM(G84:G84)</f>
        <v>17314305</v>
      </c>
      <c r="M85" s="188"/>
      <c r="P85" s="364"/>
    </row>
    <row r="86" spans="2:16" x14ac:dyDescent="0.45">
      <c r="B86" s="189"/>
      <c r="C86" s="166"/>
      <c r="E86" s="91"/>
      <c r="F86" s="91"/>
      <c r="G86" s="91"/>
      <c r="H86" s="91"/>
      <c r="I86" s="91"/>
      <c r="J86" s="91"/>
      <c r="K86" s="91"/>
      <c r="L86" s="192"/>
      <c r="M86" s="188"/>
    </row>
    <row r="87" spans="2:16" ht="14.65" thickBot="1" x14ac:dyDescent="0.5">
      <c r="B87" s="189"/>
      <c r="C87" s="166" t="s">
        <v>70</v>
      </c>
      <c r="D87" s="174" t="s">
        <v>68</v>
      </c>
      <c r="E87" s="171" t="s">
        <v>10</v>
      </c>
      <c r="F87" s="171" t="s">
        <v>62</v>
      </c>
      <c r="G87" s="177" t="s">
        <v>11</v>
      </c>
      <c r="H87" s="174" t="s">
        <v>63</v>
      </c>
      <c r="M87" s="188"/>
    </row>
    <row r="88" spans="2:16" ht="14.65" thickBot="1" x14ac:dyDescent="0.5">
      <c r="B88" s="189"/>
      <c r="C88" s="168">
        <f>C84</f>
        <v>0</v>
      </c>
      <c r="D88" s="169" t="str">
        <f>D84</f>
        <v>All</v>
      </c>
      <c r="E88" s="171">
        <f>E85</f>
        <v>3</v>
      </c>
      <c r="F88" s="171">
        <f>F85</f>
        <v>17314305</v>
      </c>
      <c r="G88" s="234">
        <f>Rates!D26</f>
        <v>6.3600000000000002E-3</v>
      </c>
      <c r="H88" s="173">
        <f>F88*G88</f>
        <v>110118.9798</v>
      </c>
      <c r="M88" s="188"/>
    </row>
    <row r="89" spans="2:16" x14ac:dyDescent="0.45">
      <c r="B89" s="189"/>
      <c r="C89" s="166"/>
      <c r="E89" s="91">
        <f>SUM(E88:E88)</f>
        <v>3</v>
      </c>
      <c r="F89" s="91">
        <f>SUM(F88:F88)</f>
        <v>17314305</v>
      </c>
      <c r="G89" s="119"/>
      <c r="H89" s="143">
        <f>SUM(H88:H88)</f>
        <v>110118.9798</v>
      </c>
      <c r="M89" s="188"/>
    </row>
    <row r="90" spans="2:16" x14ac:dyDescent="0.45">
      <c r="B90" s="189"/>
      <c r="E90" s="117"/>
      <c r="F90" s="91"/>
      <c r="G90" s="119"/>
      <c r="M90" s="188"/>
    </row>
    <row r="91" spans="2:16" x14ac:dyDescent="0.45">
      <c r="B91" s="189"/>
      <c r="E91" s="117"/>
      <c r="F91" s="91"/>
      <c r="G91" s="119"/>
      <c r="M91" s="188"/>
    </row>
    <row r="92" spans="2:16" x14ac:dyDescent="0.45">
      <c r="B92" s="189"/>
      <c r="C92" s="193" t="s">
        <v>280</v>
      </c>
      <c r="E92" s="91"/>
      <c r="F92" s="91"/>
      <c r="G92" s="164"/>
      <c r="H92" s="164"/>
      <c r="I92" s="164"/>
      <c r="J92" s="164"/>
      <c r="K92" s="164"/>
      <c r="L92" s="164"/>
      <c r="M92" s="188"/>
    </row>
    <row r="93" spans="2:16" ht="14.65" thickBot="1" x14ac:dyDescent="0.5">
      <c r="B93" s="189"/>
      <c r="C93" s="113" t="s">
        <v>65</v>
      </c>
      <c r="D93" s="174" t="s">
        <v>68</v>
      </c>
      <c r="E93" s="171" t="s">
        <v>10</v>
      </c>
      <c r="F93" s="171" t="s">
        <v>62</v>
      </c>
      <c r="G93" s="170" t="s">
        <v>1</v>
      </c>
      <c r="H93" s="169"/>
      <c r="I93" s="169"/>
      <c r="J93" s="169"/>
      <c r="K93" s="169"/>
      <c r="L93" s="169"/>
      <c r="M93" s="188"/>
    </row>
    <row r="94" spans="2:16" ht="14.65" thickBot="1" x14ac:dyDescent="0.5">
      <c r="B94" s="189"/>
      <c r="C94" s="168"/>
      <c r="D94" s="169" t="s">
        <v>235</v>
      </c>
      <c r="E94" s="369">
        <v>9</v>
      </c>
      <c r="F94" s="369">
        <v>1886600</v>
      </c>
      <c r="G94" s="172">
        <f>F94</f>
        <v>1886600</v>
      </c>
      <c r="H94" s="127"/>
      <c r="I94" s="127"/>
      <c r="J94" s="127"/>
      <c r="K94" s="127"/>
      <c r="L94" s="127"/>
      <c r="M94" s="188"/>
    </row>
    <row r="95" spans="2:16" x14ac:dyDescent="0.45">
      <c r="B95" s="189"/>
      <c r="C95" s="166"/>
      <c r="E95" s="91">
        <f>SUM(E94:E94)</f>
        <v>9</v>
      </c>
      <c r="F95" s="91">
        <f>SUM(F94:F94)</f>
        <v>1886600</v>
      </c>
      <c r="G95" s="192">
        <f>SUM(G94:G94)</f>
        <v>1886600</v>
      </c>
      <c r="H95" s="192"/>
      <c r="I95" s="192"/>
      <c r="J95" s="192"/>
      <c r="K95" s="192"/>
      <c r="L95" s="192"/>
      <c r="M95" s="188"/>
      <c r="O95" s="41" t="s">
        <v>148</v>
      </c>
      <c r="P95" s="364">
        <f>ROUND((F99+F109)/(E99+E109),0)</f>
        <v>178345</v>
      </c>
    </row>
    <row r="96" spans="2:16" x14ac:dyDescent="0.45">
      <c r="B96" s="189"/>
      <c r="E96" s="91"/>
      <c r="F96" s="91"/>
      <c r="G96" s="119"/>
      <c r="H96" s="119"/>
      <c r="I96" s="119"/>
      <c r="J96" s="119"/>
      <c r="K96" s="119"/>
      <c r="M96" s="188"/>
    </row>
    <row r="97" spans="2:16" ht="14.65" thickBot="1" x14ac:dyDescent="0.5">
      <c r="B97" s="189"/>
      <c r="C97" s="166" t="s">
        <v>70</v>
      </c>
      <c r="D97" s="174" t="s">
        <v>68</v>
      </c>
      <c r="E97" s="171" t="s">
        <v>10</v>
      </c>
      <c r="F97" s="171" t="s">
        <v>62</v>
      </c>
      <c r="G97" s="177" t="s">
        <v>11</v>
      </c>
      <c r="H97" s="174" t="s">
        <v>63</v>
      </c>
      <c r="I97" s="119"/>
      <c r="J97" s="119"/>
      <c r="K97" s="119"/>
      <c r="M97" s="188"/>
    </row>
    <row r="98" spans="2:16" ht="14.65" thickBot="1" x14ac:dyDescent="0.5">
      <c r="B98" s="189"/>
      <c r="C98" s="168">
        <f t="shared" ref="C98:D98" si="10">C94</f>
        <v>0</v>
      </c>
      <c r="D98" s="169" t="str">
        <f t="shared" si="10"/>
        <v>All</v>
      </c>
      <c r="E98" s="171">
        <f>E95</f>
        <v>9</v>
      </c>
      <c r="F98" s="171">
        <f>F95</f>
        <v>1886600</v>
      </c>
      <c r="G98" s="234">
        <f>Rates!D32</f>
        <v>6.5100000000000002E-3</v>
      </c>
      <c r="H98" s="173">
        <f>F98*G98</f>
        <v>12281.766</v>
      </c>
      <c r="I98" s="118"/>
      <c r="J98" s="118"/>
      <c r="K98" s="118"/>
      <c r="M98" s="188"/>
    </row>
    <row r="99" spans="2:16" x14ac:dyDescent="0.45">
      <c r="B99" s="189"/>
      <c r="C99" s="166"/>
      <c r="E99" s="91">
        <f>SUM(E98:E98)</f>
        <v>9</v>
      </c>
      <c r="F99" s="91">
        <f>SUM(F98:F98)</f>
        <v>1886600</v>
      </c>
      <c r="G99" s="119"/>
      <c r="H99" s="143">
        <f>SUM(H98:H98)</f>
        <v>12281.766</v>
      </c>
      <c r="I99" s="119"/>
      <c r="J99" s="119"/>
      <c r="K99" s="119"/>
      <c r="M99" s="188"/>
    </row>
    <row r="100" spans="2:16" x14ac:dyDescent="0.45">
      <c r="B100" s="189"/>
      <c r="E100" s="117"/>
      <c r="F100" s="91"/>
      <c r="G100" s="119"/>
      <c r="M100" s="188"/>
    </row>
    <row r="101" spans="2:16" x14ac:dyDescent="0.45">
      <c r="B101" s="189"/>
      <c r="E101" s="117"/>
      <c r="F101" s="91"/>
      <c r="G101" s="119"/>
      <c r="M101" s="188"/>
    </row>
    <row r="102" spans="2:16" x14ac:dyDescent="0.45">
      <c r="B102" s="189"/>
      <c r="C102" s="193" t="s">
        <v>281</v>
      </c>
      <c r="E102" s="91"/>
      <c r="F102" s="91"/>
      <c r="G102" s="164"/>
      <c r="H102" s="164"/>
      <c r="I102" s="164"/>
      <c r="J102" s="164"/>
      <c r="K102" s="164"/>
      <c r="L102" s="164"/>
      <c r="M102" s="188"/>
    </row>
    <row r="103" spans="2:16" ht="14.65" thickBot="1" x14ac:dyDescent="0.5">
      <c r="B103" s="189"/>
      <c r="C103" s="113" t="s">
        <v>65</v>
      </c>
      <c r="D103" s="174" t="s">
        <v>68</v>
      </c>
      <c r="E103" s="171" t="s">
        <v>10</v>
      </c>
      <c r="F103" s="171" t="s">
        <v>62</v>
      </c>
      <c r="G103" s="170" t="s">
        <v>1</v>
      </c>
      <c r="H103" s="169"/>
      <c r="I103" s="169"/>
      <c r="J103" s="169"/>
      <c r="K103" s="169"/>
      <c r="L103" s="169"/>
      <c r="M103" s="188"/>
    </row>
    <row r="104" spans="2:16" ht="14.65" thickBot="1" x14ac:dyDescent="0.5">
      <c r="B104" s="189"/>
      <c r="C104" s="168"/>
      <c r="D104" s="169" t="s">
        <v>235</v>
      </c>
      <c r="E104" s="171">
        <v>3</v>
      </c>
      <c r="F104" s="368">
        <v>253540</v>
      </c>
      <c r="G104" s="172">
        <f>F104</f>
        <v>253540</v>
      </c>
      <c r="H104" s="127"/>
      <c r="I104" s="127"/>
      <c r="J104" s="127"/>
      <c r="K104" s="127"/>
      <c r="L104" s="127"/>
      <c r="M104" s="188"/>
    </row>
    <row r="105" spans="2:16" x14ac:dyDescent="0.45">
      <c r="B105" s="189"/>
      <c r="C105" s="166"/>
      <c r="E105" s="91">
        <f>SUM(E104:E104)</f>
        <v>3</v>
      </c>
      <c r="F105" s="91">
        <f>SUM(F104:F104)</f>
        <v>253540</v>
      </c>
      <c r="G105" s="192">
        <f>SUM(G104:G104)</f>
        <v>253540</v>
      </c>
      <c r="H105" s="192"/>
      <c r="I105" s="192"/>
      <c r="J105" s="192"/>
      <c r="K105" s="192"/>
      <c r="L105" s="192"/>
      <c r="M105" s="188"/>
      <c r="P105" s="364"/>
    </row>
    <row r="106" spans="2:16" x14ac:dyDescent="0.45">
      <c r="B106" s="189"/>
      <c r="E106" s="91"/>
      <c r="F106" s="91"/>
      <c r="G106" s="119"/>
      <c r="H106" s="119"/>
      <c r="I106" s="119"/>
      <c r="J106" s="119"/>
      <c r="K106" s="119"/>
      <c r="M106" s="188"/>
    </row>
    <row r="107" spans="2:16" ht="14.65" thickBot="1" x14ac:dyDescent="0.5">
      <c r="B107" s="189"/>
      <c r="C107" s="166" t="s">
        <v>70</v>
      </c>
      <c r="D107" s="174" t="s">
        <v>68</v>
      </c>
      <c r="E107" s="171" t="s">
        <v>10</v>
      </c>
      <c r="F107" s="171" t="s">
        <v>62</v>
      </c>
      <c r="G107" s="177" t="s">
        <v>11</v>
      </c>
      <c r="H107" s="174" t="s">
        <v>63</v>
      </c>
      <c r="I107" s="119"/>
      <c r="J107" s="119"/>
      <c r="K107" s="119"/>
      <c r="M107" s="188"/>
    </row>
    <row r="108" spans="2:16" ht="14.65" thickBot="1" x14ac:dyDescent="0.5">
      <c r="B108" s="189"/>
      <c r="C108" s="168">
        <f t="shared" ref="C108:D108" si="11">C104</f>
        <v>0</v>
      </c>
      <c r="D108" s="169" t="str">
        <f t="shared" si="11"/>
        <v>All</v>
      </c>
      <c r="E108" s="171">
        <f>E105</f>
        <v>3</v>
      </c>
      <c r="F108" s="171">
        <f>F105</f>
        <v>253540</v>
      </c>
      <c r="G108" s="234">
        <f>Rates!D32</f>
        <v>6.5100000000000002E-3</v>
      </c>
      <c r="H108" s="173">
        <f>F108*G108</f>
        <v>1650.5454</v>
      </c>
      <c r="I108" s="118"/>
      <c r="J108" s="118"/>
      <c r="K108" s="118"/>
      <c r="M108" s="188"/>
    </row>
    <row r="109" spans="2:16" x14ac:dyDescent="0.45">
      <c r="B109" s="189"/>
      <c r="C109" s="166"/>
      <c r="E109" s="91">
        <f>SUM(E108:E108)</f>
        <v>3</v>
      </c>
      <c r="F109" s="91">
        <f>SUM(F108:F108)</f>
        <v>253540</v>
      </c>
      <c r="G109" s="119"/>
      <c r="H109" s="143">
        <f>SUM(H108:H108)</f>
        <v>1650.5454</v>
      </c>
      <c r="I109" s="119"/>
      <c r="J109" s="119"/>
      <c r="K109" s="119"/>
      <c r="M109" s="188"/>
    </row>
    <row r="110" spans="2:16" ht="14.65" thickBot="1" x14ac:dyDescent="0.5">
      <c r="B110" s="194"/>
      <c r="C110" s="179"/>
      <c r="D110" s="179"/>
      <c r="E110" s="178"/>
      <c r="F110" s="171"/>
      <c r="G110" s="177"/>
      <c r="H110" s="179"/>
      <c r="I110" s="179"/>
      <c r="J110" s="179"/>
      <c r="K110" s="179"/>
      <c r="L110" s="179"/>
      <c r="M110" s="195"/>
    </row>
    <row r="111" spans="2:16" x14ac:dyDescent="0.45">
      <c r="C111" s="113"/>
      <c r="E111" s="91"/>
      <c r="F111" s="91"/>
      <c r="G111" s="119"/>
      <c r="H111" s="119"/>
      <c r="I111" s="119"/>
      <c r="J111" s="119"/>
      <c r="K111" s="119"/>
      <c r="L111" s="126"/>
    </row>
  </sheetData>
  <sortState xmlns:xlrd2="http://schemas.microsoft.com/office/spreadsheetml/2017/richdata2" ref="B7:H60">
    <sortCondition ref="H7:H60"/>
    <sortCondition ref="B7:B60"/>
    <sortCondition ref="C7:C60"/>
  </sortState>
  <mergeCells count="4">
    <mergeCell ref="B6:I6"/>
    <mergeCell ref="B3:M3"/>
    <mergeCell ref="B4:M4"/>
    <mergeCell ref="B5:M5"/>
  </mergeCells>
  <pageMargins left="0.25" right="0.25" top="0.5" bottom="0.5" header="0" footer="0"/>
  <pageSetup scale="69" fitToHeight="2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B426C-EDCF-4F75-A235-26D224CEBEBE}">
  <sheetPr>
    <pageSetUpPr fitToPage="1"/>
  </sheetPr>
  <dimension ref="B1:P111"/>
  <sheetViews>
    <sheetView workbookViewId="0">
      <selection sqref="A1:N111"/>
    </sheetView>
  </sheetViews>
  <sheetFormatPr defaultColWidth="8.83203125" defaultRowHeight="14.25" x14ac:dyDescent="0.45"/>
  <cols>
    <col min="1" max="1" width="1.609375" style="41" customWidth="1"/>
    <col min="2" max="2" width="5.94140625" style="113" customWidth="1"/>
    <col min="3" max="3" width="30.609375" style="41" customWidth="1"/>
    <col min="4" max="4" width="12.609375" style="41" customWidth="1"/>
    <col min="5" max="5" width="12.609375" style="114" customWidth="1"/>
    <col min="6" max="6" width="12.609375" style="90" customWidth="1"/>
    <col min="7" max="7" width="12.609375" style="115" customWidth="1"/>
    <col min="8" max="8" width="12.609375" style="41" customWidth="1"/>
    <col min="9" max="10" width="14.609375" style="41" customWidth="1"/>
    <col min="11" max="11" width="10.5546875" style="41" bestFit="1" customWidth="1"/>
    <col min="12" max="12" width="10" style="41" bestFit="1" customWidth="1"/>
    <col min="13" max="13" width="1.44140625" style="41" customWidth="1"/>
    <col min="14" max="14" width="1.609375" style="41" customWidth="1"/>
    <col min="15" max="15" width="8.83203125" style="41"/>
    <col min="16" max="16" width="12.21875" style="41" customWidth="1"/>
    <col min="17" max="16384" width="8.83203125" style="41"/>
  </cols>
  <sheetData>
    <row r="1" spans="2:13" ht="14.65" thickBot="1" x14ac:dyDescent="0.5"/>
    <row r="2" spans="2:13" x14ac:dyDescent="0.45">
      <c r="B2" s="182"/>
      <c r="C2" s="183"/>
      <c r="D2" s="183"/>
      <c r="E2" s="184"/>
      <c r="F2" s="185"/>
      <c r="G2" s="186"/>
      <c r="H2" s="183"/>
      <c r="I2" s="183"/>
      <c r="J2" s="183"/>
      <c r="K2" s="183"/>
      <c r="L2" s="183"/>
      <c r="M2" s="187"/>
    </row>
    <row r="3" spans="2:13" ht="18" hidden="1" customHeight="1" x14ac:dyDescent="0.55000000000000004">
      <c r="B3" s="446" t="s">
        <v>205</v>
      </c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1"/>
    </row>
    <row r="4" spans="2:13" ht="18" customHeight="1" x14ac:dyDescent="0.55000000000000004">
      <c r="B4" s="447" t="s">
        <v>290</v>
      </c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9"/>
    </row>
    <row r="5" spans="2:13" ht="15.5" customHeight="1" x14ac:dyDescent="0.55000000000000004">
      <c r="B5" s="446" t="s">
        <v>219</v>
      </c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1"/>
    </row>
    <row r="6" spans="2:13" ht="14.75" customHeight="1" x14ac:dyDescent="0.45">
      <c r="B6" s="444"/>
      <c r="C6" s="445"/>
      <c r="D6" s="445"/>
      <c r="E6" s="445"/>
      <c r="F6" s="445"/>
      <c r="G6" s="445"/>
      <c r="H6" s="445"/>
      <c r="I6" s="445"/>
      <c r="J6" s="162"/>
      <c r="K6" s="162"/>
      <c r="M6" s="188"/>
    </row>
    <row r="7" spans="2:13" x14ac:dyDescent="0.45">
      <c r="B7" s="189"/>
      <c r="D7" s="163" t="s">
        <v>61</v>
      </c>
      <c r="E7" s="91" t="s">
        <v>10</v>
      </c>
      <c r="F7" s="91" t="s">
        <v>62</v>
      </c>
      <c r="G7" s="164" t="s">
        <v>63</v>
      </c>
      <c r="H7" s="165"/>
      <c r="I7" s="165"/>
      <c r="J7" s="165"/>
      <c r="M7" s="188"/>
    </row>
    <row r="8" spans="2:13" x14ac:dyDescent="0.45">
      <c r="B8" s="189"/>
      <c r="D8" s="163" t="s">
        <v>137</v>
      </c>
      <c r="E8" s="91">
        <f>E31+E49+E59+E69+E79+E89+E99+E109</f>
        <v>64463</v>
      </c>
      <c r="F8" s="91">
        <f>F31+F49+F59+F69+F79+F89+F99+F109</f>
        <v>320100759</v>
      </c>
      <c r="G8" s="143">
        <f>H31+H49+H59+H69+H79+H89+H99+H109</f>
        <v>4719158.0008799993</v>
      </c>
      <c r="H8" s="165"/>
      <c r="I8" s="165"/>
      <c r="J8" s="165"/>
      <c r="M8" s="188"/>
    </row>
    <row r="9" spans="2:13" x14ac:dyDescent="0.45">
      <c r="B9" s="189"/>
      <c r="D9" s="163" t="s">
        <v>136</v>
      </c>
      <c r="E9" s="91"/>
      <c r="F9" s="91"/>
      <c r="G9" s="134">
        <f>'Existing Billing Analysis'!G9</f>
        <v>0</v>
      </c>
      <c r="H9" s="165"/>
      <c r="I9" s="165"/>
      <c r="J9" s="165"/>
      <c r="M9" s="188"/>
    </row>
    <row r="10" spans="2:13" x14ac:dyDescent="0.45">
      <c r="B10" s="189"/>
      <c r="D10" s="163" t="s">
        <v>135</v>
      </c>
      <c r="E10" s="91"/>
      <c r="F10" s="91"/>
      <c r="G10" s="143">
        <f>G8-G9</f>
        <v>4719158.0008799993</v>
      </c>
      <c r="H10" s="165"/>
      <c r="I10" s="165"/>
      <c r="J10" s="165"/>
      <c r="M10" s="188"/>
    </row>
    <row r="11" spans="2:13" x14ac:dyDescent="0.45">
      <c r="B11" s="189"/>
      <c r="D11" s="163" t="s">
        <v>289</v>
      </c>
      <c r="E11" s="91"/>
      <c r="F11" s="91"/>
      <c r="G11" s="133">
        <f>'Revenue Requirement'!F16</f>
        <v>4719544.3563252911</v>
      </c>
      <c r="H11" s="165"/>
      <c r="I11" s="165"/>
      <c r="J11" s="165"/>
      <c r="M11" s="188"/>
    </row>
    <row r="12" spans="2:13" x14ac:dyDescent="0.45">
      <c r="B12" s="189"/>
      <c r="D12" s="163" t="s">
        <v>134</v>
      </c>
      <c r="E12" s="91"/>
      <c r="F12" s="91"/>
      <c r="G12" s="180">
        <f>G10-G11</f>
        <v>-386.35544529184699</v>
      </c>
      <c r="H12" s="165"/>
      <c r="I12" s="165"/>
      <c r="J12" s="165"/>
      <c r="M12" s="188"/>
    </row>
    <row r="13" spans="2:13" x14ac:dyDescent="0.45">
      <c r="B13" s="189"/>
      <c r="C13" s="166"/>
      <c r="E13" s="91"/>
      <c r="F13" s="91"/>
      <c r="G13" s="181">
        <f>G12/G11</f>
        <v>-8.1862869828533443E-5</v>
      </c>
      <c r="H13" s="167"/>
      <c r="I13" s="165"/>
      <c r="J13" s="165"/>
      <c r="K13" s="165"/>
      <c r="M13" s="188"/>
    </row>
    <row r="14" spans="2:13" x14ac:dyDescent="0.45">
      <c r="B14" s="189"/>
      <c r="E14" s="91"/>
      <c r="F14" s="91"/>
      <c r="G14" s="119"/>
      <c r="H14" s="113"/>
      <c r="I14" s="165"/>
      <c r="J14" s="165"/>
      <c r="K14" s="165"/>
      <c r="M14" s="188"/>
    </row>
    <row r="15" spans="2:13" x14ac:dyDescent="0.45">
      <c r="B15" s="189"/>
      <c r="E15" s="91"/>
      <c r="F15" s="91"/>
      <c r="G15" s="119"/>
      <c r="H15" s="113"/>
      <c r="I15" s="165"/>
      <c r="J15" s="165"/>
      <c r="K15" s="165"/>
      <c r="M15" s="188"/>
    </row>
    <row r="16" spans="2:13" x14ac:dyDescent="0.45">
      <c r="B16" s="189"/>
      <c r="C16" s="129" t="s">
        <v>276</v>
      </c>
      <c r="E16" s="91"/>
      <c r="F16" s="91"/>
      <c r="G16" s="117" t="str">
        <f>C18</f>
        <v>First</v>
      </c>
      <c r="H16" s="117" t="str">
        <f>C19</f>
        <v>Next</v>
      </c>
      <c r="I16" s="117" t="str">
        <f>C20</f>
        <v>Next</v>
      </c>
      <c r="J16" s="117" t="s">
        <v>75</v>
      </c>
      <c r="K16" s="117" t="str">
        <f>C22</f>
        <v>Over</v>
      </c>
      <c r="L16" s="126"/>
      <c r="M16" s="188"/>
    </row>
    <row r="17" spans="2:16" ht="14.65" thickBot="1" x14ac:dyDescent="0.5">
      <c r="B17" s="189"/>
      <c r="C17" s="113" t="s">
        <v>65</v>
      </c>
      <c r="D17" s="174" t="s">
        <v>68</v>
      </c>
      <c r="E17" s="171" t="s">
        <v>10</v>
      </c>
      <c r="F17" s="171" t="s">
        <v>62</v>
      </c>
      <c r="G17" s="175">
        <f>D18</f>
        <v>2000</v>
      </c>
      <c r="H17" s="175">
        <f>D19</f>
        <v>5000</v>
      </c>
      <c r="I17" s="175">
        <f>D20</f>
        <v>10000</v>
      </c>
      <c r="J17" s="175">
        <f>D21</f>
        <v>20000</v>
      </c>
      <c r="K17" s="175">
        <f>D22</f>
        <v>37000</v>
      </c>
      <c r="L17" s="176" t="s">
        <v>69</v>
      </c>
      <c r="M17" s="188"/>
    </row>
    <row r="18" spans="2:16" x14ac:dyDescent="0.45">
      <c r="B18" s="189"/>
      <c r="C18" s="168" t="s">
        <v>66</v>
      </c>
      <c r="D18" s="169">
        <v>2000</v>
      </c>
      <c r="E18" s="91">
        <f>1291+14188</f>
        <v>15479</v>
      </c>
      <c r="F18" s="91">
        <f>0+15498620</f>
        <v>15498620</v>
      </c>
      <c r="G18" s="91">
        <f>F18</f>
        <v>15498620</v>
      </c>
      <c r="H18" s="91">
        <v>0</v>
      </c>
      <c r="I18" s="91">
        <v>0</v>
      </c>
      <c r="J18" s="91">
        <v>0</v>
      </c>
      <c r="K18" s="91">
        <v>0</v>
      </c>
      <c r="L18" s="127">
        <f>SUM(G18:K18)</f>
        <v>15498620</v>
      </c>
      <c r="M18" s="188"/>
    </row>
    <row r="19" spans="2:16" x14ac:dyDescent="0.45">
      <c r="B19" s="189"/>
      <c r="C19" s="168" t="s">
        <v>75</v>
      </c>
      <c r="D19" s="169">
        <v>5000</v>
      </c>
      <c r="E19" s="91">
        <v>27079</v>
      </c>
      <c r="F19" s="91">
        <v>103067094</v>
      </c>
      <c r="G19" s="91">
        <f>E19*D18</f>
        <v>54158000</v>
      </c>
      <c r="H19" s="91">
        <f>F19-G19</f>
        <v>48909094</v>
      </c>
      <c r="I19" s="91">
        <v>0</v>
      </c>
      <c r="J19" s="91">
        <v>0</v>
      </c>
      <c r="K19" s="91">
        <v>0</v>
      </c>
      <c r="L19" s="127">
        <f>SUM(G19:K19)</f>
        <v>103067094</v>
      </c>
      <c r="M19" s="188"/>
    </row>
    <row r="20" spans="2:16" x14ac:dyDescent="0.45">
      <c r="B20" s="189"/>
      <c r="C20" s="168" t="s">
        <v>75</v>
      </c>
      <c r="D20" s="169">
        <v>10000</v>
      </c>
      <c r="E20" s="91">
        <v>4180</v>
      </c>
      <c r="F20" s="91">
        <v>40144673</v>
      </c>
      <c r="G20" s="91">
        <f>E20*D18</f>
        <v>8360000</v>
      </c>
      <c r="H20" s="91">
        <f>E20*D19</f>
        <v>20900000</v>
      </c>
      <c r="I20" s="91">
        <f>F20-G20-H20</f>
        <v>10884673</v>
      </c>
      <c r="J20" s="91">
        <v>0</v>
      </c>
      <c r="K20" s="91">
        <v>0</v>
      </c>
      <c r="L20" s="127">
        <f>SUM(G20:K20)</f>
        <v>40144673</v>
      </c>
      <c r="M20" s="188"/>
    </row>
    <row r="21" spans="2:16" x14ac:dyDescent="0.45">
      <c r="B21" s="189"/>
      <c r="C21" s="168" t="s">
        <v>75</v>
      </c>
      <c r="D21" s="169">
        <v>20000</v>
      </c>
      <c r="E21" s="91">
        <v>480</v>
      </c>
      <c r="F21" s="91">
        <v>10857451</v>
      </c>
      <c r="G21" s="91">
        <f>E21*D18</f>
        <v>960000</v>
      </c>
      <c r="H21" s="91">
        <f>E21*D19</f>
        <v>2400000</v>
      </c>
      <c r="I21" s="91">
        <f>E21*D20</f>
        <v>4800000</v>
      </c>
      <c r="J21" s="91">
        <f>F21-G21-H21-I21</f>
        <v>2697451</v>
      </c>
      <c r="K21" s="91">
        <v>0</v>
      </c>
      <c r="L21" s="127">
        <f>SUM(G21:K21)</f>
        <v>10857451</v>
      </c>
      <c r="M21" s="188"/>
    </row>
    <row r="22" spans="2:16" ht="14.65" thickBot="1" x14ac:dyDescent="0.5">
      <c r="B22" s="189"/>
      <c r="C22" s="168" t="s">
        <v>67</v>
      </c>
      <c r="D22" s="169">
        <v>37000</v>
      </c>
      <c r="E22" s="171">
        <f>69+34</f>
        <v>103</v>
      </c>
      <c r="F22" s="171">
        <f>3380186+12458394</f>
        <v>15838580</v>
      </c>
      <c r="G22" s="171">
        <f>E22*D18</f>
        <v>206000</v>
      </c>
      <c r="H22" s="171">
        <f>E22*D19</f>
        <v>515000</v>
      </c>
      <c r="I22" s="171">
        <f>E22*D20</f>
        <v>1030000</v>
      </c>
      <c r="J22" s="171">
        <f>E22*D21</f>
        <v>2060000</v>
      </c>
      <c r="K22" s="171">
        <f>F22-G22-H22-I22-J22</f>
        <v>12027580</v>
      </c>
      <c r="L22" s="172">
        <f>SUM(G22:K22)</f>
        <v>15838580</v>
      </c>
      <c r="M22" s="188"/>
    </row>
    <row r="23" spans="2:16" x14ac:dyDescent="0.45">
      <c r="B23" s="189"/>
      <c r="C23" s="166"/>
      <c r="E23" s="91">
        <f t="shared" ref="E23:L23" si="0">SUM(E18:E22)</f>
        <v>47321</v>
      </c>
      <c r="F23" s="91">
        <f t="shared" si="0"/>
        <v>185406418</v>
      </c>
      <c r="G23" s="91">
        <f t="shared" si="0"/>
        <v>79182620</v>
      </c>
      <c r="H23" s="91">
        <f t="shared" si="0"/>
        <v>72724094</v>
      </c>
      <c r="I23" s="91">
        <f t="shared" si="0"/>
        <v>16714673</v>
      </c>
      <c r="J23" s="91">
        <f t="shared" si="0"/>
        <v>4757451</v>
      </c>
      <c r="K23" s="91">
        <f t="shared" si="0"/>
        <v>12027580</v>
      </c>
      <c r="L23" s="91">
        <f t="shared" si="0"/>
        <v>185406418</v>
      </c>
      <c r="M23" s="188"/>
      <c r="O23" s="41" t="s">
        <v>148</v>
      </c>
      <c r="P23" s="364">
        <f>ROUND((F23+F41)/(E23+E41),0)</f>
        <v>3810</v>
      </c>
    </row>
    <row r="24" spans="2:16" x14ac:dyDescent="0.45">
      <c r="B24" s="189"/>
      <c r="E24" s="91"/>
      <c r="F24" s="91"/>
      <c r="G24" s="119"/>
      <c r="H24" s="119"/>
      <c r="I24" s="119"/>
      <c r="J24" s="119"/>
      <c r="K24" s="119"/>
      <c r="L24" s="165"/>
      <c r="M24" s="188"/>
    </row>
    <row r="25" spans="2:16" ht="14.65" thickBot="1" x14ac:dyDescent="0.5">
      <c r="B25" s="189"/>
      <c r="C25" s="166" t="s">
        <v>70</v>
      </c>
      <c r="D25" s="174" t="s">
        <v>68</v>
      </c>
      <c r="E25" s="171" t="s">
        <v>10</v>
      </c>
      <c r="F25" s="171" t="s">
        <v>62</v>
      </c>
      <c r="G25" s="177" t="s">
        <v>11</v>
      </c>
      <c r="H25" s="174" t="s">
        <v>63</v>
      </c>
      <c r="I25" s="119"/>
      <c r="J25" s="119"/>
      <c r="K25" s="119"/>
      <c r="L25" s="165"/>
      <c r="M25" s="188"/>
    </row>
    <row r="26" spans="2:16" x14ac:dyDescent="0.45">
      <c r="B26" s="189"/>
      <c r="C26" s="169" t="str">
        <f t="shared" ref="C26:D29" si="1">C18</f>
        <v>First</v>
      </c>
      <c r="D26" s="169">
        <f t="shared" si="1"/>
        <v>2000</v>
      </c>
      <c r="E26" s="91">
        <f>E23</f>
        <v>47321</v>
      </c>
      <c r="F26" s="91">
        <f>G23</f>
        <v>79182620</v>
      </c>
      <c r="G26" s="118">
        <f>Rates!E10</f>
        <v>31.75</v>
      </c>
      <c r="H26" s="143">
        <f>E26*G26</f>
        <v>1502441.75</v>
      </c>
      <c r="I26" s="118"/>
      <c r="J26" s="118"/>
      <c r="K26" s="118"/>
      <c r="L26" s="165"/>
      <c r="M26" s="188"/>
    </row>
    <row r="27" spans="2:16" x14ac:dyDescent="0.45">
      <c r="B27" s="189"/>
      <c r="C27" s="169" t="str">
        <f t="shared" si="1"/>
        <v>Next</v>
      </c>
      <c r="D27" s="169">
        <f t="shared" si="1"/>
        <v>5000</v>
      </c>
      <c r="E27" s="91"/>
      <c r="F27" s="91">
        <f>H23</f>
        <v>72724094</v>
      </c>
      <c r="G27" s="234">
        <f>Rates!E11</f>
        <v>1.5429999999999999E-2</v>
      </c>
      <c r="H27" s="143">
        <f>F27*G27</f>
        <v>1122132.77042</v>
      </c>
      <c r="I27" s="118"/>
      <c r="J27" s="118"/>
      <c r="K27" s="118"/>
      <c r="L27" s="165"/>
      <c r="M27" s="188"/>
    </row>
    <row r="28" spans="2:16" x14ac:dyDescent="0.45">
      <c r="B28" s="189"/>
      <c r="C28" s="169" t="str">
        <f t="shared" si="1"/>
        <v>Next</v>
      </c>
      <c r="D28" s="169">
        <f t="shared" si="1"/>
        <v>10000</v>
      </c>
      <c r="E28" s="91"/>
      <c r="F28" s="91">
        <f>I23</f>
        <v>16714673</v>
      </c>
      <c r="G28" s="234">
        <f>Rates!E12</f>
        <v>1.4919999999999999E-2</v>
      </c>
      <c r="H28" s="143">
        <f>F28*G28</f>
        <v>249382.92116</v>
      </c>
      <c r="I28" s="118"/>
      <c r="J28" s="118"/>
      <c r="K28" s="118"/>
      <c r="L28" s="165"/>
      <c r="M28" s="188"/>
    </row>
    <row r="29" spans="2:16" x14ac:dyDescent="0.45">
      <c r="B29" s="189"/>
      <c r="C29" s="169" t="str">
        <f t="shared" si="1"/>
        <v>Next</v>
      </c>
      <c r="D29" s="169">
        <f t="shared" si="1"/>
        <v>20000</v>
      </c>
      <c r="E29" s="91"/>
      <c r="F29" s="91">
        <f>J23</f>
        <v>4757451</v>
      </c>
      <c r="G29" s="234">
        <f>Rates!E13</f>
        <v>1.376E-2</v>
      </c>
      <c r="H29" s="143">
        <f>F29*G29</f>
        <v>65462.525759999997</v>
      </c>
      <c r="I29" s="118"/>
      <c r="J29" s="118"/>
      <c r="K29" s="118"/>
      <c r="L29" s="165"/>
      <c r="M29" s="188"/>
    </row>
    <row r="30" spans="2:16" ht="14.65" thickBot="1" x14ac:dyDescent="0.5">
      <c r="B30" s="189"/>
      <c r="C30" s="169" t="str">
        <f>C22</f>
        <v>Over</v>
      </c>
      <c r="D30" s="169">
        <f>D22</f>
        <v>37000</v>
      </c>
      <c r="E30" s="171"/>
      <c r="F30" s="171">
        <f>K23</f>
        <v>12027580</v>
      </c>
      <c r="G30" s="234">
        <f>Rates!E14</f>
        <v>1.213E-2</v>
      </c>
      <c r="H30" s="173">
        <f>F30*G30</f>
        <v>145894.5454</v>
      </c>
      <c r="I30" s="118"/>
      <c r="J30" s="118"/>
      <c r="K30" s="118"/>
      <c r="L30" s="165"/>
      <c r="M30" s="188"/>
    </row>
    <row r="31" spans="2:16" x14ac:dyDescent="0.45">
      <c r="B31" s="189"/>
      <c r="C31" s="166"/>
      <c r="E31" s="91">
        <f>SUM(E26:E30)</f>
        <v>47321</v>
      </c>
      <c r="F31" s="91">
        <f>SUM(F26:F30)</f>
        <v>185406418</v>
      </c>
      <c r="G31" s="119"/>
      <c r="H31" s="143">
        <f>SUM(H26:H30)</f>
        <v>3085314.5127400002</v>
      </c>
      <c r="I31" s="119"/>
      <c r="J31" s="119"/>
      <c r="K31" s="119"/>
      <c r="L31" s="120"/>
      <c r="M31" s="190"/>
    </row>
    <row r="32" spans="2:16" x14ac:dyDescent="0.45">
      <c r="B32" s="189"/>
      <c r="C32" s="166"/>
      <c r="E32" s="91"/>
      <c r="F32" s="91"/>
      <c r="G32" s="119"/>
      <c r="H32" s="143"/>
      <c r="I32" s="119"/>
      <c r="J32" s="119"/>
      <c r="K32" s="119"/>
      <c r="L32" s="120"/>
      <c r="M32" s="190"/>
    </row>
    <row r="33" spans="2:16" x14ac:dyDescent="0.45">
      <c r="B33" s="189"/>
      <c r="C33" s="166"/>
      <c r="E33" s="91"/>
      <c r="F33" s="91"/>
      <c r="G33" s="119"/>
      <c r="H33" s="119"/>
      <c r="I33" s="119"/>
      <c r="J33" s="119"/>
      <c r="K33" s="119"/>
      <c r="L33" s="165"/>
      <c r="M33" s="188"/>
    </row>
    <row r="34" spans="2:16" x14ac:dyDescent="0.45">
      <c r="B34" s="189"/>
      <c r="C34" s="129" t="s">
        <v>277</v>
      </c>
      <c r="E34" s="91"/>
      <c r="F34" s="91"/>
      <c r="G34" s="117" t="str">
        <f>C36</f>
        <v>First</v>
      </c>
      <c r="H34" s="117" t="str">
        <f>C37</f>
        <v>Next</v>
      </c>
      <c r="I34" s="117" t="str">
        <f>C38</f>
        <v>Next</v>
      </c>
      <c r="J34" s="117" t="s">
        <v>75</v>
      </c>
      <c r="K34" s="117" t="str">
        <f>C40</f>
        <v>Over</v>
      </c>
      <c r="L34" s="126"/>
      <c r="M34" s="188"/>
    </row>
    <row r="35" spans="2:16" ht="14.65" thickBot="1" x14ac:dyDescent="0.5">
      <c r="B35" s="189"/>
      <c r="C35" s="113" t="s">
        <v>65</v>
      </c>
      <c r="D35" s="174" t="s">
        <v>68</v>
      </c>
      <c r="E35" s="171" t="s">
        <v>10</v>
      </c>
      <c r="F35" s="171" t="s">
        <v>62</v>
      </c>
      <c r="G35" s="175">
        <f>D36</f>
        <v>2000</v>
      </c>
      <c r="H35" s="175">
        <f>D37</f>
        <v>5000</v>
      </c>
      <c r="I35" s="175">
        <f>D38</f>
        <v>10000</v>
      </c>
      <c r="J35" s="175">
        <f>D39</f>
        <v>20000</v>
      </c>
      <c r="K35" s="175">
        <f>D40</f>
        <v>37000</v>
      </c>
      <c r="L35" s="176" t="s">
        <v>69</v>
      </c>
      <c r="M35" s="188"/>
    </row>
    <row r="36" spans="2:16" x14ac:dyDescent="0.45">
      <c r="B36" s="189"/>
      <c r="C36" s="168" t="s">
        <v>66</v>
      </c>
      <c r="D36" s="169">
        <v>2000</v>
      </c>
      <c r="E36" s="91">
        <f>ROUND((E18/$E$23)*17118,0)</f>
        <v>5599</v>
      </c>
      <c r="F36" s="91">
        <f>ROUND((F18/$F$23)*60098168,0)</f>
        <v>5023767</v>
      </c>
      <c r="G36" s="91">
        <f>F36</f>
        <v>5023767</v>
      </c>
      <c r="H36" s="91">
        <v>0</v>
      </c>
      <c r="I36" s="91">
        <v>0</v>
      </c>
      <c r="J36" s="91">
        <v>0</v>
      </c>
      <c r="K36" s="91">
        <v>0</v>
      </c>
      <c r="L36" s="127">
        <f>SUM(G36:K36)</f>
        <v>5023767</v>
      </c>
      <c r="M36" s="188"/>
    </row>
    <row r="37" spans="2:16" x14ac:dyDescent="0.45">
      <c r="B37" s="189"/>
      <c r="C37" s="168" t="s">
        <v>75</v>
      </c>
      <c r="D37" s="169">
        <v>5000</v>
      </c>
      <c r="E37" s="91">
        <f t="shared" ref="E37:E40" si="2">ROUND((E19/$E$23)*17118,0)</f>
        <v>9796</v>
      </c>
      <c r="F37" s="91">
        <f t="shared" ref="F37:F40" si="3">ROUND((F19/$F$23)*60098168,0)</f>
        <v>33408463</v>
      </c>
      <c r="G37" s="91">
        <f>E37*D36</f>
        <v>19592000</v>
      </c>
      <c r="H37" s="91">
        <f>F37-G37</f>
        <v>13816463</v>
      </c>
      <c r="I37" s="91">
        <v>0</v>
      </c>
      <c r="J37" s="91">
        <v>0</v>
      </c>
      <c r="K37" s="91">
        <v>0</v>
      </c>
      <c r="L37" s="127">
        <f>SUM(G37:K37)</f>
        <v>33408463</v>
      </c>
      <c r="M37" s="188"/>
    </row>
    <row r="38" spans="2:16" x14ac:dyDescent="0.45">
      <c r="B38" s="189"/>
      <c r="C38" s="168" t="s">
        <v>75</v>
      </c>
      <c r="D38" s="169">
        <v>10000</v>
      </c>
      <c r="E38" s="91">
        <f t="shared" si="2"/>
        <v>1512</v>
      </c>
      <c r="F38" s="91">
        <f t="shared" si="3"/>
        <v>13012609</v>
      </c>
      <c r="G38" s="91">
        <f>E38*D36</f>
        <v>3024000</v>
      </c>
      <c r="H38" s="91">
        <f>E38*D37</f>
        <v>7560000</v>
      </c>
      <c r="I38" s="91">
        <f>F38-G38-H38</f>
        <v>2428609</v>
      </c>
      <c r="J38" s="91">
        <v>0</v>
      </c>
      <c r="K38" s="91">
        <v>0</v>
      </c>
      <c r="L38" s="127">
        <f>SUM(G38:K38)</f>
        <v>13012609</v>
      </c>
      <c r="M38" s="188"/>
    </row>
    <row r="39" spans="2:16" x14ac:dyDescent="0.45">
      <c r="B39" s="189"/>
      <c r="C39" s="168" t="s">
        <v>75</v>
      </c>
      <c r="D39" s="169">
        <v>20000</v>
      </c>
      <c r="E39" s="91">
        <f t="shared" si="2"/>
        <v>174</v>
      </c>
      <c r="F39" s="91">
        <f t="shared" si="3"/>
        <v>3519365</v>
      </c>
      <c r="G39" s="91">
        <f>E39*D36</f>
        <v>348000</v>
      </c>
      <c r="H39" s="91">
        <f>E39*D37</f>
        <v>870000</v>
      </c>
      <c r="I39" s="91">
        <f>E39*D38</f>
        <v>1740000</v>
      </c>
      <c r="J39" s="91">
        <f>F39-G39-H39-I39</f>
        <v>561365</v>
      </c>
      <c r="K39" s="91">
        <v>0</v>
      </c>
      <c r="L39" s="127">
        <f>SUM(G39:K39)</f>
        <v>3519365</v>
      </c>
      <c r="M39" s="188"/>
    </row>
    <row r="40" spans="2:16" ht="14.65" thickBot="1" x14ac:dyDescent="0.5">
      <c r="B40" s="189"/>
      <c r="C40" s="168" t="s">
        <v>67</v>
      </c>
      <c r="D40" s="169">
        <v>37000</v>
      </c>
      <c r="E40" s="366">
        <f t="shared" si="2"/>
        <v>37</v>
      </c>
      <c r="F40" s="366">
        <f t="shared" si="3"/>
        <v>5133963</v>
      </c>
      <c r="G40" s="171">
        <f>E40*D36</f>
        <v>74000</v>
      </c>
      <c r="H40" s="171">
        <f>E40*D37</f>
        <v>185000</v>
      </c>
      <c r="I40" s="171">
        <f>E40*D38</f>
        <v>370000</v>
      </c>
      <c r="J40" s="171">
        <f>E40*D39</f>
        <v>740000</v>
      </c>
      <c r="K40" s="171">
        <f>F40-G40-H40-I40-J40</f>
        <v>3764963</v>
      </c>
      <c r="L40" s="172">
        <f>SUM(G40:K40)</f>
        <v>5133963</v>
      </c>
      <c r="M40" s="188"/>
    </row>
    <row r="41" spans="2:16" x14ac:dyDescent="0.45">
      <c r="B41" s="189"/>
      <c r="C41" s="166"/>
      <c r="E41" s="363">
        <f>SUM(E36:E40)</f>
        <v>17118</v>
      </c>
      <c r="F41" s="91">
        <f t="shared" ref="F41:J41" si="4">SUM(F36:F40)</f>
        <v>60098167</v>
      </c>
      <c r="G41" s="91">
        <f t="shared" si="4"/>
        <v>28061767</v>
      </c>
      <c r="H41" s="91">
        <f t="shared" si="4"/>
        <v>22431463</v>
      </c>
      <c r="I41" s="91">
        <f t="shared" si="4"/>
        <v>4538609</v>
      </c>
      <c r="J41" s="91">
        <f t="shared" si="4"/>
        <v>1301365</v>
      </c>
      <c r="K41" s="91">
        <f t="shared" ref="K41:L41" si="5">SUM(K36:K40)</f>
        <v>3764963</v>
      </c>
      <c r="L41" s="91">
        <f t="shared" si="5"/>
        <v>60098167</v>
      </c>
      <c r="M41" s="188"/>
      <c r="O41" s="48" t="s">
        <v>300</v>
      </c>
      <c r="P41" s="230"/>
    </row>
    <row r="42" spans="2:16" x14ac:dyDescent="0.45">
      <c r="B42" s="189"/>
      <c r="E42" s="91"/>
      <c r="F42" s="91"/>
      <c r="G42" s="119"/>
      <c r="H42" s="119"/>
      <c r="I42" s="119"/>
      <c r="J42" s="119"/>
      <c r="K42" s="119"/>
      <c r="L42" s="165"/>
      <c r="M42" s="188"/>
    </row>
    <row r="43" spans="2:16" ht="14.65" thickBot="1" x14ac:dyDescent="0.5">
      <c r="B43" s="189"/>
      <c r="C43" s="166" t="s">
        <v>70</v>
      </c>
      <c r="D43" s="174" t="s">
        <v>68</v>
      </c>
      <c r="E43" s="171" t="s">
        <v>10</v>
      </c>
      <c r="F43" s="171" t="s">
        <v>62</v>
      </c>
      <c r="G43" s="177" t="s">
        <v>11</v>
      </c>
      <c r="H43" s="174" t="s">
        <v>63</v>
      </c>
      <c r="I43" s="119"/>
      <c r="J43" s="119"/>
      <c r="K43" s="119"/>
      <c r="L43" s="165"/>
      <c r="M43" s="188"/>
    </row>
    <row r="44" spans="2:16" x14ac:dyDescent="0.45">
      <c r="B44" s="189"/>
      <c r="C44" s="169" t="str">
        <f t="shared" ref="C44:D46" si="6">C36</f>
        <v>First</v>
      </c>
      <c r="D44" s="169">
        <f t="shared" si="6"/>
        <v>2000</v>
      </c>
      <c r="E44" s="91">
        <f>E41</f>
        <v>17118</v>
      </c>
      <c r="F44" s="91">
        <f>G41</f>
        <v>28061767</v>
      </c>
      <c r="G44" s="118">
        <f>Rates!E10</f>
        <v>31.75</v>
      </c>
      <c r="H44" s="143">
        <f>E44*G44</f>
        <v>543496.5</v>
      </c>
      <c r="I44" s="118"/>
      <c r="J44" s="118"/>
      <c r="K44" s="118"/>
      <c r="L44" s="165"/>
      <c r="M44" s="188"/>
    </row>
    <row r="45" spans="2:16" x14ac:dyDescent="0.45">
      <c r="B45" s="189"/>
      <c r="C45" s="169" t="str">
        <f t="shared" si="6"/>
        <v>Next</v>
      </c>
      <c r="D45" s="169">
        <f t="shared" si="6"/>
        <v>5000</v>
      </c>
      <c r="E45" s="91"/>
      <c r="F45" s="91">
        <f>H41</f>
        <v>22431463</v>
      </c>
      <c r="G45" s="234">
        <f>Rates!E11</f>
        <v>1.5429999999999999E-2</v>
      </c>
      <c r="H45" s="143">
        <f>F45*G45</f>
        <v>346117.47408999997</v>
      </c>
      <c r="I45" s="118"/>
      <c r="J45" s="118"/>
      <c r="K45" s="118"/>
      <c r="L45" s="165"/>
      <c r="M45" s="188"/>
    </row>
    <row r="46" spans="2:16" x14ac:dyDescent="0.45">
      <c r="B46" s="189"/>
      <c r="C46" s="169" t="str">
        <f t="shared" si="6"/>
        <v>Next</v>
      </c>
      <c r="D46" s="169">
        <f t="shared" si="6"/>
        <v>10000</v>
      </c>
      <c r="E46" s="91"/>
      <c r="F46" s="91">
        <f>I41</f>
        <v>4538609</v>
      </c>
      <c r="G46" s="234">
        <f>Rates!E12</f>
        <v>1.4919999999999999E-2</v>
      </c>
      <c r="H46" s="143">
        <f>F46*G46</f>
        <v>67716.046279999995</v>
      </c>
      <c r="I46" s="118"/>
      <c r="J46" s="118"/>
      <c r="K46" s="118"/>
      <c r="L46" s="165"/>
      <c r="M46" s="188"/>
    </row>
    <row r="47" spans="2:16" x14ac:dyDescent="0.45">
      <c r="B47" s="189"/>
      <c r="C47" s="168" t="s">
        <v>75</v>
      </c>
      <c r="D47" s="169">
        <v>20000</v>
      </c>
      <c r="E47" s="91"/>
      <c r="F47" s="91">
        <f>J41</f>
        <v>1301365</v>
      </c>
      <c r="G47" s="234">
        <f>Rates!E13</f>
        <v>1.376E-2</v>
      </c>
      <c r="H47" s="143">
        <f>F47*G47</f>
        <v>17906.7824</v>
      </c>
      <c r="I47" s="118"/>
      <c r="J47" s="118"/>
      <c r="K47" s="118"/>
      <c r="L47" s="165"/>
      <c r="M47" s="188"/>
    </row>
    <row r="48" spans="2:16" ht="14.65" thickBot="1" x14ac:dyDescent="0.5">
      <c r="B48" s="189"/>
      <c r="C48" s="169" t="str">
        <f>C40</f>
        <v>Over</v>
      </c>
      <c r="D48" s="169">
        <f>D40</f>
        <v>37000</v>
      </c>
      <c r="E48" s="171"/>
      <c r="F48" s="171">
        <f>K41</f>
        <v>3764963</v>
      </c>
      <c r="G48" s="234">
        <f>Rates!E14</f>
        <v>1.213E-2</v>
      </c>
      <c r="H48" s="173">
        <f>F48*G48</f>
        <v>45669.001190000003</v>
      </c>
      <c r="I48" s="118"/>
      <c r="J48" s="118"/>
      <c r="K48" s="118"/>
      <c r="L48" s="165"/>
      <c r="M48" s="188"/>
    </row>
    <row r="49" spans="2:16" x14ac:dyDescent="0.45">
      <c r="B49" s="189"/>
      <c r="C49" s="166"/>
      <c r="E49" s="91">
        <f>SUM(E44:E48)</f>
        <v>17118</v>
      </c>
      <c r="F49" s="91">
        <f>SUM(F44:F48)</f>
        <v>60098167</v>
      </c>
      <c r="G49" s="119"/>
      <c r="H49" s="143">
        <f>SUM(H44:H48)</f>
        <v>1020905.8039599999</v>
      </c>
      <c r="I49" s="119"/>
      <c r="J49" s="119"/>
      <c r="K49" s="119"/>
      <c r="L49" s="120"/>
      <c r="M49" s="190"/>
    </row>
    <row r="50" spans="2:16" x14ac:dyDescent="0.45">
      <c r="B50" s="189"/>
      <c r="C50" s="166"/>
      <c r="E50" s="91"/>
      <c r="F50" s="91"/>
      <c r="G50" s="119"/>
      <c r="H50" s="143"/>
      <c r="I50" s="119"/>
      <c r="J50" s="119"/>
      <c r="K50" s="119"/>
      <c r="L50" s="120"/>
      <c r="M50" s="190"/>
    </row>
    <row r="51" spans="2:16" x14ac:dyDescent="0.45">
      <c r="B51" s="189"/>
      <c r="C51" s="166"/>
      <c r="E51" s="91"/>
      <c r="F51" s="91"/>
      <c r="G51" s="119"/>
      <c r="H51" s="119"/>
      <c r="I51" s="119"/>
      <c r="J51" s="119"/>
      <c r="K51" s="119"/>
      <c r="L51" s="165"/>
      <c r="M51" s="188"/>
    </row>
    <row r="52" spans="2:16" x14ac:dyDescent="0.45">
      <c r="B52" s="189"/>
      <c r="C52" s="129" t="s">
        <v>282</v>
      </c>
      <c r="E52" s="91"/>
      <c r="F52" s="91"/>
      <c r="G52" s="126"/>
      <c r="M52" s="188"/>
    </row>
    <row r="53" spans="2:16" ht="14.65" thickBot="1" x14ac:dyDescent="0.5">
      <c r="B53" s="189"/>
      <c r="C53" s="113" t="s">
        <v>65</v>
      </c>
      <c r="D53" s="174" t="s">
        <v>68</v>
      </c>
      <c r="E53" s="171" t="s">
        <v>10</v>
      </c>
      <c r="F53" s="171" t="s">
        <v>62</v>
      </c>
      <c r="G53" s="176" t="s">
        <v>69</v>
      </c>
      <c r="M53" s="188"/>
    </row>
    <row r="54" spans="2:16" ht="14.65" thickBot="1" x14ac:dyDescent="0.5">
      <c r="B54" s="189"/>
      <c r="C54" s="168"/>
      <c r="D54" s="169" t="s">
        <v>235</v>
      </c>
      <c r="E54" s="171" t="s">
        <v>284</v>
      </c>
      <c r="F54" s="171">
        <v>819400</v>
      </c>
      <c r="G54" s="172">
        <f>F54</f>
        <v>819400</v>
      </c>
      <c r="M54" s="188"/>
    </row>
    <row r="55" spans="2:16" x14ac:dyDescent="0.45">
      <c r="B55" s="189"/>
      <c r="C55" s="166"/>
      <c r="E55" s="91">
        <f>SUM(E54:E54)</f>
        <v>0</v>
      </c>
      <c r="F55" s="91">
        <f>SUM(F54:F54)</f>
        <v>819400</v>
      </c>
      <c r="G55" s="91">
        <f>SUM(G54:G54)</f>
        <v>819400</v>
      </c>
      <c r="M55" s="188"/>
      <c r="P55" s="230"/>
    </row>
    <row r="56" spans="2:16" x14ac:dyDescent="0.45">
      <c r="B56" s="189"/>
      <c r="E56" s="91"/>
      <c r="F56" s="91"/>
      <c r="G56" s="119"/>
      <c r="H56" s="119"/>
      <c r="I56" s="119"/>
      <c r="J56" s="119"/>
      <c r="K56" s="119"/>
      <c r="L56" s="165"/>
      <c r="M56" s="188"/>
    </row>
    <row r="57" spans="2:16" ht="14.65" thickBot="1" x14ac:dyDescent="0.5">
      <c r="B57" s="189"/>
      <c r="C57" s="166" t="s">
        <v>70</v>
      </c>
      <c r="D57" s="174" t="s">
        <v>68</v>
      </c>
      <c r="E57" s="171" t="s">
        <v>10</v>
      </c>
      <c r="F57" s="171" t="s">
        <v>62</v>
      </c>
      <c r="G57" s="177" t="s">
        <v>11</v>
      </c>
      <c r="H57" s="174" t="s">
        <v>63</v>
      </c>
      <c r="I57" s="119"/>
      <c r="J57" s="119"/>
      <c r="K57" s="119"/>
      <c r="L57" s="165"/>
      <c r="M57" s="188"/>
    </row>
    <row r="58" spans="2:16" ht="14.65" thickBot="1" x14ac:dyDescent="0.5">
      <c r="B58" s="189"/>
      <c r="C58" s="169"/>
      <c r="D58" s="169" t="str">
        <f>D54</f>
        <v>All</v>
      </c>
      <c r="E58" s="171">
        <f>E55</f>
        <v>0</v>
      </c>
      <c r="F58" s="171">
        <f>F55</f>
        <v>819400</v>
      </c>
      <c r="G58" s="234">
        <f>Rates!E20</f>
        <v>1.1379999999999999E-2</v>
      </c>
      <c r="H58" s="173">
        <f>F58*G58</f>
        <v>9324.771999999999</v>
      </c>
      <c r="I58" s="118"/>
      <c r="J58" s="118"/>
      <c r="K58" s="118"/>
      <c r="L58" s="165"/>
      <c r="M58" s="188"/>
      <c r="O58" s="48"/>
    </row>
    <row r="59" spans="2:16" x14ac:dyDescent="0.45">
      <c r="B59" s="189"/>
      <c r="C59" s="166"/>
      <c r="E59" s="91">
        <f>SUM(E58:E58)</f>
        <v>0</v>
      </c>
      <c r="F59" s="91">
        <f>SUM(F58:F58)</f>
        <v>819400</v>
      </c>
      <c r="G59" s="119"/>
      <c r="H59" s="143">
        <f>SUM(H58:H58)</f>
        <v>9324.771999999999</v>
      </c>
      <c r="I59" s="119"/>
      <c r="J59" s="119"/>
      <c r="K59" s="119"/>
      <c r="L59" s="120"/>
      <c r="M59" s="188"/>
    </row>
    <row r="60" spans="2:16" x14ac:dyDescent="0.45">
      <c r="B60" s="189"/>
      <c r="C60" s="166"/>
      <c r="E60" s="91"/>
      <c r="F60" s="91"/>
      <c r="G60" s="119"/>
      <c r="H60" s="119"/>
      <c r="I60" s="119"/>
      <c r="J60" s="119"/>
      <c r="K60" s="119"/>
      <c r="L60" s="165"/>
      <c r="M60" s="188"/>
    </row>
    <row r="61" spans="2:16" x14ac:dyDescent="0.45">
      <c r="B61" s="189"/>
      <c r="C61" s="166"/>
      <c r="E61" s="117"/>
      <c r="F61" s="91"/>
      <c r="G61" s="119"/>
      <c r="I61" s="191"/>
      <c r="J61" s="191"/>
      <c r="K61" s="191"/>
      <c r="M61" s="188"/>
    </row>
    <row r="62" spans="2:16" x14ac:dyDescent="0.45">
      <c r="B62" s="189"/>
      <c r="C62" s="129" t="s">
        <v>283</v>
      </c>
      <c r="E62" s="91"/>
      <c r="F62" s="91"/>
      <c r="G62" s="126"/>
      <c r="M62" s="188"/>
    </row>
    <row r="63" spans="2:16" ht="14.65" thickBot="1" x14ac:dyDescent="0.5">
      <c r="B63" s="189"/>
      <c r="C63" s="113" t="s">
        <v>65</v>
      </c>
      <c r="D63" s="174" t="s">
        <v>68</v>
      </c>
      <c r="E63" s="171" t="s">
        <v>10</v>
      </c>
      <c r="F63" s="171" t="s">
        <v>62</v>
      </c>
      <c r="G63" s="176" t="s">
        <v>69</v>
      </c>
      <c r="M63" s="188"/>
    </row>
    <row r="64" spans="2:16" ht="14.65" thickBot="1" x14ac:dyDescent="0.5">
      <c r="B64" s="189"/>
      <c r="C64" s="168"/>
      <c r="D64" s="169" t="s">
        <v>235</v>
      </c>
      <c r="E64" s="171" t="s">
        <v>284</v>
      </c>
      <c r="F64" s="171">
        <v>140200</v>
      </c>
      <c r="G64" s="172">
        <f>F64</f>
        <v>140200</v>
      </c>
      <c r="M64" s="188"/>
    </row>
    <row r="65" spans="2:16" x14ac:dyDescent="0.45">
      <c r="B65" s="189"/>
      <c r="C65" s="166"/>
      <c r="E65" s="91">
        <f>SUM(E64:E64)</f>
        <v>0</v>
      </c>
      <c r="F65" s="91">
        <f>SUM(F64:F64)</f>
        <v>140200</v>
      </c>
      <c r="G65" s="91">
        <f>SUM(G64:G64)</f>
        <v>140200</v>
      </c>
      <c r="M65" s="188"/>
      <c r="P65" s="230"/>
    </row>
    <row r="66" spans="2:16" x14ac:dyDescent="0.45">
      <c r="B66" s="189"/>
      <c r="E66" s="91"/>
      <c r="F66" s="91"/>
      <c r="G66" s="119"/>
      <c r="H66" s="119"/>
      <c r="I66" s="119"/>
      <c r="J66" s="119"/>
      <c r="K66" s="119"/>
      <c r="L66" s="165"/>
      <c r="M66" s="188"/>
    </row>
    <row r="67" spans="2:16" ht="14.65" thickBot="1" x14ac:dyDescent="0.5">
      <c r="B67" s="189"/>
      <c r="C67" s="166" t="s">
        <v>70</v>
      </c>
      <c r="D67" s="174" t="s">
        <v>68</v>
      </c>
      <c r="E67" s="171" t="s">
        <v>10</v>
      </c>
      <c r="F67" s="171" t="s">
        <v>62</v>
      </c>
      <c r="G67" s="177" t="s">
        <v>11</v>
      </c>
      <c r="H67" s="174" t="s">
        <v>63</v>
      </c>
      <c r="I67" s="119"/>
      <c r="J67" s="119"/>
      <c r="K67" s="119"/>
      <c r="L67" s="165"/>
      <c r="M67" s="188"/>
    </row>
    <row r="68" spans="2:16" ht="14.65" thickBot="1" x14ac:dyDescent="0.5">
      <c r="B68" s="189"/>
      <c r="C68" s="169"/>
      <c r="D68" s="169" t="str">
        <f>D64</f>
        <v>All</v>
      </c>
      <c r="E68" s="171">
        <f>E65</f>
        <v>0</v>
      </c>
      <c r="F68" s="171">
        <f>F65</f>
        <v>140200</v>
      </c>
      <c r="G68" s="234">
        <f>Rates!E20</f>
        <v>1.1379999999999999E-2</v>
      </c>
      <c r="H68" s="173">
        <f>F68*G68</f>
        <v>1595.4759999999999</v>
      </c>
      <c r="I68" s="118"/>
      <c r="J68" s="118"/>
      <c r="K68" s="118"/>
      <c r="L68" s="165"/>
      <c r="M68" s="188"/>
      <c r="O68" s="48"/>
    </row>
    <row r="69" spans="2:16" x14ac:dyDescent="0.45">
      <c r="B69" s="189"/>
      <c r="C69" s="166"/>
      <c r="E69" s="91">
        <f>SUM(E68:E68)</f>
        <v>0</v>
      </c>
      <c r="F69" s="91">
        <f>SUM(F68:F68)</f>
        <v>140200</v>
      </c>
      <c r="G69" s="119"/>
      <c r="H69" s="143">
        <f>SUM(H68:H68)</f>
        <v>1595.4759999999999</v>
      </c>
      <c r="I69" s="119"/>
      <c r="J69" s="119"/>
      <c r="K69" s="119"/>
      <c r="L69" s="120"/>
      <c r="M69" s="188"/>
    </row>
    <row r="70" spans="2:16" x14ac:dyDescent="0.45">
      <c r="B70" s="189"/>
      <c r="C70" s="166"/>
      <c r="E70" s="91"/>
      <c r="F70" s="91"/>
      <c r="G70" s="119"/>
      <c r="H70" s="119"/>
      <c r="I70" s="119"/>
      <c r="J70" s="119"/>
      <c r="K70" s="119"/>
      <c r="L70" s="165"/>
      <c r="M70" s="188"/>
    </row>
    <row r="71" spans="2:16" x14ac:dyDescent="0.45">
      <c r="B71" s="189"/>
      <c r="C71" s="166"/>
      <c r="E71" s="117"/>
      <c r="F71" s="91"/>
      <c r="G71" s="119"/>
      <c r="I71" s="191"/>
      <c r="J71" s="191"/>
      <c r="K71" s="191"/>
      <c r="M71" s="188"/>
    </row>
    <row r="72" spans="2:16" x14ac:dyDescent="0.45">
      <c r="B72" s="189"/>
      <c r="C72" s="129" t="s">
        <v>278</v>
      </c>
      <c r="E72" s="91"/>
      <c r="F72" s="91"/>
      <c r="G72" s="164"/>
      <c r="M72" s="188"/>
    </row>
    <row r="73" spans="2:16" ht="14.65" thickBot="1" x14ac:dyDescent="0.5">
      <c r="B73" s="189"/>
      <c r="C73" s="113" t="s">
        <v>65</v>
      </c>
      <c r="D73" s="174" t="s">
        <v>68</v>
      </c>
      <c r="E73" s="171" t="s">
        <v>10</v>
      </c>
      <c r="F73" s="171" t="s">
        <v>62</v>
      </c>
      <c r="G73" s="170" t="s">
        <v>1</v>
      </c>
      <c r="M73" s="188"/>
    </row>
    <row r="74" spans="2:16" ht="14.65" thickBot="1" x14ac:dyDescent="0.5">
      <c r="B74" s="189"/>
      <c r="C74" s="168"/>
      <c r="D74" s="169" t="s">
        <v>235</v>
      </c>
      <c r="E74" s="369">
        <v>9</v>
      </c>
      <c r="F74" s="369">
        <v>54182129</v>
      </c>
      <c r="G74" s="172">
        <f>F74</f>
        <v>54182129</v>
      </c>
      <c r="M74" s="188"/>
    </row>
    <row r="75" spans="2:16" x14ac:dyDescent="0.45">
      <c r="B75" s="189"/>
      <c r="C75" s="166"/>
      <c r="E75" s="91">
        <f>SUM(E74:E74)</f>
        <v>9</v>
      </c>
      <c r="F75" s="91">
        <f>SUM(F74:F74)</f>
        <v>54182129</v>
      </c>
      <c r="G75" s="192">
        <f>SUM(G74:G74)</f>
        <v>54182129</v>
      </c>
      <c r="M75" s="188"/>
      <c r="O75" s="41" t="s">
        <v>148</v>
      </c>
      <c r="P75" s="364">
        <f>ROUND((F79+F89)/(E79+E89),0)</f>
        <v>5958036</v>
      </c>
    </row>
    <row r="76" spans="2:16" x14ac:dyDescent="0.45">
      <c r="B76" s="189"/>
      <c r="C76" s="166"/>
      <c r="E76" s="91"/>
      <c r="F76" s="91"/>
      <c r="G76" s="91"/>
      <c r="H76" s="91"/>
      <c r="I76" s="91"/>
      <c r="J76" s="91"/>
      <c r="K76" s="91"/>
      <c r="L76" s="192"/>
      <c r="M76" s="188"/>
    </row>
    <row r="77" spans="2:16" ht="14.65" thickBot="1" x14ac:dyDescent="0.5">
      <c r="B77" s="189"/>
      <c r="C77" s="166" t="s">
        <v>70</v>
      </c>
      <c r="D77" s="174" t="s">
        <v>68</v>
      </c>
      <c r="E77" s="171" t="s">
        <v>10</v>
      </c>
      <c r="F77" s="171" t="s">
        <v>62</v>
      </c>
      <c r="G77" s="177" t="s">
        <v>11</v>
      </c>
      <c r="H77" s="174" t="s">
        <v>63</v>
      </c>
      <c r="M77" s="188"/>
    </row>
    <row r="78" spans="2:16" ht="14.65" thickBot="1" x14ac:dyDescent="0.5">
      <c r="B78" s="189"/>
      <c r="C78" s="168">
        <f>C74</f>
        <v>0</v>
      </c>
      <c r="D78" s="169" t="str">
        <f>D74</f>
        <v>All</v>
      </c>
      <c r="E78" s="171">
        <f>E75</f>
        <v>9</v>
      </c>
      <c r="F78" s="171">
        <f>F75</f>
        <v>54182129</v>
      </c>
      <c r="G78" s="234">
        <f>Rates!E26</f>
        <v>8.1700000000000002E-3</v>
      </c>
      <c r="H78" s="173">
        <f>F78*G78</f>
        <v>442667.99393</v>
      </c>
      <c r="M78" s="188"/>
    </row>
    <row r="79" spans="2:16" x14ac:dyDescent="0.45">
      <c r="B79" s="189"/>
      <c r="C79" s="166"/>
      <c r="E79" s="91">
        <f>SUM(E78:E78)</f>
        <v>9</v>
      </c>
      <c r="F79" s="91">
        <f>SUM(F78:F78)</f>
        <v>54182129</v>
      </c>
      <c r="G79" s="119"/>
      <c r="H79" s="143">
        <f>SUM(H78:H78)</f>
        <v>442667.99393</v>
      </c>
      <c r="M79" s="188"/>
    </row>
    <row r="80" spans="2:16" x14ac:dyDescent="0.45">
      <c r="B80" s="189"/>
      <c r="E80" s="117"/>
      <c r="F80" s="91"/>
      <c r="G80" s="119"/>
      <c r="M80" s="188"/>
    </row>
    <row r="81" spans="2:16" x14ac:dyDescent="0.45">
      <c r="B81" s="189"/>
      <c r="E81" s="117"/>
      <c r="F81" s="91"/>
      <c r="G81" s="119"/>
      <c r="M81" s="188"/>
    </row>
    <row r="82" spans="2:16" x14ac:dyDescent="0.45">
      <c r="B82" s="189"/>
      <c r="C82" s="129" t="s">
        <v>279</v>
      </c>
      <c r="E82" s="91"/>
      <c r="F82" s="91"/>
      <c r="G82" s="164"/>
      <c r="M82" s="188"/>
    </row>
    <row r="83" spans="2:16" ht="14.65" thickBot="1" x14ac:dyDescent="0.5">
      <c r="B83" s="189"/>
      <c r="C83" s="113" t="s">
        <v>65</v>
      </c>
      <c r="D83" s="174" t="s">
        <v>68</v>
      </c>
      <c r="E83" s="171" t="s">
        <v>10</v>
      </c>
      <c r="F83" s="171" t="s">
        <v>62</v>
      </c>
      <c r="G83" s="170" t="s">
        <v>1</v>
      </c>
      <c r="M83" s="188"/>
    </row>
    <row r="84" spans="2:16" ht="14.65" thickBot="1" x14ac:dyDescent="0.5">
      <c r="B84" s="189"/>
      <c r="C84" s="168"/>
      <c r="D84" s="169" t="s">
        <v>235</v>
      </c>
      <c r="E84" s="171">
        <v>3</v>
      </c>
      <c r="F84" s="368">
        <v>17314305</v>
      </c>
      <c r="G84" s="172">
        <f>F84</f>
        <v>17314305</v>
      </c>
      <c r="M84" s="188"/>
    </row>
    <row r="85" spans="2:16" x14ac:dyDescent="0.45">
      <c r="B85" s="189"/>
      <c r="C85" s="166"/>
      <c r="E85" s="91">
        <f>SUM(E84:E84)</f>
        <v>3</v>
      </c>
      <c r="F85" s="91">
        <f>SUM(F84:F84)</f>
        <v>17314305</v>
      </c>
      <c r="G85" s="192">
        <f>SUM(G84:G84)</f>
        <v>17314305</v>
      </c>
      <c r="M85" s="188"/>
      <c r="P85" s="364"/>
    </row>
    <row r="86" spans="2:16" x14ac:dyDescent="0.45">
      <c r="B86" s="189"/>
      <c r="C86" s="166"/>
      <c r="E86" s="91"/>
      <c r="F86" s="91"/>
      <c r="G86" s="91"/>
      <c r="H86" s="91"/>
      <c r="I86" s="91"/>
      <c r="J86" s="91"/>
      <c r="K86" s="91"/>
      <c r="L86" s="192"/>
      <c r="M86" s="188"/>
    </row>
    <row r="87" spans="2:16" ht="14.65" thickBot="1" x14ac:dyDescent="0.5">
      <c r="B87" s="189"/>
      <c r="C87" s="166" t="s">
        <v>70</v>
      </c>
      <c r="D87" s="174" t="s">
        <v>68</v>
      </c>
      <c r="E87" s="171" t="s">
        <v>10</v>
      </c>
      <c r="F87" s="171" t="s">
        <v>62</v>
      </c>
      <c r="G87" s="177" t="s">
        <v>11</v>
      </c>
      <c r="H87" s="174" t="s">
        <v>63</v>
      </c>
      <c r="M87" s="188"/>
    </row>
    <row r="88" spans="2:16" ht="14.65" thickBot="1" x14ac:dyDescent="0.5">
      <c r="B88" s="189"/>
      <c r="C88" s="168">
        <f>C84</f>
        <v>0</v>
      </c>
      <c r="D88" s="169" t="str">
        <f>D84</f>
        <v>All</v>
      </c>
      <c r="E88" s="171">
        <f>E85</f>
        <v>3</v>
      </c>
      <c r="F88" s="171">
        <f>F85</f>
        <v>17314305</v>
      </c>
      <c r="G88" s="234">
        <f>Rates!E26</f>
        <v>8.1700000000000002E-3</v>
      </c>
      <c r="H88" s="173">
        <f>F88*G88</f>
        <v>141457.87185</v>
      </c>
      <c r="M88" s="188"/>
    </row>
    <row r="89" spans="2:16" x14ac:dyDescent="0.45">
      <c r="B89" s="189"/>
      <c r="C89" s="166"/>
      <c r="E89" s="91">
        <f>SUM(E88:E88)</f>
        <v>3</v>
      </c>
      <c r="F89" s="91">
        <f>SUM(F88:F88)</f>
        <v>17314305</v>
      </c>
      <c r="G89" s="119"/>
      <c r="H89" s="143">
        <f>SUM(H88:H88)</f>
        <v>141457.87185</v>
      </c>
      <c r="M89" s="188"/>
    </row>
    <row r="90" spans="2:16" x14ac:dyDescent="0.45">
      <c r="B90" s="189"/>
      <c r="E90" s="117"/>
      <c r="F90" s="91"/>
      <c r="G90" s="119"/>
      <c r="M90" s="188"/>
    </row>
    <row r="91" spans="2:16" x14ac:dyDescent="0.45">
      <c r="B91" s="189"/>
      <c r="E91" s="117"/>
      <c r="F91" s="91"/>
      <c r="G91" s="119"/>
      <c r="M91" s="188"/>
    </row>
    <row r="92" spans="2:16" x14ac:dyDescent="0.45">
      <c r="B92" s="189"/>
      <c r="C92" s="193" t="s">
        <v>280</v>
      </c>
      <c r="E92" s="91"/>
      <c r="F92" s="91"/>
      <c r="G92" s="164"/>
      <c r="H92" s="164"/>
      <c r="I92" s="164"/>
      <c r="J92" s="164"/>
      <c r="K92" s="164"/>
      <c r="L92" s="164"/>
      <c r="M92" s="188"/>
    </row>
    <row r="93" spans="2:16" ht="14.65" thickBot="1" x14ac:dyDescent="0.5">
      <c r="B93" s="189"/>
      <c r="C93" s="113" t="s">
        <v>65</v>
      </c>
      <c r="D93" s="174" t="s">
        <v>68</v>
      </c>
      <c r="E93" s="171" t="s">
        <v>10</v>
      </c>
      <c r="F93" s="171" t="s">
        <v>62</v>
      </c>
      <c r="G93" s="170" t="s">
        <v>1</v>
      </c>
      <c r="H93" s="169"/>
      <c r="I93" s="169"/>
      <c r="J93" s="169"/>
      <c r="K93" s="169"/>
      <c r="L93" s="169"/>
      <c r="M93" s="188"/>
    </row>
    <row r="94" spans="2:16" ht="14.65" thickBot="1" x14ac:dyDescent="0.5">
      <c r="B94" s="189"/>
      <c r="C94" s="168"/>
      <c r="D94" s="169" t="s">
        <v>235</v>
      </c>
      <c r="E94" s="369">
        <v>9</v>
      </c>
      <c r="F94" s="369">
        <v>1886600</v>
      </c>
      <c r="G94" s="172">
        <f>F94</f>
        <v>1886600</v>
      </c>
      <c r="H94" s="127"/>
      <c r="I94" s="127"/>
      <c r="J94" s="127"/>
      <c r="K94" s="127"/>
      <c r="L94" s="127"/>
      <c r="M94" s="188"/>
    </row>
    <row r="95" spans="2:16" x14ac:dyDescent="0.45">
      <c r="B95" s="189"/>
      <c r="C95" s="166"/>
      <c r="E95" s="91">
        <f>SUM(E94:E94)</f>
        <v>9</v>
      </c>
      <c r="F95" s="91">
        <f>SUM(F94:F94)</f>
        <v>1886600</v>
      </c>
      <c r="G95" s="192">
        <f>SUM(G94:G94)</f>
        <v>1886600</v>
      </c>
      <c r="H95" s="192"/>
      <c r="I95" s="192"/>
      <c r="J95" s="192"/>
      <c r="K95" s="192"/>
      <c r="L95" s="192"/>
      <c r="M95" s="188"/>
      <c r="O95" s="41" t="s">
        <v>148</v>
      </c>
      <c r="P95" s="364">
        <f>ROUND((F99+F109)/(E99+E109),0)</f>
        <v>178345</v>
      </c>
    </row>
    <row r="96" spans="2:16" x14ac:dyDescent="0.45">
      <c r="B96" s="189"/>
      <c r="E96" s="91"/>
      <c r="F96" s="91"/>
      <c r="G96" s="119"/>
      <c r="H96" s="119"/>
      <c r="I96" s="119"/>
      <c r="J96" s="119"/>
      <c r="K96" s="119"/>
      <c r="M96" s="188"/>
    </row>
    <row r="97" spans="2:16" ht="14.65" thickBot="1" x14ac:dyDescent="0.5">
      <c r="B97" s="189"/>
      <c r="C97" s="166" t="s">
        <v>70</v>
      </c>
      <c r="D97" s="174" t="s">
        <v>68</v>
      </c>
      <c r="E97" s="171" t="s">
        <v>10</v>
      </c>
      <c r="F97" s="171" t="s">
        <v>62</v>
      </c>
      <c r="G97" s="177" t="s">
        <v>11</v>
      </c>
      <c r="H97" s="174" t="s">
        <v>63</v>
      </c>
      <c r="I97" s="119"/>
      <c r="J97" s="119"/>
      <c r="K97" s="119"/>
      <c r="M97" s="188"/>
    </row>
    <row r="98" spans="2:16" ht="14.65" thickBot="1" x14ac:dyDescent="0.5">
      <c r="B98" s="189"/>
      <c r="C98" s="168">
        <f t="shared" ref="C98:D98" si="7">C94</f>
        <v>0</v>
      </c>
      <c r="D98" s="169" t="str">
        <f t="shared" si="7"/>
        <v>All</v>
      </c>
      <c r="E98" s="171">
        <f>E95</f>
        <v>9</v>
      </c>
      <c r="F98" s="171">
        <f>F95</f>
        <v>1886600</v>
      </c>
      <c r="G98" s="234">
        <f>Rates!E32</f>
        <v>8.3599999999999994E-3</v>
      </c>
      <c r="H98" s="173">
        <f>F98*G98</f>
        <v>15771.975999999999</v>
      </c>
      <c r="I98" s="118"/>
      <c r="J98" s="118"/>
      <c r="K98" s="118"/>
      <c r="M98" s="188"/>
    </row>
    <row r="99" spans="2:16" x14ac:dyDescent="0.45">
      <c r="B99" s="189"/>
      <c r="C99" s="166"/>
      <c r="E99" s="91">
        <f>SUM(E98:E98)</f>
        <v>9</v>
      </c>
      <c r="F99" s="91">
        <f>SUM(F98:F98)</f>
        <v>1886600</v>
      </c>
      <c r="G99" s="119"/>
      <c r="H99" s="143">
        <f>SUM(H98:H98)</f>
        <v>15771.975999999999</v>
      </c>
      <c r="I99" s="119"/>
      <c r="J99" s="119"/>
      <c r="K99" s="119"/>
      <c r="M99" s="188"/>
    </row>
    <row r="100" spans="2:16" x14ac:dyDescent="0.45">
      <c r="B100" s="189"/>
      <c r="E100" s="117"/>
      <c r="F100" s="91"/>
      <c r="G100" s="119"/>
      <c r="M100" s="188"/>
    </row>
    <row r="101" spans="2:16" x14ac:dyDescent="0.45">
      <c r="B101" s="189"/>
      <c r="E101" s="117"/>
      <c r="F101" s="91"/>
      <c r="G101" s="119"/>
      <c r="M101" s="188"/>
    </row>
    <row r="102" spans="2:16" x14ac:dyDescent="0.45">
      <c r="B102" s="189"/>
      <c r="C102" s="193" t="s">
        <v>281</v>
      </c>
      <c r="E102" s="91"/>
      <c r="F102" s="91"/>
      <c r="G102" s="164"/>
      <c r="H102" s="164"/>
      <c r="I102" s="164"/>
      <c r="J102" s="164"/>
      <c r="K102" s="164"/>
      <c r="L102" s="164"/>
      <c r="M102" s="188"/>
    </row>
    <row r="103" spans="2:16" ht="14.65" thickBot="1" x14ac:dyDescent="0.5">
      <c r="B103" s="189"/>
      <c r="C103" s="113" t="s">
        <v>65</v>
      </c>
      <c r="D103" s="174" t="s">
        <v>68</v>
      </c>
      <c r="E103" s="171" t="s">
        <v>10</v>
      </c>
      <c r="F103" s="171" t="s">
        <v>62</v>
      </c>
      <c r="G103" s="170" t="s">
        <v>1</v>
      </c>
      <c r="H103" s="169"/>
      <c r="I103" s="169"/>
      <c r="J103" s="169"/>
      <c r="K103" s="169"/>
      <c r="L103" s="169"/>
      <c r="M103" s="188"/>
    </row>
    <row r="104" spans="2:16" ht="14.65" thickBot="1" x14ac:dyDescent="0.5">
      <c r="B104" s="189"/>
      <c r="C104" s="168"/>
      <c r="D104" s="169" t="s">
        <v>235</v>
      </c>
      <c r="E104" s="171">
        <v>3</v>
      </c>
      <c r="F104" s="368">
        <v>253540</v>
      </c>
      <c r="G104" s="172">
        <f>F104</f>
        <v>253540</v>
      </c>
      <c r="H104" s="127"/>
      <c r="I104" s="127"/>
      <c r="J104" s="127"/>
      <c r="K104" s="127"/>
      <c r="L104" s="127"/>
      <c r="M104" s="188"/>
    </row>
    <row r="105" spans="2:16" x14ac:dyDescent="0.45">
      <c r="B105" s="189"/>
      <c r="C105" s="166"/>
      <c r="E105" s="91">
        <f>SUM(E104:E104)</f>
        <v>3</v>
      </c>
      <c r="F105" s="91">
        <f>SUM(F104:F104)</f>
        <v>253540</v>
      </c>
      <c r="G105" s="192">
        <f>SUM(G104:G104)</f>
        <v>253540</v>
      </c>
      <c r="H105" s="192"/>
      <c r="I105" s="192"/>
      <c r="J105" s="192"/>
      <c r="K105" s="192"/>
      <c r="L105" s="192"/>
      <c r="M105" s="188"/>
      <c r="P105" s="364"/>
    </row>
    <row r="106" spans="2:16" x14ac:dyDescent="0.45">
      <c r="B106" s="189"/>
      <c r="E106" s="91"/>
      <c r="F106" s="91"/>
      <c r="G106" s="119"/>
      <c r="H106" s="119"/>
      <c r="I106" s="119"/>
      <c r="J106" s="119"/>
      <c r="K106" s="119"/>
      <c r="M106" s="188"/>
    </row>
    <row r="107" spans="2:16" ht="14.65" thickBot="1" x14ac:dyDescent="0.5">
      <c r="B107" s="189"/>
      <c r="C107" s="166" t="s">
        <v>70</v>
      </c>
      <c r="D107" s="174" t="s">
        <v>68</v>
      </c>
      <c r="E107" s="171" t="s">
        <v>10</v>
      </c>
      <c r="F107" s="171" t="s">
        <v>62</v>
      </c>
      <c r="G107" s="177" t="s">
        <v>11</v>
      </c>
      <c r="H107" s="174" t="s">
        <v>63</v>
      </c>
      <c r="I107" s="119"/>
      <c r="J107" s="119"/>
      <c r="K107" s="119"/>
      <c r="M107" s="188"/>
    </row>
    <row r="108" spans="2:16" ht="14.65" thickBot="1" x14ac:dyDescent="0.5">
      <c r="B108" s="189"/>
      <c r="C108" s="168">
        <f t="shared" ref="C108:D108" si="8">C104</f>
        <v>0</v>
      </c>
      <c r="D108" s="169" t="str">
        <f t="shared" si="8"/>
        <v>All</v>
      </c>
      <c r="E108" s="171">
        <f>E105</f>
        <v>3</v>
      </c>
      <c r="F108" s="171">
        <f>F105</f>
        <v>253540</v>
      </c>
      <c r="G108" s="234">
        <f>Rates!E32</f>
        <v>8.3599999999999994E-3</v>
      </c>
      <c r="H108" s="173">
        <f>F108*G108</f>
        <v>2119.5944</v>
      </c>
      <c r="I108" s="118"/>
      <c r="J108" s="118"/>
      <c r="K108" s="118"/>
      <c r="M108" s="188"/>
    </row>
    <row r="109" spans="2:16" x14ac:dyDescent="0.45">
      <c r="B109" s="189"/>
      <c r="C109" s="166"/>
      <c r="E109" s="91">
        <f>SUM(E108:E108)</f>
        <v>3</v>
      </c>
      <c r="F109" s="91">
        <f>SUM(F108:F108)</f>
        <v>253540</v>
      </c>
      <c r="G109" s="119"/>
      <c r="H109" s="143">
        <f>SUM(H108:H108)</f>
        <v>2119.5944</v>
      </c>
      <c r="I109" s="119"/>
      <c r="J109" s="119"/>
      <c r="K109" s="119"/>
      <c r="M109" s="188"/>
    </row>
    <row r="110" spans="2:16" ht="14.65" thickBot="1" x14ac:dyDescent="0.5">
      <c r="B110" s="194"/>
      <c r="C110" s="179"/>
      <c r="D110" s="179"/>
      <c r="E110" s="178"/>
      <c r="F110" s="171"/>
      <c r="G110" s="177"/>
      <c r="H110" s="179"/>
      <c r="I110" s="179"/>
      <c r="J110" s="179"/>
      <c r="K110" s="179"/>
      <c r="L110" s="179"/>
      <c r="M110" s="195"/>
    </row>
    <row r="111" spans="2:16" x14ac:dyDescent="0.45">
      <c r="C111" s="113"/>
      <c r="E111" s="91"/>
      <c r="F111" s="91"/>
      <c r="G111" s="119"/>
      <c r="H111" s="119"/>
      <c r="I111" s="119"/>
      <c r="J111" s="119"/>
      <c r="K111" s="119"/>
      <c r="L111" s="126"/>
    </row>
  </sheetData>
  <mergeCells count="4">
    <mergeCell ref="B3:M3"/>
    <mergeCell ref="B4:M4"/>
    <mergeCell ref="B5:M5"/>
    <mergeCell ref="B6:I6"/>
  </mergeCells>
  <printOptions horizontalCentered="1"/>
  <pageMargins left="0.25" right="0.25" top="0.5" bottom="0.5" header="0" footer="0"/>
  <pageSetup scale="69" fitToHeight="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0109-31C4-4640-AD9A-7CC81A59588E}">
  <sheetPr>
    <pageSetUpPr fitToPage="1"/>
  </sheetPr>
  <dimension ref="A1:K22"/>
  <sheetViews>
    <sheetView workbookViewId="0">
      <selection activeCell="G19" sqref="A1:G19"/>
    </sheetView>
  </sheetViews>
  <sheetFormatPr defaultColWidth="8.83203125" defaultRowHeight="14.25" x14ac:dyDescent="0.45"/>
  <cols>
    <col min="1" max="1" width="4.609375" style="4" customWidth="1"/>
    <col min="2" max="2" width="29.44140625" style="4" customWidth="1"/>
    <col min="3" max="3" width="14.94140625" style="4" customWidth="1"/>
    <col min="4" max="4" width="11.5546875" style="4" customWidth="1"/>
    <col min="5" max="5" width="3.609375" style="316" customWidth="1"/>
    <col min="6" max="6" width="11.5546875" style="123" customWidth="1"/>
    <col min="7" max="7" width="3.5546875" style="316" customWidth="1"/>
    <col min="8" max="8" width="30.83203125" style="4" customWidth="1"/>
    <col min="9" max="10" width="11.38671875" style="4" customWidth="1"/>
    <col min="11" max="11" width="10.83203125" style="4" customWidth="1"/>
    <col min="12" max="16384" width="8.83203125" style="4"/>
  </cols>
  <sheetData>
    <row r="1" spans="1:11" ht="18" x14ac:dyDescent="0.45">
      <c r="A1" s="391" t="s">
        <v>221</v>
      </c>
      <c r="B1" s="391"/>
      <c r="C1" s="391"/>
      <c r="D1" s="391"/>
      <c r="E1" s="391"/>
      <c r="F1" s="391"/>
      <c r="G1" s="29"/>
      <c r="H1" s="27"/>
      <c r="I1" s="27"/>
      <c r="J1" s="27"/>
    </row>
    <row r="2" spans="1:11" ht="18" x14ac:dyDescent="0.45">
      <c r="A2" s="391" t="s">
        <v>219</v>
      </c>
      <c r="B2" s="391"/>
      <c r="C2" s="391"/>
      <c r="D2" s="391"/>
      <c r="E2" s="391"/>
      <c r="F2" s="391"/>
      <c r="G2" s="29"/>
      <c r="H2" s="27"/>
      <c r="I2" s="27"/>
      <c r="J2" s="27"/>
      <c r="K2" s="27"/>
    </row>
    <row r="3" spans="1:11" ht="15.75" x14ac:dyDescent="0.45">
      <c r="A3" s="87"/>
      <c r="B3" s="87"/>
      <c r="C3" s="87"/>
      <c r="D3" s="87"/>
      <c r="E3" s="87"/>
      <c r="F3" s="87"/>
      <c r="G3" s="29"/>
      <c r="H3" s="27"/>
      <c r="I3" s="27"/>
      <c r="J3" s="27"/>
      <c r="K3" s="27"/>
    </row>
    <row r="4" spans="1:11" ht="16.5" x14ac:dyDescent="0.45">
      <c r="A4" s="30" t="s">
        <v>60</v>
      </c>
      <c r="B4" s="27"/>
      <c r="C4" s="31"/>
      <c r="D4" s="27"/>
      <c r="E4" s="29"/>
      <c r="G4" s="29"/>
      <c r="H4" s="328" t="s">
        <v>76</v>
      </c>
      <c r="I4" s="27"/>
      <c r="J4" s="27"/>
    </row>
    <row r="5" spans="1:11" x14ac:dyDescent="0.45">
      <c r="A5" s="30"/>
      <c r="B5" s="27" t="str">
        <f>SAO!A29</f>
        <v>Total Operating Expenses</v>
      </c>
      <c r="C5" s="31"/>
      <c r="D5" s="27"/>
      <c r="E5" s="29"/>
      <c r="F5" s="123">
        <f>SAO!F29</f>
        <v>3149070.2549459166</v>
      </c>
      <c r="G5" s="29"/>
      <c r="I5" s="27"/>
      <c r="J5" s="27"/>
    </row>
    <row r="6" spans="1:11" x14ac:dyDescent="0.45">
      <c r="A6" s="30"/>
      <c r="B6" s="27" t="str">
        <f>SAO!A34</f>
        <v>Total Other Expenses</v>
      </c>
      <c r="C6" s="31"/>
      <c r="D6" s="27"/>
      <c r="E6" s="29"/>
      <c r="F6" s="123">
        <f>SAO!F34</f>
        <v>823970.0581793749</v>
      </c>
      <c r="G6" s="29"/>
      <c r="I6" s="27"/>
      <c r="J6" s="27"/>
    </row>
    <row r="7" spans="1:11" x14ac:dyDescent="0.45">
      <c r="A7" s="27"/>
      <c r="B7" s="27" t="s">
        <v>43</v>
      </c>
      <c r="C7" s="31"/>
      <c r="D7" s="27"/>
      <c r="E7" s="29" t="s">
        <v>303</v>
      </c>
      <c r="F7" s="123">
        <f>'Debt Service'!M19</f>
        <v>745625.03600000008</v>
      </c>
      <c r="H7" s="4" t="s">
        <v>273</v>
      </c>
      <c r="I7" s="27"/>
      <c r="J7" s="27"/>
    </row>
    <row r="8" spans="1:11" s="42" customFormat="1" x14ac:dyDescent="0.45">
      <c r="A8" s="92"/>
      <c r="B8" s="92" t="s">
        <v>73</v>
      </c>
      <c r="C8" s="132"/>
      <c r="D8" s="92"/>
      <c r="E8" s="322" t="s">
        <v>304</v>
      </c>
      <c r="F8" s="125">
        <f>'Debt Service'!M21</f>
        <v>149125.00720000002</v>
      </c>
      <c r="H8" s="42" t="s">
        <v>274</v>
      </c>
      <c r="I8" s="92"/>
      <c r="J8" s="92"/>
    </row>
    <row r="9" spans="1:11" x14ac:dyDescent="0.45">
      <c r="A9" s="30" t="s">
        <v>15</v>
      </c>
      <c r="B9" s="27"/>
      <c r="C9" s="31"/>
      <c r="D9" s="27"/>
      <c r="E9" s="29"/>
      <c r="F9" s="144">
        <f>SUM(F5:F8)</f>
        <v>4867790.3563252911</v>
      </c>
      <c r="G9" s="29"/>
      <c r="I9" s="27"/>
      <c r="J9" s="27"/>
    </row>
    <row r="10" spans="1:11" x14ac:dyDescent="0.45">
      <c r="A10" s="30"/>
      <c r="B10" s="27"/>
      <c r="C10" s="31"/>
      <c r="D10" s="27"/>
      <c r="E10" s="29"/>
      <c r="F10" s="144"/>
      <c r="G10" s="29"/>
      <c r="I10" s="27"/>
      <c r="J10" s="27"/>
    </row>
    <row r="11" spans="1:11" x14ac:dyDescent="0.45">
      <c r="A11" s="30" t="s">
        <v>105</v>
      </c>
      <c r="B11" s="27"/>
      <c r="C11" s="31"/>
      <c r="D11" s="27"/>
      <c r="E11" s="29"/>
      <c r="F11" s="144"/>
      <c r="G11" s="29"/>
      <c r="I11" s="27"/>
      <c r="J11" s="27"/>
    </row>
    <row r="12" spans="1:11" x14ac:dyDescent="0.45">
      <c r="A12" s="30"/>
      <c r="B12" s="27" t="str">
        <f>SAO!B8</f>
        <v>Other Water Revenues</v>
      </c>
      <c r="C12" s="31"/>
      <c r="D12" s="27"/>
      <c r="E12" s="29"/>
      <c r="F12" s="144">
        <f>SAO!F8</f>
        <v>99548</v>
      </c>
      <c r="G12" s="29"/>
      <c r="I12" s="27"/>
      <c r="J12" s="27"/>
    </row>
    <row r="13" spans="1:11" x14ac:dyDescent="0.45">
      <c r="A13" s="30"/>
      <c r="B13" s="27" t="s">
        <v>96</v>
      </c>
      <c r="C13" s="31"/>
      <c r="D13" s="27"/>
      <c r="E13" s="29"/>
      <c r="F13" s="124">
        <f>SAO!F39</f>
        <v>48698</v>
      </c>
      <c r="G13" s="29"/>
      <c r="I13" s="27"/>
      <c r="J13" s="27"/>
    </row>
    <row r="14" spans="1:11" x14ac:dyDescent="0.45">
      <c r="A14" s="30" t="s">
        <v>106</v>
      </c>
      <c r="B14" s="27"/>
      <c r="C14" s="31"/>
      <c r="D14" s="27"/>
      <c r="E14" s="29"/>
      <c r="F14" s="144">
        <f>SUM(F12:F13)</f>
        <v>148246</v>
      </c>
      <c r="G14" s="29"/>
      <c r="I14" s="27"/>
      <c r="J14" s="27"/>
    </row>
    <row r="15" spans="1:11" x14ac:dyDescent="0.45">
      <c r="A15" s="30"/>
      <c r="B15" s="27"/>
      <c r="C15" s="31"/>
      <c r="D15" s="27"/>
      <c r="E15" s="29"/>
      <c r="F15" s="144"/>
      <c r="G15" s="29"/>
      <c r="I15" s="27"/>
      <c r="J15" s="27"/>
    </row>
    <row r="16" spans="1:11" x14ac:dyDescent="0.45">
      <c r="A16" s="30" t="s">
        <v>72</v>
      </c>
      <c r="B16" s="27"/>
      <c r="C16" s="31"/>
      <c r="D16" s="27"/>
      <c r="E16" s="29"/>
      <c r="F16" s="144">
        <f>F9-F14</f>
        <v>4719544.3563252911</v>
      </c>
      <c r="G16" s="29"/>
      <c r="I16" s="27"/>
      <c r="J16" s="27"/>
    </row>
    <row r="17" spans="1:10" x14ac:dyDescent="0.45">
      <c r="A17" s="27" t="s">
        <v>3</v>
      </c>
      <c r="B17" s="27" t="s">
        <v>14</v>
      </c>
      <c r="C17" s="31"/>
      <c r="D17" s="27"/>
      <c r="E17" s="29"/>
      <c r="F17" s="124">
        <f>SAO!F7</f>
        <v>3675651.12849</v>
      </c>
      <c r="G17" s="29"/>
      <c r="H17" s="17"/>
      <c r="I17" s="27"/>
      <c r="J17" s="27"/>
    </row>
    <row r="18" spans="1:10" x14ac:dyDescent="0.45">
      <c r="A18" s="30" t="s">
        <v>16</v>
      </c>
      <c r="B18" s="27"/>
      <c r="C18" s="31"/>
      <c r="D18" s="27"/>
      <c r="E18" s="29"/>
      <c r="F18" s="121">
        <f>F16-F17</f>
        <v>1043893.2278352911</v>
      </c>
      <c r="G18" s="29"/>
      <c r="H18" s="27"/>
      <c r="I18" s="27"/>
      <c r="J18" s="27"/>
    </row>
    <row r="19" spans="1:10" ht="14.55" customHeight="1" x14ac:dyDescent="0.45">
      <c r="A19" s="30" t="s">
        <v>59</v>
      </c>
      <c r="B19" s="27"/>
      <c r="C19" s="31"/>
      <c r="D19" s="27"/>
      <c r="E19" s="29"/>
      <c r="F19" s="154">
        <f>IF(F18&lt;0,0,F18/F17)</f>
        <v>0.28400226010136453</v>
      </c>
      <c r="G19" s="29"/>
      <c r="H19" s="154"/>
      <c r="I19" s="27"/>
      <c r="J19" s="27"/>
    </row>
    <row r="20" spans="1:10" x14ac:dyDescent="0.45">
      <c r="A20" s="30"/>
      <c r="B20" s="27"/>
      <c r="C20" s="31"/>
      <c r="D20" s="27"/>
      <c r="E20" s="29"/>
      <c r="F20" s="121"/>
    </row>
    <row r="21" spans="1:10" x14ac:dyDescent="0.45">
      <c r="A21" s="27"/>
      <c r="B21" s="27"/>
      <c r="C21" s="31"/>
      <c r="D21" s="27"/>
      <c r="E21" s="29"/>
      <c r="F21" s="121"/>
    </row>
    <row r="22" spans="1:10" x14ac:dyDescent="0.45">
      <c r="A22" s="30"/>
      <c r="B22" s="27"/>
      <c r="C22" s="31"/>
      <c r="D22" s="27"/>
      <c r="E22" s="29"/>
      <c r="F22" s="121"/>
    </row>
  </sheetData>
  <mergeCells count="2">
    <mergeCell ref="A1:F1"/>
    <mergeCell ref="A2:F2"/>
  </mergeCells>
  <printOptions horizontalCentered="1" verticalCentered="1"/>
  <pageMargins left="0.7" right="0.7" top="0.75" bottom="0.75" header="0.3" footer="0.3"/>
  <pageSetup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A01C-7852-4E95-BD91-257134D74ABD}">
  <dimension ref="A1:Z59"/>
  <sheetViews>
    <sheetView topLeftCell="B1" workbookViewId="0">
      <selection activeCell="Q13" sqref="Q13"/>
    </sheetView>
  </sheetViews>
  <sheetFormatPr defaultColWidth="8.83203125" defaultRowHeight="14.25" x14ac:dyDescent="0.45"/>
  <cols>
    <col min="1" max="1" width="8.83203125" style="1"/>
    <col min="2" max="2" width="20.609375" style="290" customWidth="1"/>
    <col min="3" max="4" width="20.609375" style="1" customWidth="1"/>
    <col min="5" max="5" width="12.609375" style="283" customWidth="1"/>
    <col min="6" max="7" width="12.609375" style="323" customWidth="1"/>
    <col min="8" max="10" width="12.609375" style="7" customWidth="1"/>
    <col min="11" max="11" width="9.609375" style="11" customWidth="1"/>
    <col min="12" max="12" width="3.609375" style="1" customWidth="1"/>
    <col min="13" max="26" width="12.609375" style="11" customWidth="1"/>
    <col min="27" max="16384" width="8.83203125" style="1"/>
  </cols>
  <sheetData>
    <row r="1" spans="1:21" x14ac:dyDescent="0.45">
      <c r="A1" s="392" t="s">
        <v>219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21" ht="15.4" customHeight="1" x14ac:dyDescent="0.45">
      <c r="A2" s="392" t="s">
        <v>21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</row>
    <row r="3" spans="1:21" x14ac:dyDescent="0.45">
      <c r="E3" s="324"/>
      <c r="F3" s="325"/>
      <c r="G3" s="325"/>
      <c r="H3" s="34"/>
      <c r="I3" s="34"/>
      <c r="J3" s="34" t="s">
        <v>1</v>
      </c>
      <c r="K3" s="11" t="s">
        <v>55</v>
      </c>
      <c r="N3" s="11" t="s">
        <v>322</v>
      </c>
      <c r="O3" s="11" t="s">
        <v>322</v>
      </c>
      <c r="Q3" s="11" t="s">
        <v>325</v>
      </c>
      <c r="R3" s="11" t="s">
        <v>325</v>
      </c>
    </row>
    <row r="4" spans="1:21" x14ac:dyDescent="0.45">
      <c r="E4" s="324" t="s">
        <v>22</v>
      </c>
      <c r="F4" s="325" t="s">
        <v>22</v>
      </c>
      <c r="G4" s="325" t="s">
        <v>23</v>
      </c>
      <c r="H4" s="34" t="s">
        <v>22</v>
      </c>
      <c r="I4" s="34" t="s">
        <v>22</v>
      </c>
      <c r="J4" s="34" t="s">
        <v>22</v>
      </c>
      <c r="K4" s="11" t="s">
        <v>51</v>
      </c>
      <c r="M4" s="11" t="s">
        <v>320</v>
      </c>
      <c r="N4" s="11" t="s">
        <v>323</v>
      </c>
      <c r="O4" s="11" t="s">
        <v>323</v>
      </c>
      <c r="Q4" s="11" t="s">
        <v>323</v>
      </c>
      <c r="R4" s="11" t="s">
        <v>323</v>
      </c>
      <c r="S4" s="11" t="s">
        <v>327</v>
      </c>
      <c r="T4" s="11" t="s">
        <v>327</v>
      </c>
      <c r="U4" s="11" t="s">
        <v>328</v>
      </c>
    </row>
    <row r="5" spans="1:21" x14ac:dyDescent="0.45">
      <c r="A5" s="280" t="s">
        <v>185</v>
      </c>
      <c r="B5" s="387" t="s">
        <v>311</v>
      </c>
      <c r="C5" s="280" t="s">
        <v>186</v>
      </c>
      <c r="D5" s="280" t="s">
        <v>187</v>
      </c>
      <c r="E5" s="326" t="s">
        <v>25</v>
      </c>
      <c r="F5" s="327" t="s">
        <v>26</v>
      </c>
      <c r="G5" s="327" t="s">
        <v>27</v>
      </c>
      <c r="H5" s="281" t="s">
        <v>28</v>
      </c>
      <c r="I5" s="281" t="s">
        <v>29</v>
      </c>
      <c r="J5" s="281" t="s">
        <v>30</v>
      </c>
      <c r="K5" s="282" t="s">
        <v>52</v>
      </c>
      <c r="M5" s="282" t="s">
        <v>321</v>
      </c>
      <c r="N5" s="282" t="s">
        <v>24</v>
      </c>
      <c r="O5" s="282" t="s">
        <v>321</v>
      </c>
      <c r="P5" s="282" t="s">
        <v>324</v>
      </c>
      <c r="Q5" s="282" t="s">
        <v>326</v>
      </c>
      <c r="R5" s="282" t="s">
        <v>321</v>
      </c>
      <c r="S5" s="282" t="s">
        <v>24</v>
      </c>
      <c r="T5" s="282" t="s">
        <v>321</v>
      </c>
      <c r="U5" s="282" t="s">
        <v>321</v>
      </c>
    </row>
    <row r="6" spans="1:21" x14ac:dyDescent="0.45">
      <c r="A6" s="10">
        <v>1</v>
      </c>
      <c r="B6" s="290" t="s">
        <v>310</v>
      </c>
      <c r="C6" s="1" t="s">
        <v>244</v>
      </c>
      <c r="D6" s="1" t="s">
        <v>244</v>
      </c>
      <c r="E6" s="283">
        <v>2080</v>
      </c>
      <c r="F6" s="323">
        <v>7.25</v>
      </c>
      <c r="G6" s="43">
        <f>25.28*1.06</f>
        <v>26.796800000000001</v>
      </c>
      <c r="H6" s="7">
        <f>E6*G6</f>
        <v>55737.344000000005</v>
      </c>
      <c r="I6" s="7">
        <f>F6*G6*1.5</f>
        <v>291.41520000000003</v>
      </c>
      <c r="J6" s="7">
        <f>H6+I6</f>
        <v>56028.759200000008</v>
      </c>
      <c r="K6" s="288">
        <f>J6</f>
        <v>56028.759200000008</v>
      </c>
      <c r="M6" s="34">
        <v>3624.67</v>
      </c>
      <c r="N6" s="34">
        <v>1420.03</v>
      </c>
      <c r="O6" s="34">
        <v>13025.01</v>
      </c>
      <c r="P6" s="34" t="s">
        <v>259</v>
      </c>
      <c r="Q6" s="34">
        <v>0</v>
      </c>
      <c r="R6" s="34">
        <v>294.24</v>
      </c>
      <c r="S6" s="34">
        <v>2526.2600000000002</v>
      </c>
      <c r="T6" s="34">
        <v>11792.67</v>
      </c>
      <c r="U6" s="34">
        <v>0</v>
      </c>
    </row>
    <row r="7" spans="1:21" x14ac:dyDescent="0.45">
      <c r="A7" s="10">
        <f>A6+1</f>
        <v>2</v>
      </c>
      <c r="B7" s="390" t="s">
        <v>331</v>
      </c>
      <c r="C7" s="1" t="s">
        <v>245</v>
      </c>
      <c r="D7" s="1" t="s">
        <v>245</v>
      </c>
      <c r="E7" s="283">
        <v>2080</v>
      </c>
      <c r="F7" s="323">
        <v>46</v>
      </c>
      <c r="G7" s="43">
        <f>20.3*1.06</f>
        <v>21.518000000000001</v>
      </c>
      <c r="H7" s="7">
        <f t="shared" ref="H7:H16" si="0">E7*G7</f>
        <v>44757.440000000002</v>
      </c>
      <c r="I7" s="7">
        <f t="shared" ref="I7:I16" si="1">F7*G7*1.5</f>
        <v>1484.742</v>
      </c>
      <c r="J7" s="7">
        <f t="shared" ref="J7:J16" si="2">H7+I7</f>
        <v>46242.182000000001</v>
      </c>
      <c r="K7" s="288">
        <f>J7</f>
        <v>46242.182000000001</v>
      </c>
      <c r="M7" s="34">
        <v>3873.16</v>
      </c>
      <c r="N7" s="34">
        <v>0</v>
      </c>
      <c r="O7" s="34">
        <v>0</v>
      </c>
      <c r="P7" s="34" t="s">
        <v>329</v>
      </c>
      <c r="Q7" s="34">
        <v>141.71</v>
      </c>
      <c r="R7" s="34">
        <v>220.68</v>
      </c>
      <c r="S7" s="34">
        <v>3077.42</v>
      </c>
      <c r="T7" s="34">
        <v>11947.99</v>
      </c>
      <c r="U7" s="34">
        <v>0</v>
      </c>
    </row>
    <row r="8" spans="1:21" x14ac:dyDescent="0.45">
      <c r="A8" s="10">
        <f t="shared" ref="A8:A13" si="3">A7+1</f>
        <v>3</v>
      </c>
      <c r="B8" s="290" t="s">
        <v>312</v>
      </c>
      <c r="C8" s="1" t="s">
        <v>246</v>
      </c>
      <c r="D8" s="1" t="s">
        <v>258</v>
      </c>
      <c r="E8" s="283">
        <v>2080</v>
      </c>
      <c r="F8" s="323">
        <v>0</v>
      </c>
      <c r="G8" s="43">
        <f>18.06*1.06</f>
        <v>19.143599999999999</v>
      </c>
      <c r="H8" s="7">
        <f t="shared" si="0"/>
        <v>39818.688000000002</v>
      </c>
      <c r="I8" s="7">
        <f t="shared" si="1"/>
        <v>0</v>
      </c>
      <c r="J8" s="7">
        <f t="shared" si="2"/>
        <v>39818.688000000002</v>
      </c>
      <c r="K8" s="288">
        <f t="shared" ref="K8:K16" si="4">J8</f>
        <v>39818.688000000002</v>
      </c>
      <c r="M8" s="34">
        <v>2911.94</v>
      </c>
      <c r="N8" s="34">
        <v>0</v>
      </c>
      <c r="O8" s="34">
        <v>0</v>
      </c>
      <c r="P8" s="34" t="s">
        <v>329</v>
      </c>
      <c r="Q8" s="34">
        <v>0</v>
      </c>
      <c r="R8" s="34">
        <v>294.24</v>
      </c>
      <c r="S8" s="34">
        <v>2390.9699999999998</v>
      </c>
      <c r="T8" s="34">
        <v>9300.85</v>
      </c>
      <c r="U8" s="34">
        <v>0</v>
      </c>
    </row>
    <row r="9" spans="1:21" x14ac:dyDescent="0.45">
      <c r="A9" s="10">
        <f t="shared" si="3"/>
        <v>4</v>
      </c>
      <c r="B9" s="290" t="s">
        <v>312</v>
      </c>
      <c r="C9" s="1" t="s">
        <v>247</v>
      </c>
      <c r="D9" s="1" t="s">
        <v>255</v>
      </c>
      <c r="E9" s="283">
        <v>2080</v>
      </c>
      <c r="F9" s="323">
        <v>15.25</v>
      </c>
      <c r="G9" s="43">
        <f>22.67*1.06</f>
        <v>24.030200000000004</v>
      </c>
      <c r="H9" s="7">
        <f t="shared" si="0"/>
        <v>49982.816000000006</v>
      </c>
      <c r="I9" s="7">
        <f t="shared" si="1"/>
        <v>549.69082500000013</v>
      </c>
      <c r="J9" s="7">
        <f t="shared" si="2"/>
        <v>50532.506825000004</v>
      </c>
      <c r="K9" s="288">
        <f t="shared" si="4"/>
        <v>50532.506825000004</v>
      </c>
      <c r="M9" s="34">
        <v>3244.16</v>
      </c>
      <c r="N9" s="34">
        <v>1420.03</v>
      </c>
      <c r="O9" s="34">
        <v>13025.01</v>
      </c>
      <c r="P9" s="34" t="s">
        <v>259</v>
      </c>
      <c r="Q9" s="34">
        <v>0</v>
      </c>
      <c r="R9" s="34">
        <v>294.24</v>
      </c>
      <c r="S9" s="34">
        <v>2735.69</v>
      </c>
      <c r="T9" s="34">
        <v>10641.34</v>
      </c>
      <c r="U9" s="34">
        <v>0</v>
      </c>
    </row>
    <row r="10" spans="1:21" x14ac:dyDescent="0.45">
      <c r="A10" s="10">
        <f t="shared" si="3"/>
        <v>5</v>
      </c>
      <c r="B10" s="290" t="s">
        <v>313</v>
      </c>
      <c r="C10" s="1" t="s">
        <v>248</v>
      </c>
      <c r="D10" s="1" t="s">
        <v>248</v>
      </c>
      <c r="E10" s="283">
        <v>2120</v>
      </c>
      <c r="F10" s="323">
        <v>139.25</v>
      </c>
      <c r="G10" s="43">
        <f>28.34*1.06</f>
        <v>30.040400000000002</v>
      </c>
      <c r="H10" s="7">
        <f t="shared" si="0"/>
        <v>63685.648000000001</v>
      </c>
      <c r="I10" s="7">
        <f t="shared" si="1"/>
        <v>6274.6885500000008</v>
      </c>
      <c r="J10" s="7">
        <f t="shared" si="2"/>
        <v>69960.336550000007</v>
      </c>
      <c r="K10" s="288">
        <f t="shared" si="4"/>
        <v>69960.336550000007</v>
      </c>
      <c r="M10" s="34">
        <v>4859.6000000000004</v>
      </c>
      <c r="N10" s="34">
        <v>0</v>
      </c>
      <c r="O10" s="34">
        <v>13025.01</v>
      </c>
      <c r="P10" s="34" t="s">
        <v>259</v>
      </c>
      <c r="Q10" s="34">
        <v>0</v>
      </c>
      <c r="R10" s="34">
        <v>294.24</v>
      </c>
      <c r="S10" s="34">
        <v>3850.08</v>
      </c>
      <c r="T10" s="34">
        <v>14976.25</v>
      </c>
      <c r="U10" s="34">
        <v>418.08</v>
      </c>
    </row>
    <row r="11" spans="1:21" x14ac:dyDescent="0.45">
      <c r="A11" s="10">
        <f t="shared" si="3"/>
        <v>6</v>
      </c>
      <c r="B11" s="290" t="s">
        <v>314</v>
      </c>
      <c r="C11" s="1" t="s">
        <v>249</v>
      </c>
      <c r="D11" s="1" t="s">
        <v>249</v>
      </c>
      <c r="E11" s="283">
        <v>2120</v>
      </c>
      <c r="F11" s="323">
        <v>3.5</v>
      </c>
      <c r="G11" s="43">
        <f>25.26*1.06</f>
        <v>26.775600000000004</v>
      </c>
      <c r="H11" s="7">
        <f t="shared" si="0"/>
        <v>56764.272000000012</v>
      </c>
      <c r="I11" s="7">
        <f t="shared" si="1"/>
        <v>140.57190000000003</v>
      </c>
      <c r="J11" s="7">
        <f t="shared" si="2"/>
        <v>56904.843900000014</v>
      </c>
      <c r="K11" s="288">
        <f t="shared" si="4"/>
        <v>56904.843900000014</v>
      </c>
      <c r="M11" s="34">
        <v>3924.66</v>
      </c>
      <c r="N11" s="34">
        <v>0</v>
      </c>
      <c r="O11" s="34">
        <v>13025.01</v>
      </c>
      <c r="P11" s="34" t="s">
        <v>259</v>
      </c>
      <c r="Q11" s="34">
        <v>0</v>
      </c>
      <c r="R11" s="34">
        <v>294.24</v>
      </c>
      <c r="S11" s="34">
        <v>13670.86</v>
      </c>
      <c r="T11" s="34">
        <v>0</v>
      </c>
      <c r="U11" s="34">
        <v>0</v>
      </c>
    </row>
    <row r="12" spans="1:21" x14ac:dyDescent="0.45">
      <c r="A12" s="10">
        <f t="shared" si="3"/>
        <v>7</v>
      </c>
      <c r="B12" s="290" t="s">
        <v>315</v>
      </c>
      <c r="C12" s="1" t="s">
        <v>250</v>
      </c>
      <c r="D12" s="1" t="s">
        <v>250</v>
      </c>
      <c r="E12" s="283">
        <v>2080</v>
      </c>
      <c r="F12" s="323">
        <v>149.25</v>
      </c>
      <c r="G12" s="43">
        <f>26.09*1.06</f>
        <v>27.6554</v>
      </c>
      <c r="H12" s="7">
        <f t="shared" si="0"/>
        <v>57523.232000000004</v>
      </c>
      <c r="I12" s="7">
        <f t="shared" si="1"/>
        <v>6191.3526750000001</v>
      </c>
      <c r="J12" s="7">
        <f t="shared" si="2"/>
        <v>63714.584675000006</v>
      </c>
      <c r="K12" s="288">
        <f t="shared" si="4"/>
        <v>63714.584675000006</v>
      </c>
      <c r="M12" s="34">
        <v>4432.29</v>
      </c>
      <c r="N12" s="34">
        <v>0</v>
      </c>
      <c r="O12" s="34">
        <v>13025.01</v>
      </c>
      <c r="P12" s="34" t="s">
        <v>259</v>
      </c>
      <c r="Q12" s="34">
        <v>0</v>
      </c>
      <c r="R12" s="34">
        <v>294.24</v>
      </c>
      <c r="S12" s="34">
        <v>3511.48</v>
      </c>
      <c r="T12" s="34">
        <v>13659.38</v>
      </c>
      <c r="U12" s="34">
        <v>301.60000000000002</v>
      </c>
    </row>
    <row r="13" spans="1:21" x14ac:dyDescent="0.45">
      <c r="A13" s="10">
        <f t="shared" si="3"/>
        <v>8</v>
      </c>
      <c r="B13" s="290" t="s">
        <v>316</v>
      </c>
      <c r="C13" s="1" t="s">
        <v>251</v>
      </c>
      <c r="D13" s="1" t="s">
        <v>256</v>
      </c>
      <c r="E13" s="283">
        <v>2120</v>
      </c>
      <c r="F13" s="323">
        <v>32</v>
      </c>
      <c r="G13" s="43">
        <f>28.21*1.06</f>
        <v>29.902600000000003</v>
      </c>
      <c r="H13" s="7">
        <f t="shared" si="0"/>
        <v>63393.51200000001</v>
      </c>
      <c r="I13" s="7">
        <f t="shared" si="1"/>
        <v>1435.3248000000001</v>
      </c>
      <c r="J13" s="7">
        <f t="shared" si="2"/>
        <v>64828.836800000012</v>
      </c>
      <c r="K13" s="288">
        <f t="shared" si="4"/>
        <v>64828.836800000012</v>
      </c>
      <c r="M13" s="34">
        <v>4377.53</v>
      </c>
      <c r="N13" s="34">
        <v>0</v>
      </c>
      <c r="O13" s="34">
        <v>13025.01</v>
      </c>
      <c r="P13" s="34" t="s">
        <v>259</v>
      </c>
      <c r="Q13" s="34">
        <v>0</v>
      </c>
      <c r="R13" s="34">
        <v>294.24</v>
      </c>
      <c r="S13" s="34">
        <v>3514.53</v>
      </c>
      <c r="T13" s="34">
        <v>13670.86</v>
      </c>
      <c r="U13" s="34">
        <v>516.36</v>
      </c>
    </row>
    <row r="14" spans="1:21" x14ac:dyDescent="0.45">
      <c r="A14" s="10">
        <f>A13+1</f>
        <v>9</v>
      </c>
      <c r="B14" s="290" t="s">
        <v>317</v>
      </c>
      <c r="C14" s="1" t="s">
        <v>252</v>
      </c>
      <c r="D14" s="1" t="s">
        <v>252</v>
      </c>
      <c r="E14" s="283">
        <v>2080</v>
      </c>
      <c r="F14" s="323">
        <v>11.5</v>
      </c>
      <c r="G14" s="43">
        <f>23.28*1.06</f>
        <v>24.676800000000004</v>
      </c>
      <c r="H14" s="7">
        <f t="shared" si="0"/>
        <v>51327.744000000006</v>
      </c>
      <c r="I14" s="7">
        <f t="shared" si="1"/>
        <v>425.6748</v>
      </c>
      <c r="J14" s="7">
        <f t="shared" si="2"/>
        <v>51753.418800000007</v>
      </c>
      <c r="K14" s="288">
        <f t="shared" si="4"/>
        <v>51753.418800000007</v>
      </c>
      <c r="M14" s="34">
        <v>3358.55</v>
      </c>
      <c r="N14" s="34">
        <v>0</v>
      </c>
      <c r="O14" s="34">
        <v>0</v>
      </c>
      <c r="P14" s="34" t="s">
        <v>329</v>
      </c>
      <c r="Q14" s="34">
        <v>0</v>
      </c>
      <c r="R14" s="34">
        <v>0</v>
      </c>
      <c r="S14" s="34">
        <v>2334.4</v>
      </c>
      <c r="T14" s="34">
        <v>10896.81</v>
      </c>
      <c r="U14" s="34">
        <v>0</v>
      </c>
    </row>
    <row r="15" spans="1:21" x14ac:dyDescent="0.45">
      <c r="A15" s="10">
        <f t="shared" ref="A15:A16" si="5">A14+1</f>
        <v>10</v>
      </c>
      <c r="B15" s="290" t="s">
        <v>318</v>
      </c>
      <c r="C15" s="1" t="s">
        <v>257</v>
      </c>
      <c r="D15" s="1" t="s">
        <v>257</v>
      </c>
      <c r="E15" s="283">
        <v>2160</v>
      </c>
      <c r="F15" s="323">
        <v>0</v>
      </c>
      <c r="G15" s="43">
        <f>47.01*1.06</f>
        <v>49.830599999999997</v>
      </c>
      <c r="H15" s="7">
        <f t="shared" si="0"/>
        <v>107634.09599999999</v>
      </c>
      <c r="I15" s="7">
        <f t="shared" si="1"/>
        <v>0</v>
      </c>
      <c r="J15" s="7">
        <f t="shared" si="2"/>
        <v>107634.09599999999</v>
      </c>
      <c r="K15" s="288">
        <f t="shared" si="4"/>
        <v>107634.09599999999</v>
      </c>
      <c r="M15" s="34">
        <v>7684.19</v>
      </c>
      <c r="N15" s="34">
        <v>0</v>
      </c>
      <c r="O15" s="34">
        <v>0</v>
      </c>
      <c r="P15" s="34" t="s">
        <v>329</v>
      </c>
      <c r="Q15" s="34">
        <v>0</v>
      </c>
      <c r="R15" s="34">
        <v>294.24</v>
      </c>
      <c r="S15" s="34">
        <v>0</v>
      </c>
      <c r="T15" s="34">
        <v>23700.05</v>
      </c>
      <c r="U15" s="34">
        <v>0</v>
      </c>
    </row>
    <row r="16" spans="1:21" x14ac:dyDescent="0.45">
      <c r="A16" s="10">
        <f t="shared" si="5"/>
        <v>11</v>
      </c>
      <c r="B16" s="290" t="s">
        <v>319</v>
      </c>
      <c r="C16" s="1" t="s">
        <v>253</v>
      </c>
      <c r="D16" s="1" t="s">
        <v>253</v>
      </c>
      <c r="E16" s="291">
        <v>2120</v>
      </c>
      <c r="F16" s="96">
        <v>0</v>
      </c>
      <c r="G16" s="355">
        <f>33.48*1.06</f>
        <v>35.488799999999998</v>
      </c>
      <c r="H16" s="9">
        <f t="shared" si="0"/>
        <v>75236.255999999994</v>
      </c>
      <c r="I16" s="9">
        <f t="shared" si="1"/>
        <v>0</v>
      </c>
      <c r="J16" s="9">
        <f t="shared" si="2"/>
        <v>75236.255999999994</v>
      </c>
      <c r="K16" s="288">
        <f t="shared" si="4"/>
        <v>75236.255999999994</v>
      </c>
      <c r="M16" s="389">
        <v>4711.92</v>
      </c>
      <c r="N16" s="389">
        <v>3933.41</v>
      </c>
      <c r="O16" s="389">
        <v>22913.38</v>
      </c>
      <c r="P16" s="389" t="s">
        <v>330</v>
      </c>
      <c r="Q16" s="389">
        <v>864.24</v>
      </c>
      <c r="R16" s="389">
        <v>0</v>
      </c>
      <c r="S16" s="389">
        <v>3394.74</v>
      </c>
      <c r="T16" s="389">
        <v>22913.38</v>
      </c>
      <c r="U16" s="389">
        <v>0</v>
      </c>
    </row>
    <row r="17" spans="1:21" x14ac:dyDescent="0.45">
      <c r="A17" s="10">
        <v>12</v>
      </c>
      <c r="B17" s="390" t="s">
        <v>334</v>
      </c>
      <c r="C17" s="1" t="s">
        <v>333</v>
      </c>
      <c r="D17" s="1" t="s">
        <v>332</v>
      </c>
      <c r="E17" s="365">
        <v>2080</v>
      </c>
      <c r="F17" s="49">
        <v>0</v>
      </c>
      <c r="G17" s="43">
        <f>18*1.06</f>
        <v>19.080000000000002</v>
      </c>
      <c r="H17" s="200">
        <f t="shared" ref="H17" si="6">E17*G17</f>
        <v>39686.400000000001</v>
      </c>
      <c r="I17" s="200">
        <f t="shared" ref="I17" si="7">F17*G17*1.5</f>
        <v>0</v>
      </c>
      <c r="J17" s="200">
        <f t="shared" ref="J17" si="8">H17+I17</f>
        <v>39686.400000000001</v>
      </c>
      <c r="K17" s="339">
        <v>0</v>
      </c>
      <c r="M17" s="281">
        <v>1261.3499999999999</v>
      </c>
      <c r="N17" s="281">
        <v>0</v>
      </c>
      <c r="O17" s="281">
        <v>0</v>
      </c>
      <c r="P17" s="389" t="s">
        <v>329</v>
      </c>
      <c r="Q17" s="281">
        <v>0</v>
      </c>
      <c r="R17" s="281">
        <v>0</v>
      </c>
      <c r="S17" s="281">
        <v>949.29</v>
      </c>
      <c r="T17" s="281">
        <v>3692.59</v>
      </c>
      <c r="U17" s="281">
        <v>0</v>
      </c>
    </row>
    <row r="18" spans="1:21" x14ac:dyDescent="0.45">
      <c r="C18" s="1" t="s">
        <v>50</v>
      </c>
      <c r="E18" s="283">
        <f>SUM(E6:E17)</f>
        <v>25200</v>
      </c>
      <c r="F18" s="323">
        <f>SUM(F6:F17)</f>
        <v>404</v>
      </c>
      <c r="G18" s="43"/>
      <c r="H18" s="7">
        <f>SUM(H6:H17)</f>
        <v>705547.44799999997</v>
      </c>
      <c r="I18" s="7">
        <f>SUM(I6:I17)</f>
        <v>16793.460750000002</v>
      </c>
      <c r="J18" s="7">
        <f>SUM(J6:J17)</f>
        <v>722340.90875000006</v>
      </c>
      <c r="K18" s="7">
        <f>SUM(K6:K17)</f>
        <v>682654.50875000004</v>
      </c>
      <c r="M18" s="7">
        <f t="shared" ref="M18:U18" si="9">SUM(M6:M17)</f>
        <v>48264.02</v>
      </c>
      <c r="N18" s="7">
        <f t="shared" si="9"/>
        <v>6773.4699999999993</v>
      </c>
      <c r="O18" s="7">
        <f t="shared" si="9"/>
        <v>101063.44</v>
      </c>
      <c r="P18" s="7"/>
      <c r="Q18" s="7">
        <f t="shared" si="9"/>
        <v>1005.95</v>
      </c>
      <c r="R18" s="7">
        <f t="shared" si="9"/>
        <v>2574.6000000000004</v>
      </c>
      <c r="S18" s="7">
        <f t="shared" si="9"/>
        <v>41955.72</v>
      </c>
      <c r="T18" s="7">
        <f t="shared" si="9"/>
        <v>147192.17000000001</v>
      </c>
      <c r="U18" s="7">
        <f t="shared" si="9"/>
        <v>1236.04</v>
      </c>
    </row>
    <row r="20" spans="1:21" x14ac:dyDescent="0.45">
      <c r="C20" s="1" t="s">
        <v>254</v>
      </c>
      <c r="J20" s="34" t="s">
        <v>8</v>
      </c>
    </row>
    <row r="21" spans="1:21" x14ac:dyDescent="0.45">
      <c r="G21" s="323" t="s">
        <v>31</v>
      </c>
      <c r="J21" s="7">
        <f>J18</f>
        <v>722340.90875000006</v>
      </c>
    </row>
    <row r="22" spans="1:21" x14ac:dyDescent="0.45">
      <c r="G22" s="323" t="s">
        <v>32</v>
      </c>
      <c r="J22" s="49">
        <f>SAO!C12</f>
        <v>688548</v>
      </c>
    </row>
    <row r="23" spans="1:21" x14ac:dyDescent="0.45">
      <c r="G23" s="323" t="s">
        <v>33</v>
      </c>
      <c r="J23" s="323">
        <f>J21-J22</f>
        <v>33792.908750000061</v>
      </c>
      <c r="K23" s="10"/>
    </row>
    <row r="24" spans="1:21" x14ac:dyDescent="0.45">
      <c r="C24" s="348"/>
      <c r="E24" s="291"/>
      <c r="J24" s="323" t="s">
        <v>34</v>
      </c>
      <c r="K24" s="10"/>
    </row>
    <row r="25" spans="1:21" x14ac:dyDescent="0.45">
      <c r="E25" s="96"/>
      <c r="G25" s="323" t="s">
        <v>35</v>
      </c>
      <c r="J25" s="323">
        <f>J18</f>
        <v>722340.90875000006</v>
      </c>
      <c r="K25" s="10"/>
    </row>
    <row r="26" spans="1:21" x14ac:dyDescent="0.45">
      <c r="E26" s="96"/>
      <c r="G26" s="323" t="s">
        <v>36</v>
      </c>
      <c r="J26" s="374">
        <v>7.6499999999999999E-2</v>
      </c>
      <c r="K26" s="10"/>
    </row>
    <row r="27" spans="1:21" x14ac:dyDescent="0.45">
      <c r="E27" s="96"/>
      <c r="G27" s="323" t="s">
        <v>37</v>
      </c>
      <c r="J27" s="323">
        <f>J25*J26</f>
        <v>55259.079519375002</v>
      </c>
      <c r="K27" s="10"/>
    </row>
    <row r="28" spans="1:21" x14ac:dyDescent="0.45">
      <c r="E28" s="96"/>
      <c r="G28" s="323" t="s">
        <v>38</v>
      </c>
      <c r="J28" s="375">
        <f>SAO!C33</f>
        <v>50981</v>
      </c>
      <c r="K28" s="290"/>
    </row>
    <row r="29" spans="1:21" x14ac:dyDescent="0.45">
      <c r="E29" s="96"/>
      <c r="G29" s="323" t="s">
        <v>39</v>
      </c>
      <c r="J29" s="323">
        <f>J27-J28</f>
        <v>4278.0795193750018</v>
      </c>
      <c r="K29" s="10"/>
    </row>
    <row r="30" spans="1:21" x14ac:dyDescent="0.45">
      <c r="E30" s="96"/>
      <c r="J30" s="323"/>
      <c r="K30" s="10"/>
    </row>
    <row r="31" spans="1:21" x14ac:dyDescent="0.45">
      <c r="E31" s="96"/>
      <c r="G31" s="323" t="s">
        <v>196</v>
      </c>
      <c r="J31" s="323">
        <f>K18</f>
        <v>682654.50875000004</v>
      </c>
      <c r="K31" s="10"/>
    </row>
    <row r="32" spans="1:21" x14ac:dyDescent="0.45">
      <c r="E32" s="291"/>
      <c r="G32" s="323" t="s">
        <v>195</v>
      </c>
      <c r="J32" s="374">
        <v>0.1862</v>
      </c>
      <c r="K32" s="290" t="s">
        <v>197</v>
      </c>
    </row>
    <row r="33" spans="1:11" x14ac:dyDescent="0.45">
      <c r="E33" s="291"/>
      <c r="G33" s="323" t="s">
        <v>40</v>
      </c>
      <c r="J33" s="323">
        <f>J31*J32</f>
        <v>127110.26952925001</v>
      </c>
      <c r="K33" s="10"/>
    </row>
    <row r="34" spans="1:11" x14ac:dyDescent="0.45">
      <c r="E34" s="291"/>
      <c r="G34" s="323" t="s">
        <v>41</v>
      </c>
      <c r="J34" s="49">
        <v>143327.85999999999</v>
      </c>
      <c r="K34" s="10"/>
    </row>
    <row r="35" spans="1:11" x14ac:dyDescent="0.45">
      <c r="E35" s="291"/>
      <c r="G35" s="323" t="s">
        <v>42</v>
      </c>
      <c r="J35" s="323">
        <f>J33-J34</f>
        <v>-16217.590470749972</v>
      </c>
      <c r="K35" s="10"/>
    </row>
    <row r="36" spans="1:11" x14ac:dyDescent="0.45">
      <c r="E36" s="291"/>
    </row>
    <row r="37" spans="1:11" x14ac:dyDescent="0.45">
      <c r="E37" s="96"/>
    </row>
    <row r="38" spans="1:11" x14ac:dyDescent="0.45">
      <c r="E38" s="96"/>
    </row>
    <row r="39" spans="1:11" x14ac:dyDescent="0.45">
      <c r="E39" s="96"/>
    </row>
    <row r="40" spans="1:11" x14ac:dyDescent="0.45">
      <c r="E40" s="96"/>
    </row>
    <row r="41" spans="1:11" x14ac:dyDescent="0.45">
      <c r="E41" s="291"/>
    </row>
    <row r="42" spans="1:11" x14ac:dyDescent="0.45">
      <c r="C42" s="331"/>
      <c r="D42" s="393" t="s">
        <v>202</v>
      </c>
      <c r="E42" s="393" t="s">
        <v>201</v>
      </c>
    </row>
    <row r="43" spans="1:11" x14ac:dyDescent="0.45">
      <c r="C43" s="332" t="s">
        <v>207</v>
      </c>
      <c r="D43" s="393"/>
      <c r="E43" s="393"/>
    </row>
    <row r="44" spans="1:11" ht="28.5" x14ac:dyDescent="0.45">
      <c r="C44" s="333" t="s">
        <v>208</v>
      </c>
      <c r="D44" s="334">
        <v>243031</v>
      </c>
      <c r="E44" s="335" t="s">
        <v>34</v>
      </c>
    </row>
    <row r="45" spans="1:11" ht="28.5" x14ac:dyDescent="0.45">
      <c r="C45" s="333" t="s">
        <v>209</v>
      </c>
      <c r="D45" s="336">
        <v>-8830</v>
      </c>
      <c r="E45" s="335" t="s">
        <v>34</v>
      </c>
    </row>
    <row r="46" spans="1:11" ht="28.5" x14ac:dyDescent="0.45">
      <c r="C46" s="333" t="s">
        <v>210</v>
      </c>
      <c r="D46" s="336">
        <v>234201</v>
      </c>
      <c r="E46" s="335" t="s">
        <v>34</v>
      </c>
    </row>
    <row r="47" spans="1:11" x14ac:dyDescent="0.45">
      <c r="A47" s="329">
        <v>1</v>
      </c>
      <c r="B47" s="388"/>
      <c r="C47" s="333" t="s">
        <v>211</v>
      </c>
      <c r="D47" s="337" t="e">
        <f>#REF!+#REF!+#REF!+#REF!+#REF!</f>
        <v>#REF!</v>
      </c>
      <c r="E47" s="338" t="e">
        <f>D47/$D$58</f>
        <v>#REF!</v>
      </c>
    </row>
    <row r="48" spans="1:11" ht="28.5" x14ac:dyDescent="0.45">
      <c r="A48" s="329">
        <v>2</v>
      </c>
      <c r="B48" s="388"/>
      <c r="C48" s="333" t="s">
        <v>212</v>
      </c>
      <c r="D48" s="337">
        <v>0</v>
      </c>
      <c r="E48" s="338">
        <f t="shared" ref="E48:E55" si="10">D48/$D$58</f>
        <v>0</v>
      </c>
    </row>
    <row r="49" spans="1:5" ht="42.75" x14ac:dyDescent="0.45">
      <c r="A49" s="329">
        <v>3</v>
      </c>
      <c r="B49" s="388"/>
      <c r="C49" s="333" t="s">
        <v>215</v>
      </c>
      <c r="D49" s="337">
        <v>0</v>
      </c>
      <c r="E49" s="338">
        <f t="shared" si="10"/>
        <v>0</v>
      </c>
    </row>
    <row r="50" spans="1:5" ht="14.25" customHeight="1" x14ac:dyDescent="0.45">
      <c r="A50" s="329"/>
      <c r="B50" s="388"/>
      <c r="C50" s="394" t="s">
        <v>216</v>
      </c>
      <c r="D50" s="395" t="e">
        <f>#REF!+#REF!+#REF!+#REF!</f>
        <v>#REF!</v>
      </c>
      <c r="E50" s="396" t="e">
        <f t="shared" si="10"/>
        <v>#REF!</v>
      </c>
    </row>
    <row r="51" spans="1:5" ht="14.25" customHeight="1" x14ac:dyDescent="0.45">
      <c r="A51" s="329"/>
      <c r="B51" s="388"/>
      <c r="C51" s="394"/>
      <c r="D51" s="395"/>
      <c r="E51" s="397"/>
    </row>
    <row r="52" spans="1:5" ht="14.25" customHeight="1" x14ac:dyDescent="0.45">
      <c r="A52" s="329"/>
      <c r="B52" s="388"/>
      <c r="C52" s="394"/>
      <c r="D52" s="395"/>
      <c r="E52" s="397"/>
    </row>
    <row r="53" spans="1:5" ht="14.25" customHeight="1" x14ac:dyDescent="0.45">
      <c r="A53" s="329">
        <v>4</v>
      </c>
      <c r="B53" s="388"/>
      <c r="C53" s="394"/>
      <c r="D53" s="395"/>
      <c r="E53" s="398"/>
    </row>
    <row r="54" spans="1:5" ht="42.75" x14ac:dyDescent="0.45">
      <c r="A54" s="329">
        <v>5</v>
      </c>
      <c r="B54" s="388"/>
      <c r="C54" s="333" t="s">
        <v>217</v>
      </c>
      <c r="D54" s="337" t="e">
        <f>#REF!</f>
        <v>#REF!</v>
      </c>
      <c r="E54" s="338" t="e">
        <f t="shared" si="10"/>
        <v>#REF!</v>
      </c>
    </row>
    <row r="55" spans="1:5" ht="28.5" x14ac:dyDescent="0.45">
      <c r="A55" s="329">
        <v>6</v>
      </c>
      <c r="B55" s="388"/>
      <c r="C55" s="333" t="s">
        <v>213</v>
      </c>
      <c r="D55" s="335">
        <v>0</v>
      </c>
      <c r="E55" s="338">
        <f t="shared" si="10"/>
        <v>0</v>
      </c>
    </row>
    <row r="56" spans="1:5" x14ac:dyDescent="0.45">
      <c r="C56" s="333" t="s">
        <v>214</v>
      </c>
      <c r="D56" s="334">
        <v>386936</v>
      </c>
      <c r="E56" s="335" t="s">
        <v>34</v>
      </c>
    </row>
    <row r="58" spans="1:5" x14ac:dyDescent="0.45">
      <c r="D58" s="330">
        <f>D56-D46</f>
        <v>152735</v>
      </c>
    </row>
    <row r="59" spans="1:5" x14ac:dyDescent="0.45">
      <c r="D59" s="11" t="s">
        <v>218</v>
      </c>
    </row>
  </sheetData>
  <mergeCells count="7">
    <mergeCell ref="A1:K1"/>
    <mergeCell ref="A2:K2"/>
    <mergeCell ref="D42:D43"/>
    <mergeCell ref="E42:E43"/>
    <mergeCell ref="C50:C53"/>
    <mergeCell ref="D50:D53"/>
    <mergeCell ref="E50:E53"/>
  </mergeCells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02C5-2CD7-493D-BF25-B1BF26C1D76D}">
  <dimension ref="A1:J28"/>
  <sheetViews>
    <sheetView tabSelected="1" workbookViewId="0">
      <selection activeCell="C26" sqref="C26"/>
    </sheetView>
  </sheetViews>
  <sheetFormatPr defaultRowHeight="14.25" x14ac:dyDescent="0.45"/>
  <cols>
    <col min="1" max="1" width="28" style="41" bestFit="1" customWidth="1"/>
    <col min="2" max="2" width="6.5546875" style="113" bestFit="1" customWidth="1"/>
    <col min="3" max="3" width="9.6640625" style="41" bestFit="1" customWidth="1"/>
    <col min="4" max="5" width="14.77734375" style="41" customWidth="1"/>
    <col min="6" max="6" width="1.77734375" style="41" customWidth="1"/>
    <col min="7" max="9" width="14.77734375" style="292" customWidth="1"/>
    <col min="10" max="10" width="14.71875" style="41" customWidth="1"/>
    <col min="11" max="16384" width="8.88671875" style="41"/>
  </cols>
  <sheetData>
    <row r="1" spans="1:10" x14ac:dyDescent="0.45">
      <c r="A1" s="41" t="s">
        <v>219</v>
      </c>
    </row>
    <row r="2" spans="1:10" x14ac:dyDescent="0.45">
      <c r="A2" s="41" t="s">
        <v>198</v>
      </c>
    </row>
    <row r="4" spans="1:10" x14ac:dyDescent="0.45">
      <c r="A4" s="293" t="s">
        <v>199</v>
      </c>
      <c r="B4" s="293" t="s">
        <v>188</v>
      </c>
      <c r="C4" s="293" t="s">
        <v>13</v>
      </c>
      <c r="G4" s="399" t="s">
        <v>189</v>
      </c>
      <c r="H4" s="399"/>
      <c r="I4" s="307" t="s">
        <v>200</v>
      </c>
      <c r="J4" s="310" t="s">
        <v>200</v>
      </c>
    </row>
    <row r="5" spans="1:10" x14ac:dyDescent="0.45">
      <c r="A5" s="294" t="s">
        <v>190</v>
      </c>
      <c r="B5" s="294" t="s">
        <v>191</v>
      </c>
      <c r="C5" s="294" t="s">
        <v>192</v>
      </c>
      <c r="D5" s="352" t="s">
        <v>193</v>
      </c>
      <c r="E5" s="353" t="s">
        <v>24</v>
      </c>
      <c r="G5" s="306" t="s">
        <v>193</v>
      </c>
      <c r="H5" s="306" t="s">
        <v>24</v>
      </c>
      <c r="I5" s="308" t="s">
        <v>201</v>
      </c>
      <c r="J5" s="311" t="s">
        <v>202</v>
      </c>
    </row>
    <row r="6" spans="1:10" x14ac:dyDescent="0.45">
      <c r="A6" s="295" t="s">
        <v>259</v>
      </c>
      <c r="B6" s="349">
        <v>4</v>
      </c>
      <c r="C6" s="296">
        <v>1016.48</v>
      </c>
      <c r="D6" s="305">
        <f>C6</f>
        <v>1016.48</v>
      </c>
      <c r="E6" s="292">
        <f>C6-D6</f>
        <v>0</v>
      </c>
      <c r="G6" s="292">
        <f>$B6*D6*12</f>
        <v>48791.040000000001</v>
      </c>
      <c r="H6" s="292">
        <f t="shared" ref="H6:H8" si="0">$B6*E6*12</f>
        <v>0</v>
      </c>
      <c r="I6" s="309">
        <v>1</v>
      </c>
      <c r="J6" s="302">
        <f>(G6+H6)*I6</f>
        <v>48791.040000000001</v>
      </c>
    </row>
    <row r="7" spans="1:10" x14ac:dyDescent="0.45">
      <c r="A7" s="297" t="s">
        <v>260</v>
      </c>
      <c r="B7" s="350">
        <v>2</v>
      </c>
      <c r="C7" s="298">
        <v>1129.44</v>
      </c>
      <c r="D7" s="292">
        <f>C7</f>
        <v>1129.44</v>
      </c>
      <c r="E7" s="292">
        <f t="shared" ref="E7:E8" si="1">C7-D7</f>
        <v>0</v>
      </c>
      <c r="G7" s="292">
        <f t="shared" ref="G7:G8" si="2">$B7*D7*12</f>
        <v>27106.560000000001</v>
      </c>
      <c r="H7" s="292">
        <f t="shared" si="0"/>
        <v>0</v>
      </c>
      <c r="I7" s="309">
        <v>1</v>
      </c>
      <c r="J7" s="302">
        <f t="shared" ref="J7:J8" si="3">(G7+H7)*I7</f>
        <v>27106.560000000001</v>
      </c>
    </row>
    <row r="8" spans="1:10" x14ac:dyDescent="0.45">
      <c r="A8" s="299" t="s">
        <v>261</v>
      </c>
      <c r="B8" s="351">
        <v>1</v>
      </c>
      <c r="C8" s="300">
        <v>3614.2</v>
      </c>
      <c r="D8" s="304">
        <f>C8*0.85</f>
        <v>3072.0699999999997</v>
      </c>
      <c r="E8" s="301">
        <f t="shared" si="1"/>
        <v>542.13000000000011</v>
      </c>
      <c r="F8" s="354"/>
      <c r="G8" s="301">
        <f t="shared" si="2"/>
        <v>36864.839999999997</v>
      </c>
      <c r="H8" s="301">
        <f t="shared" si="0"/>
        <v>6505.5600000000013</v>
      </c>
      <c r="I8" s="309">
        <v>1</v>
      </c>
      <c r="J8" s="312">
        <f t="shared" si="3"/>
        <v>43370.399999999994</v>
      </c>
    </row>
    <row r="9" spans="1:10" x14ac:dyDescent="0.45">
      <c r="B9" s="113">
        <f>SUM(B6:B8)</f>
        <v>7</v>
      </c>
      <c r="C9" s="302">
        <f>SUM(C6:C8)</f>
        <v>5760.12</v>
      </c>
      <c r="D9" s="302">
        <f>SUM(D6:D8)</f>
        <v>5217.99</v>
      </c>
      <c r="E9" s="302">
        <f>SUM(E6:E8)</f>
        <v>542.13000000000011</v>
      </c>
      <c r="F9" s="302"/>
      <c r="G9" s="292">
        <f>SUM(G6:G8)</f>
        <v>112762.44</v>
      </c>
      <c r="H9" s="292">
        <f>SUM(H6:H8)</f>
        <v>6505.5600000000013</v>
      </c>
      <c r="J9" s="292">
        <f>SUM(J6:J8)</f>
        <v>119268</v>
      </c>
    </row>
    <row r="10" spans="1:10" x14ac:dyDescent="0.45">
      <c r="C10" s="302"/>
      <c r="D10" s="302"/>
      <c r="E10" s="302"/>
      <c r="F10" s="302"/>
      <c r="J10" s="292"/>
    </row>
    <row r="11" spans="1:10" x14ac:dyDescent="0.45">
      <c r="A11" s="41" t="s">
        <v>263</v>
      </c>
      <c r="C11" s="302">
        <f>J9</f>
        <v>119268</v>
      </c>
      <c r="D11" s="302"/>
      <c r="E11" s="302"/>
      <c r="F11" s="302"/>
      <c r="J11" s="292"/>
    </row>
    <row r="12" spans="1:10" x14ac:dyDescent="0.45">
      <c r="A12" s="41" t="s">
        <v>204</v>
      </c>
      <c r="C12" s="312">
        <v>102248.13</v>
      </c>
      <c r="D12" s="302" t="s">
        <v>265</v>
      </c>
      <c r="E12" s="302"/>
      <c r="F12" s="302"/>
      <c r="J12" s="292"/>
    </row>
    <row r="13" spans="1:10" x14ac:dyDescent="0.45">
      <c r="A13" s="41" t="s">
        <v>264</v>
      </c>
      <c r="C13" s="302">
        <f>C11-C12</f>
        <v>17019.869999999995</v>
      </c>
      <c r="D13" s="302"/>
      <c r="E13" s="302"/>
      <c r="F13" s="302"/>
      <c r="J13" s="292"/>
    </row>
    <row r="14" spans="1:10" x14ac:dyDescent="0.45">
      <c r="C14" s="302"/>
      <c r="D14" s="302"/>
      <c r="E14" s="302"/>
      <c r="F14" s="302"/>
      <c r="J14" s="292"/>
    </row>
    <row r="15" spans="1:10" x14ac:dyDescent="0.45">
      <c r="B15" s="303"/>
      <c r="E15" s="302"/>
      <c r="H15" s="302"/>
    </row>
    <row r="16" spans="1:10" x14ac:dyDescent="0.45">
      <c r="B16" s="303"/>
      <c r="E16" s="302"/>
      <c r="H16" s="302"/>
    </row>
    <row r="17" spans="1:10" x14ac:dyDescent="0.45">
      <c r="A17" s="293" t="s">
        <v>262</v>
      </c>
      <c r="B17" s="293" t="s">
        <v>188</v>
      </c>
      <c r="C17" s="293" t="s">
        <v>13</v>
      </c>
      <c r="G17" s="399" t="s">
        <v>189</v>
      </c>
      <c r="H17" s="399"/>
      <c r="I17" s="307" t="s">
        <v>200</v>
      </c>
      <c r="J17" s="310" t="s">
        <v>200</v>
      </c>
    </row>
    <row r="18" spans="1:10" x14ac:dyDescent="0.45">
      <c r="A18" s="294" t="s">
        <v>190</v>
      </c>
      <c r="B18" s="294" t="s">
        <v>191</v>
      </c>
      <c r="C18" s="294" t="s">
        <v>192</v>
      </c>
      <c r="D18" s="352" t="s">
        <v>193</v>
      </c>
      <c r="E18" s="353" t="s">
        <v>24</v>
      </c>
      <c r="G18" s="306" t="s">
        <v>193</v>
      </c>
      <c r="H18" s="306" t="s">
        <v>24</v>
      </c>
      <c r="I18" s="308" t="s">
        <v>201</v>
      </c>
      <c r="J18" s="311" t="s">
        <v>202</v>
      </c>
    </row>
    <row r="19" spans="1:10" x14ac:dyDescent="0.45">
      <c r="A19" s="370" t="s">
        <v>259</v>
      </c>
      <c r="B19" s="371">
        <v>10</v>
      </c>
      <c r="C19" s="372">
        <v>24.52</v>
      </c>
      <c r="D19" s="304">
        <f>C19</f>
        <v>24.52</v>
      </c>
      <c r="E19" s="301">
        <f>C19-D19</f>
        <v>0</v>
      </c>
      <c r="F19" s="354"/>
      <c r="G19" s="301">
        <f>$B19*D19*12</f>
        <v>2942.3999999999996</v>
      </c>
      <c r="H19" s="301">
        <f t="shared" ref="H19" si="4">$B19*E19*12</f>
        <v>0</v>
      </c>
      <c r="I19" s="373">
        <v>1</v>
      </c>
      <c r="J19" s="312">
        <f t="shared" ref="J19" si="5">(G19+H19)*I19</f>
        <v>2942.3999999999996</v>
      </c>
    </row>
    <row r="20" spans="1:10" x14ac:dyDescent="0.45">
      <c r="B20" s="113">
        <f>SUM(B19:B19)</f>
        <v>10</v>
      </c>
      <c r="C20" s="302">
        <f>SUM(C19:C19)</f>
        <v>24.52</v>
      </c>
      <c r="D20" s="302">
        <f>SUM(D19:D19)</f>
        <v>24.52</v>
      </c>
      <c r="E20" s="302">
        <f>SUM(E19:E19)</f>
        <v>0</v>
      </c>
      <c r="F20" s="302"/>
      <c r="G20" s="292">
        <f>SUM(G19:G19)</f>
        <v>2942.3999999999996</v>
      </c>
      <c r="H20" s="292">
        <f>SUM(H19:H19)</f>
        <v>0</v>
      </c>
      <c r="J20" s="292">
        <f>SUM(J19:J19)</f>
        <v>2942.3999999999996</v>
      </c>
    </row>
    <row r="21" spans="1:10" x14ac:dyDescent="0.45">
      <c r="B21" s="303"/>
      <c r="E21" s="302"/>
      <c r="H21" s="302"/>
    </row>
    <row r="22" spans="1:10" x14ac:dyDescent="0.45">
      <c r="A22" s="41" t="s">
        <v>203</v>
      </c>
      <c r="C22" s="302">
        <f>J20</f>
        <v>2942.3999999999996</v>
      </c>
    </row>
    <row r="23" spans="1:10" x14ac:dyDescent="0.45">
      <c r="A23" s="41" t="s">
        <v>204</v>
      </c>
      <c r="C23" s="312">
        <v>2246</v>
      </c>
      <c r="D23" s="41" t="s">
        <v>266</v>
      </c>
    </row>
    <row r="24" spans="1:10" x14ac:dyDescent="0.45">
      <c r="A24" s="41" t="s">
        <v>267</v>
      </c>
      <c r="C24" s="302">
        <f>C22-C23</f>
        <v>696.39999999999964</v>
      </c>
    </row>
    <row r="26" spans="1:10" x14ac:dyDescent="0.45">
      <c r="A26" s="41" t="s">
        <v>268</v>
      </c>
      <c r="C26" s="302">
        <f>C13+C24</f>
        <v>17716.269999999997</v>
      </c>
    </row>
    <row r="27" spans="1:10" x14ac:dyDescent="0.45">
      <c r="C27" s="302"/>
    </row>
    <row r="28" spans="1:10" x14ac:dyDescent="0.45">
      <c r="C28" s="302"/>
    </row>
  </sheetData>
  <mergeCells count="2">
    <mergeCell ref="G4:H4"/>
    <mergeCell ref="G17:H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52E2D-32DB-42DA-8EA9-BE7E6793BDAF}">
  <dimension ref="B1:I42"/>
  <sheetViews>
    <sheetView topLeftCell="A16" workbookViewId="0">
      <selection activeCell="F28" sqref="F28"/>
    </sheetView>
  </sheetViews>
  <sheetFormatPr defaultRowHeight="13.5" x14ac:dyDescent="0.35"/>
  <cols>
    <col min="1" max="1" width="2.609375" style="156" customWidth="1"/>
    <col min="2" max="2" width="1.609375" style="156" customWidth="1"/>
    <col min="3" max="3" width="22.0546875" style="156" customWidth="1"/>
    <col min="4" max="4" width="9.88671875" style="155" bestFit="1" customWidth="1"/>
    <col min="5" max="5" width="9.71875" style="155" bestFit="1" customWidth="1"/>
    <col min="6" max="6" width="10.38671875" style="156" bestFit="1" customWidth="1"/>
    <col min="7" max="8" width="8.88671875" style="156"/>
    <col min="9" max="9" width="1.609375" style="156" customWidth="1"/>
    <col min="10" max="16384" width="8.88671875" style="156"/>
  </cols>
  <sheetData>
    <row r="1" spans="2:9" ht="13.9" thickBot="1" x14ac:dyDescent="0.4"/>
    <row r="2" spans="2:9" x14ac:dyDescent="0.35">
      <c r="B2" s="204"/>
      <c r="C2" s="205"/>
      <c r="D2" s="206"/>
      <c r="E2" s="206"/>
      <c r="F2" s="205"/>
      <c r="G2" s="205"/>
      <c r="H2" s="207"/>
    </row>
    <row r="3" spans="2:9" ht="18" x14ac:dyDescent="0.55000000000000004">
      <c r="B3" s="208"/>
      <c r="C3" s="400" t="s">
        <v>219</v>
      </c>
      <c r="D3" s="400"/>
      <c r="E3" s="400"/>
      <c r="F3" s="400"/>
      <c r="G3" s="400"/>
      <c r="H3" s="401"/>
    </row>
    <row r="4" spans="2:9" ht="16.5" customHeight="1" x14ac:dyDescent="0.55000000000000004">
      <c r="B4" s="208"/>
      <c r="C4" s="402" t="s">
        <v>108</v>
      </c>
      <c r="D4" s="402"/>
      <c r="E4" s="402"/>
      <c r="F4" s="402"/>
      <c r="G4" s="402"/>
      <c r="H4" s="403"/>
      <c r="I4" s="1"/>
    </row>
    <row r="5" spans="2:9" ht="14.25" x14ac:dyDescent="0.45">
      <c r="B5" s="208"/>
      <c r="C5" s="202"/>
      <c r="D5" s="12"/>
      <c r="E5" s="12"/>
      <c r="F5" s="1"/>
      <c r="G5" s="1"/>
      <c r="H5" s="210"/>
      <c r="I5" s="1"/>
    </row>
    <row r="6" spans="2:9" ht="14.25" x14ac:dyDescent="0.45">
      <c r="B6" s="208"/>
      <c r="C6" s="1" t="s">
        <v>109</v>
      </c>
      <c r="D6" s="12"/>
      <c r="E6" s="12"/>
      <c r="F6" s="1"/>
      <c r="G6" s="1"/>
      <c r="H6" s="210"/>
      <c r="I6" s="1"/>
    </row>
    <row r="7" spans="2:9" ht="14.25" x14ac:dyDescent="0.45">
      <c r="B7" s="208"/>
      <c r="C7" s="1" t="s">
        <v>110</v>
      </c>
      <c r="D7" s="12"/>
      <c r="E7" s="47">
        <v>426768</v>
      </c>
      <c r="F7" s="1"/>
      <c r="G7" s="1"/>
      <c r="H7" s="210"/>
      <c r="I7" s="1"/>
    </row>
    <row r="8" spans="2:9" ht="14.25" x14ac:dyDescent="0.45">
      <c r="B8" s="208"/>
      <c r="C8" s="1" t="s">
        <v>111</v>
      </c>
      <c r="D8" s="12"/>
      <c r="E8" s="12">
        <f>E6+E7</f>
        <v>426768</v>
      </c>
      <c r="F8" s="1"/>
      <c r="G8" s="1"/>
      <c r="H8" s="210"/>
      <c r="I8" s="1"/>
    </row>
    <row r="9" spans="2:9" ht="14.25" x14ac:dyDescent="0.45">
      <c r="B9" s="208"/>
      <c r="C9" s="1"/>
      <c r="D9" s="12"/>
      <c r="E9" s="12"/>
      <c r="F9" s="1"/>
      <c r="G9" s="1"/>
      <c r="H9" s="210"/>
      <c r="I9" s="1"/>
    </row>
    <row r="10" spans="2:9" ht="14.25" x14ac:dyDescent="0.45">
      <c r="B10" s="208"/>
      <c r="C10" s="1" t="s">
        <v>112</v>
      </c>
      <c r="D10" s="12"/>
      <c r="E10" s="12">
        <v>323262</v>
      </c>
      <c r="F10" s="1"/>
      <c r="G10" s="1"/>
      <c r="H10" s="210"/>
      <c r="I10" s="1"/>
    </row>
    <row r="11" spans="2:9" ht="14.25" x14ac:dyDescent="0.45">
      <c r="B11" s="208"/>
      <c r="C11" s="1"/>
      <c r="D11" s="12"/>
      <c r="E11" s="12"/>
      <c r="F11" s="1"/>
      <c r="G11" s="1"/>
      <c r="H11" s="210"/>
      <c r="I11" s="1"/>
    </row>
    <row r="12" spans="2:9" ht="14.25" x14ac:dyDescent="0.45">
      <c r="B12" s="208"/>
      <c r="C12" s="1" t="s">
        <v>113</v>
      </c>
      <c r="D12" s="12"/>
      <c r="E12" s="12"/>
      <c r="F12" s="1"/>
      <c r="G12" s="1"/>
      <c r="H12" s="210"/>
      <c r="I12" s="1"/>
    </row>
    <row r="13" spans="2:9" ht="14.25" x14ac:dyDescent="0.45">
      <c r="B13" s="208"/>
      <c r="C13" s="1" t="s">
        <v>114</v>
      </c>
      <c r="D13" s="12">
        <v>0</v>
      </c>
      <c r="E13" s="12"/>
      <c r="F13" s="1"/>
      <c r="G13" s="1"/>
      <c r="H13" s="210"/>
      <c r="I13" s="1"/>
    </row>
    <row r="14" spans="2:9" ht="14.25" x14ac:dyDescent="0.45">
      <c r="B14" s="208"/>
      <c r="C14" s="1" t="s">
        <v>115</v>
      </c>
      <c r="D14" s="12">
        <v>40938</v>
      </c>
      <c r="E14" s="12"/>
      <c r="F14" s="1"/>
      <c r="G14" s="1"/>
      <c r="H14" s="210"/>
      <c r="I14" s="1"/>
    </row>
    <row r="15" spans="2:9" ht="14.25" x14ac:dyDescent="0.45">
      <c r="B15" s="208"/>
      <c r="C15" s="1" t="s">
        <v>116</v>
      </c>
      <c r="D15" s="12">
        <v>36</v>
      </c>
      <c r="E15" s="12"/>
      <c r="F15" s="1"/>
      <c r="G15" s="1"/>
      <c r="H15" s="210"/>
      <c r="I15" s="1"/>
    </row>
    <row r="16" spans="2:9" ht="14.25" x14ac:dyDescent="0.45">
      <c r="B16" s="208"/>
      <c r="C16" s="1" t="s">
        <v>117</v>
      </c>
      <c r="D16" s="47">
        <v>0</v>
      </c>
      <c r="E16" s="12"/>
      <c r="F16" s="1"/>
      <c r="G16" s="1"/>
      <c r="H16" s="210"/>
      <c r="I16" s="1"/>
    </row>
    <row r="17" spans="2:9" ht="14.25" x14ac:dyDescent="0.45">
      <c r="B17" s="208"/>
      <c r="C17" s="1" t="s">
        <v>118</v>
      </c>
      <c r="D17" s="12"/>
      <c r="E17" s="12">
        <f>SUM(D13:D16)</f>
        <v>40974</v>
      </c>
      <c r="F17" s="1"/>
      <c r="G17" s="1"/>
      <c r="H17" s="210"/>
      <c r="I17" s="1"/>
    </row>
    <row r="18" spans="2:9" ht="14.25" x14ac:dyDescent="0.45">
      <c r="B18" s="208"/>
      <c r="C18" s="1"/>
      <c r="D18" s="12"/>
      <c r="E18" s="12"/>
      <c r="F18" s="1"/>
      <c r="G18" s="1"/>
      <c r="H18" s="210"/>
      <c r="I18" s="1"/>
    </row>
    <row r="19" spans="2:9" ht="14.25" x14ac:dyDescent="0.45">
      <c r="B19" s="208"/>
      <c r="C19" s="1" t="s">
        <v>119</v>
      </c>
      <c r="D19" s="12"/>
      <c r="E19" s="12"/>
      <c r="F19" s="1"/>
      <c r="G19" s="1"/>
      <c r="H19" s="210"/>
      <c r="I19" s="1"/>
    </row>
    <row r="20" spans="2:9" ht="14.25" x14ac:dyDescent="0.45">
      <c r="B20" s="208"/>
      <c r="C20" s="1" t="s">
        <v>120</v>
      </c>
      <c r="D20" s="12">
        <v>0</v>
      </c>
      <c r="E20" s="12"/>
      <c r="F20" s="1"/>
      <c r="G20" s="1"/>
      <c r="H20" s="210"/>
      <c r="I20" s="1"/>
    </row>
    <row r="21" spans="2:9" ht="14.25" x14ac:dyDescent="0.45">
      <c r="B21" s="208"/>
      <c r="C21" s="1" t="s">
        <v>121</v>
      </c>
      <c r="D21" s="12">
        <v>0</v>
      </c>
      <c r="E21" s="12"/>
      <c r="F21" s="1"/>
      <c r="G21" s="1"/>
      <c r="H21" s="210"/>
      <c r="I21" s="1"/>
    </row>
    <row r="22" spans="2:9" ht="14.25" x14ac:dyDescent="0.45">
      <c r="B22" s="208"/>
      <c r="C22" s="1" t="s">
        <v>122</v>
      </c>
      <c r="D22" s="12">
        <v>0</v>
      </c>
      <c r="E22" s="12"/>
      <c r="F22" s="1"/>
      <c r="G22" s="1"/>
      <c r="H22" s="210"/>
      <c r="I22" s="1"/>
    </row>
    <row r="23" spans="2:9" ht="14.25" x14ac:dyDescent="0.45">
      <c r="B23" s="208"/>
      <c r="C23" s="1" t="s">
        <v>123</v>
      </c>
      <c r="D23" s="12">
        <v>62532</v>
      </c>
      <c r="E23" s="12"/>
      <c r="H23" s="209"/>
    </row>
    <row r="24" spans="2:9" ht="14.25" x14ac:dyDescent="0.45">
      <c r="B24" s="208"/>
      <c r="C24" s="1" t="s">
        <v>124</v>
      </c>
      <c r="D24" s="12"/>
      <c r="E24" s="47">
        <f>SUM(D20:D23)</f>
        <v>62532</v>
      </c>
      <c r="H24" s="209"/>
    </row>
    <row r="25" spans="2:9" ht="14.55" customHeight="1" x14ac:dyDescent="0.45">
      <c r="B25" s="208"/>
      <c r="C25" s="1" t="s">
        <v>125</v>
      </c>
      <c r="D25" s="12"/>
      <c r="E25" s="12">
        <f>E10+E17+E24</f>
        <v>426768</v>
      </c>
      <c r="H25" s="209"/>
    </row>
    <row r="26" spans="2:9" ht="14.25" x14ac:dyDescent="0.45">
      <c r="B26" s="208"/>
      <c r="C26" s="1"/>
      <c r="D26" s="159"/>
      <c r="E26" s="159"/>
      <c r="H26" s="209"/>
    </row>
    <row r="27" spans="2:9" x14ac:dyDescent="0.35">
      <c r="B27" s="208"/>
      <c r="D27" s="159"/>
      <c r="E27" s="159"/>
      <c r="H27" s="209"/>
    </row>
    <row r="28" spans="2:9" ht="14.25" x14ac:dyDescent="0.45">
      <c r="B28" s="208"/>
      <c r="D28" s="159"/>
      <c r="E28" s="159"/>
      <c r="F28" s="211">
        <f>E24/E8</f>
        <v>0.14652457541333933</v>
      </c>
      <c r="G28" s="1" t="s">
        <v>126</v>
      </c>
      <c r="H28" s="210"/>
      <c r="I28" s="1"/>
    </row>
    <row r="29" spans="2:9" ht="14.25" x14ac:dyDescent="0.45">
      <c r="B29" s="208"/>
      <c r="D29" s="159"/>
      <c r="E29" s="159"/>
      <c r="F29" s="160">
        <v>0.15</v>
      </c>
      <c r="G29" s="1" t="s">
        <v>127</v>
      </c>
      <c r="H29" s="210"/>
      <c r="I29" s="1"/>
    </row>
    <row r="30" spans="2:9" ht="14.25" x14ac:dyDescent="0.45">
      <c r="B30" s="208"/>
      <c r="D30" s="159"/>
      <c r="E30" s="159"/>
      <c r="F30" s="211">
        <f>IF(F28&gt;F29,F28-F29,0)</f>
        <v>0</v>
      </c>
      <c r="G30" s="1" t="s">
        <v>128</v>
      </c>
      <c r="H30" s="210"/>
      <c r="I30" s="10"/>
    </row>
    <row r="31" spans="2:9" x14ac:dyDescent="0.35">
      <c r="B31" s="208"/>
      <c r="D31" s="159"/>
      <c r="E31" s="159"/>
      <c r="H31" s="209"/>
    </row>
    <row r="32" spans="2:9" ht="14.25" x14ac:dyDescent="0.45">
      <c r="B32" s="208"/>
      <c r="C32" s="1" t="s">
        <v>129</v>
      </c>
      <c r="D32" s="12"/>
      <c r="E32" s="12"/>
      <c r="F32" s="11" t="s">
        <v>130</v>
      </c>
      <c r="H32" s="209"/>
    </row>
    <row r="33" spans="2:8" ht="14.25" x14ac:dyDescent="0.45">
      <c r="B33" s="208"/>
      <c r="C33" s="203" t="str">
        <f>SAO!B17</f>
        <v>Purchased Water</v>
      </c>
      <c r="D33" s="46">
        <f>SAO!C17</f>
        <v>1472835</v>
      </c>
      <c r="E33" s="35"/>
      <c r="F33" s="212">
        <f>-D33*F30</f>
        <v>0</v>
      </c>
      <c r="H33" s="213"/>
    </row>
    <row r="34" spans="2:8" ht="14.25" x14ac:dyDescent="0.45">
      <c r="B34" s="208"/>
      <c r="C34" s="203" t="str">
        <f>SAO!B18</f>
        <v>Purchased Power</v>
      </c>
      <c r="D34" s="46">
        <f>SAO!C18</f>
        <v>76998</v>
      </c>
      <c r="E34" s="35"/>
      <c r="F34" s="212">
        <f>-D34*F30</f>
        <v>0</v>
      </c>
      <c r="H34" s="213"/>
    </row>
    <row r="35" spans="2:8" ht="14.25" x14ac:dyDescent="0.45">
      <c r="B35" s="208"/>
      <c r="C35" s="1" t="s">
        <v>138</v>
      </c>
      <c r="D35" s="157">
        <v>0</v>
      </c>
      <c r="E35" s="35"/>
      <c r="F35" s="158">
        <f>0</f>
        <v>0</v>
      </c>
      <c r="H35" s="209"/>
    </row>
    <row r="36" spans="2:8" ht="14.25" x14ac:dyDescent="0.45">
      <c r="B36" s="208"/>
      <c r="C36" s="1" t="s">
        <v>1</v>
      </c>
      <c r="D36" s="46">
        <f>SUM(D33:D35)</f>
        <v>1549833</v>
      </c>
      <c r="E36" s="35"/>
      <c r="F36" s="35">
        <f>SUM(F33:F35)</f>
        <v>0</v>
      </c>
      <c r="H36" s="209"/>
    </row>
    <row r="37" spans="2:8" ht="14.25" x14ac:dyDescent="0.45">
      <c r="B37" s="208"/>
      <c r="C37" s="1"/>
      <c r="D37" s="46"/>
      <c r="E37" s="35"/>
      <c r="F37" s="46"/>
      <c r="H37" s="209"/>
    </row>
    <row r="38" spans="2:8" ht="14.25" x14ac:dyDescent="0.45">
      <c r="B38" s="208"/>
      <c r="C38" s="1" t="s">
        <v>131</v>
      </c>
      <c r="D38" s="12"/>
      <c r="E38" s="35"/>
      <c r="F38" s="212"/>
      <c r="H38" s="209"/>
    </row>
    <row r="39" spans="2:8" ht="14.25" x14ac:dyDescent="0.45">
      <c r="B39" s="208"/>
      <c r="C39" s="1" t="s">
        <v>132</v>
      </c>
      <c r="D39" s="12"/>
      <c r="E39" s="35"/>
      <c r="F39" s="212">
        <f>-F36</f>
        <v>0</v>
      </c>
      <c r="H39" s="209"/>
    </row>
    <row r="40" spans="2:8" ht="14.25" x14ac:dyDescent="0.45">
      <c r="B40" s="208"/>
      <c r="C40" s="1" t="s">
        <v>133</v>
      </c>
      <c r="D40" s="12"/>
      <c r="E40" s="12"/>
      <c r="F40" s="16">
        <f>'Existing Billing Analysis'!E8</f>
        <v>64463</v>
      </c>
      <c r="H40" s="209"/>
    </row>
    <row r="41" spans="2:8" ht="14.25" x14ac:dyDescent="0.45">
      <c r="B41" s="208"/>
      <c r="C41" s="1" t="s">
        <v>275</v>
      </c>
      <c r="D41" s="12"/>
      <c r="E41" s="35"/>
      <c r="F41" s="212">
        <f>ROUND(F39/F40,2)</f>
        <v>0</v>
      </c>
      <c r="H41" s="209"/>
    </row>
    <row r="42" spans="2:8" ht="13.9" thickBot="1" x14ac:dyDescent="0.4">
      <c r="B42" s="214"/>
      <c r="C42" s="215"/>
      <c r="D42" s="216"/>
      <c r="E42" s="216"/>
      <c r="F42" s="215"/>
      <c r="G42" s="215"/>
      <c r="H42" s="217"/>
    </row>
  </sheetData>
  <mergeCells count="2">
    <mergeCell ref="C3:H3"/>
    <mergeCell ref="C4:H4"/>
  </mergeCells>
  <printOptions horizontalCentered="1" verticalCentered="1"/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4D66-267B-47C6-8691-0B7760DD7D72}">
  <sheetPr>
    <pageSetUpPr fitToPage="1"/>
  </sheetPr>
  <dimension ref="A1:R51"/>
  <sheetViews>
    <sheetView zoomScaleNormal="100" workbookViewId="0">
      <selection sqref="A1:M44"/>
    </sheetView>
  </sheetViews>
  <sheetFormatPr defaultRowHeight="15.4" x14ac:dyDescent="0.45"/>
  <cols>
    <col min="1" max="1" width="2" style="238" customWidth="1"/>
    <col min="2" max="3" width="1.88671875" style="238" customWidth="1"/>
    <col min="4" max="4" width="27.44140625" style="41" customWidth="1"/>
    <col min="5" max="5" width="8.33203125" style="41" customWidth="1"/>
    <col min="6" max="6" width="10.6640625" style="236" customWidth="1"/>
    <col min="7" max="7" width="6.109375" style="41" customWidth="1"/>
    <col min="8" max="8" width="9.33203125" style="276" customWidth="1"/>
    <col min="9" max="9" width="6.109375" style="238" customWidth="1"/>
    <col min="10" max="10" width="9.33203125" style="276" customWidth="1"/>
    <col min="11" max="11" width="10.6640625" style="238" customWidth="1"/>
    <col min="12" max="12" width="1.88671875" style="238" customWidth="1"/>
    <col min="13" max="13" width="2.44140625" style="238" customWidth="1"/>
    <col min="14" max="14" width="8.88671875" style="238"/>
    <col min="15" max="18" width="8.88671875" style="41"/>
    <col min="19" max="16384" width="8.88671875" style="238"/>
  </cols>
  <sheetData>
    <row r="1" spans="1:13" x14ac:dyDescent="0.45">
      <c r="A1" s="41"/>
      <c r="B1" s="41"/>
      <c r="C1" s="235"/>
      <c r="D1" s="235"/>
      <c r="E1" s="235"/>
      <c r="G1" s="237"/>
      <c r="H1" s="169"/>
      <c r="I1" s="237"/>
      <c r="J1" s="169"/>
      <c r="K1" s="235"/>
      <c r="L1" s="235"/>
      <c r="M1" s="235"/>
    </row>
    <row r="2" spans="1:13" x14ac:dyDescent="0.45">
      <c r="A2" s="41"/>
      <c r="B2" s="239"/>
      <c r="C2" s="240"/>
      <c r="D2" s="240"/>
      <c r="E2" s="240"/>
      <c r="F2" s="241"/>
      <c r="G2" s="242"/>
      <c r="H2" s="243"/>
      <c r="I2" s="242"/>
      <c r="J2" s="243"/>
      <c r="K2" s="240"/>
      <c r="L2" s="244"/>
      <c r="M2" s="245"/>
    </row>
    <row r="3" spans="1:13" ht="18" hidden="1" x14ac:dyDescent="0.55000000000000004">
      <c r="A3" s="41"/>
      <c r="B3" s="246"/>
      <c r="C3" s="406" t="s">
        <v>6</v>
      </c>
      <c r="D3" s="406"/>
      <c r="E3" s="406"/>
      <c r="F3" s="406"/>
      <c r="G3" s="406"/>
      <c r="H3" s="406"/>
      <c r="I3" s="406"/>
      <c r="J3" s="406"/>
      <c r="K3" s="406"/>
      <c r="L3" s="247"/>
      <c r="M3" s="245"/>
    </row>
    <row r="4" spans="1:13" ht="18" x14ac:dyDescent="0.55000000000000004">
      <c r="A4" s="41"/>
      <c r="B4" s="246"/>
      <c r="C4" s="407" t="s">
        <v>149</v>
      </c>
      <c r="D4" s="407"/>
      <c r="E4" s="407"/>
      <c r="F4" s="407"/>
      <c r="G4" s="407"/>
      <c r="H4" s="407"/>
      <c r="I4" s="407"/>
      <c r="J4" s="407"/>
      <c r="K4" s="407"/>
      <c r="L4" s="247"/>
      <c r="M4" s="245"/>
    </row>
    <row r="5" spans="1:13" ht="15.75" x14ac:dyDescent="0.45">
      <c r="A5" s="41"/>
      <c r="B5" s="246"/>
      <c r="C5" s="404" t="s">
        <v>222</v>
      </c>
      <c r="D5" s="404"/>
      <c r="E5" s="404"/>
      <c r="F5" s="404"/>
      <c r="G5" s="404"/>
      <c r="H5" s="404"/>
      <c r="I5" s="404"/>
      <c r="J5" s="404"/>
      <c r="K5" s="404"/>
      <c r="L5" s="247"/>
      <c r="M5" s="245"/>
    </row>
    <row r="6" spans="1:13" ht="15.75" x14ac:dyDescent="0.45">
      <c r="A6" s="41"/>
      <c r="B6" s="249"/>
      <c r="C6" s="250"/>
      <c r="D6" s="250"/>
      <c r="E6" s="250"/>
      <c r="F6" s="250"/>
      <c r="G6" s="250"/>
      <c r="H6" s="250"/>
      <c r="I6" s="250"/>
      <c r="J6" s="250"/>
      <c r="K6" s="250"/>
      <c r="L6" s="251"/>
      <c r="M6" s="245"/>
    </row>
    <row r="7" spans="1:13" ht="15.75" x14ac:dyDescent="0.45">
      <c r="A7" s="41"/>
      <c r="B7" s="246"/>
      <c r="C7" s="248"/>
      <c r="D7" s="248"/>
      <c r="E7" s="248"/>
      <c r="F7" s="248"/>
      <c r="G7" s="248"/>
      <c r="H7" s="248"/>
      <c r="I7" s="248"/>
      <c r="J7" s="248"/>
      <c r="K7" s="248"/>
      <c r="L7" s="247"/>
      <c r="M7" s="245"/>
    </row>
    <row r="8" spans="1:13" x14ac:dyDescent="0.45">
      <c r="A8" s="41"/>
      <c r="B8" s="246"/>
      <c r="C8" s="235"/>
      <c r="D8" s="235"/>
      <c r="E8" s="235"/>
      <c r="G8" s="237"/>
      <c r="H8" s="169"/>
      <c r="I8" s="237"/>
      <c r="J8" s="169"/>
      <c r="K8" s="252" t="s">
        <v>89</v>
      </c>
      <c r="L8" s="247"/>
      <c r="M8" s="245"/>
    </row>
    <row r="9" spans="1:13" x14ac:dyDescent="0.45">
      <c r="A9" s="41"/>
      <c r="B9" s="246"/>
      <c r="C9" s="253"/>
      <c r="D9" s="253"/>
      <c r="E9" s="253" t="s">
        <v>150</v>
      </c>
      <c r="F9" s="254" t="s">
        <v>180</v>
      </c>
      <c r="G9" s="405" t="s">
        <v>181</v>
      </c>
      <c r="H9" s="405"/>
      <c r="I9" s="405" t="s">
        <v>9</v>
      </c>
      <c r="J9" s="405"/>
      <c r="K9" s="252" t="s">
        <v>151</v>
      </c>
      <c r="L9" s="247"/>
      <c r="M9" s="245"/>
    </row>
    <row r="10" spans="1:13" ht="17.649999999999999" x14ac:dyDescent="0.75">
      <c r="A10" s="41"/>
      <c r="B10" s="246"/>
      <c r="C10" s="252"/>
      <c r="D10" s="256" t="s">
        <v>182</v>
      </c>
      <c r="E10" s="252" t="s">
        <v>152</v>
      </c>
      <c r="F10" s="257" t="s">
        <v>184</v>
      </c>
      <c r="G10" s="255" t="s">
        <v>183</v>
      </c>
      <c r="H10" s="252" t="s">
        <v>153</v>
      </c>
      <c r="I10" s="255" t="s">
        <v>183</v>
      </c>
      <c r="J10" s="252" t="s">
        <v>153</v>
      </c>
      <c r="K10" s="252" t="s">
        <v>130</v>
      </c>
      <c r="L10" s="247"/>
      <c r="M10" s="245"/>
    </row>
    <row r="11" spans="1:13" x14ac:dyDescent="0.45">
      <c r="A11" s="41"/>
      <c r="B11" s="246"/>
      <c r="C11" s="258" t="s">
        <v>154</v>
      </c>
      <c r="D11" s="235"/>
      <c r="E11" s="259"/>
      <c r="G11" s="237"/>
      <c r="H11" s="260"/>
      <c r="I11" s="237"/>
      <c r="J11" s="260"/>
      <c r="K11" s="192"/>
      <c r="L11" s="247"/>
      <c r="M11" s="245"/>
    </row>
    <row r="12" spans="1:13" x14ac:dyDescent="0.45">
      <c r="A12" s="41"/>
      <c r="B12" s="246"/>
      <c r="C12" s="258"/>
      <c r="D12" s="235" t="s">
        <v>155</v>
      </c>
      <c r="E12" s="259"/>
      <c r="F12" s="261">
        <v>2761623.99</v>
      </c>
      <c r="G12" s="262"/>
      <c r="H12" s="180">
        <v>69583.77</v>
      </c>
      <c r="I12" s="237">
        <v>37.5</v>
      </c>
      <c r="J12" s="54">
        <f>F12/I12</f>
        <v>73643.306400000001</v>
      </c>
      <c r="K12" s="53">
        <f>J12-H12</f>
        <v>4059.5363999999972</v>
      </c>
      <c r="L12" s="247"/>
      <c r="M12" s="245"/>
    </row>
    <row r="13" spans="1:13" x14ac:dyDescent="0.45">
      <c r="A13" s="41"/>
      <c r="B13" s="246"/>
      <c r="C13" s="258"/>
      <c r="D13" s="235" t="s">
        <v>156</v>
      </c>
      <c r="E13" s="259"/>
      <c r="F13" s="261">
        <v>33074</v>
      </c>
      <c r="G13" s="262"/>
      <c r="H13" s="54">
        <v>6295.13</v>
      </c>
      <c r="I13" s="237">
        <v>10</v>
      </c>
      <c r="J13" s="54">
        <f t="shared" ref="J13:J16" si="0">F13/I13</f>
        <v>3307.4</v>
      </c>
      <c r="K13" s="53">
        <f t="shared" ref="K13:K16" si="1">J13-H13</f>
        <v>-2987.73</v>
      </c>
      <c r="L13" s="247"/>
      <c r="M13" s="245"/>
    </row>
    <row r="14" spans="1:13" x14ac:dyDescent="0.45">
      <c r="A14" s="41"/>
      <c r="B14" s="246"/>
      <c r="C14" s="235"/>
      <c r="D14" s="235" t="s">
        <v>157</v>
      </c>
      <c r="E14" s="259"/>
      <c r="F14" s="261"/>
      <c r="G14" s="262"/>
      <c r="H14" s="180"/>
      <c r="I14" s="237">
        <v>22.5</v>
      </c>
      <c r="J14" s="54">
        <f t="shared" si="0"/>
        <v>0</v>
      </c>
      <c r="K14" s="53">
        <f t="shared" si="1"/>
        <v>0</v>
      </c>
      <c r="L14" s="247"/>
      <c r="M14" s="245"/>
    </row>
    <row r="15" spans="1:13" x14ac:dyDescent="0.45">
      <c r="A15" s="41"/>
      <c r="B15" s="246"/>
      <c r="C15" s="235"/>
      <c r="D15" s="235" t="s">
        <v>158</v>
      </c>
      <c r="E15" s="259"/>
      <c r="F15" s="261">
        <v>65840</v>
      </c>
      <c r="G15" s="262"/>
      <c r="H15" s="180">
        <v>12020.5</v>
      </c>
      <c r="I15" s="237">
        <v>12.5</v>
      </c>
      <c r="J15" s="54">
        <f t="shared" si="0"/>
        <v>5267.2</v>
      </c>
      <c r="K15" s="53">
        <f t="shared" si="1"/>
        <v>-6753.3</v>
      </c>
      <c r="L15" s="247"/>
      <c r="M15" s="245"/>
    </row>
    <row r="16" spans="1:13" x14ac:dyDescent="0.45">
      <c r="A16" s="41"/>
      <c r="B16" s="246"/>
      <c r="C16" s="235"/>
      <c r="D16" s="235" t="s">
        <v>159</v>
      </c>
      <c r="E16" s="259"/>
      <c r="F16" s="261">
        <v>17441</v>
      </c>
      <c r="G16" s="262"/>
      <c r="H16" s="54">
        <v>2491.58</v>
      </c>
      <c r="I16" s="237">
        <v>17.5</v>
      </c>
      <c r="J16" s="54">
        <f t="shared" si="0"/>
        <v>996.62857142857138</v>
      </c>
      <c r="K16" s="53">
        <f t="shared" si="1"/>
        <v>-1494.9514285714286</v>
      </c>
      <c r="L16" s="247"/>
      <c r="M16" s="245"/>
    </row>
    <row r="17" spans="1:13" x14ac:dyDescent="0.45">
      <c r="A17" s="41"/>
      <c r="B17" s="246"/>
      <c r="C17" s="235"/>
      <c r="D17" s="235"/>
      <c r="E17" s="259"/>
      <c r="F17" s="261"/>
      <c r="G17" s="262"/>
      <c r="H17" s="54"/>
      <c r="I17" s="237"/>
      <c r="J17" s="54"/>
      <c r="K17" s="53"/>
      <c r="L17" s="247"/>
      <c r="M17" s="245"/>
    </row>
    <row r="18" spans="1:13" x14ac:dyDescent="0.45">
      <c r="A18" s="41"/>
      <c r="B18" s="246"/>
      <c r="C18" s="258" t="s">
        <v>160</v>
      </c>
      <c r="D18" s="235"/>
      <c r="E18" s="259"/>
      <c r="F18" s="261"/>
      <c r="G18" s="262"/>
      <c r="H18" s="54"/>
      <c r="I18" s="237"/>
      <c r="J18" s="54"/>
      <c r="K18" s="53"/>
      <c r="L18" s="247"/>
      <c r="M18" s="245"/>
    </row>
    <row r="19" spans="1:13" x14ac:dyDescent="0.45">
      <c r="A19" s="41"/>
      <c r="B19" s="246"/>
      <c r="C19" s="235"/>
      <c r="D19" s="235" t="s">
        <v>161</v>
      </c>
      <c r="E19" s="259"/>
      <c r="F19" s="261"/>
      <c r="G19" s="262"/>
      <c r="H19" s="54"/>
      <c r="I19" s="237">
        <v>62.5</v>
      </c>
      <c r="J19" s="54">
        <f t="shared" ref="J19:J20" si="2">F19/I19</f>
        <v>0</v>
      </c>
      <c r="K19" s="53">
        <f t="shared" ref="K19:K20" si="3">J19-H19</f>
        <v>0</v>
      </c>
      <c r="L19" s="247"/>
      <c r="M19" s="245"/>
    </row>
    <row r="20" spans="1:13" x14ac:dyDescent="0.45">
      <c r="A20" s="41"/>
      <c r="B20" s="246"/>
      <c r="C20" s="235"/>
      <c r="D20" s="235" t="s">
        <v>162</v>
      </c>
      <c r="E20" s="259"/>
      <c r="F20" s="261">
        <v>16149121.85</v>
      </c>
      <c r="G20" s="262"/>
      <c r="H20" s="180">
        <v>328379.65999999997</v>
      </c>
      <c r="I20" s="237">
        <v>62.5</v>
      </c>
      <c r="J20" s="54">
        <f t="shared" si="2"/>
        <v>258385.94959999999</v>
      </c>
      <c r="K20" s="53">
        <f t="shared" si="3"/>
        <v>-69993.710399999982</v>
      </c>
      <c r="L20" s="247"/>
      <c r="M20" s="245"/>
    </row>
    <row r="21" spans="1:13" x14ac:dyDescent="0.45">
      <c r="A21" s="41"/>
      <c r="B21" s="246"/>
      <c r="C21" s="252"/>
      <c r="D21" s="252"/>
      <c r="E21" s="252"/>
      <c r="F21" s="263"/>
      <c r="G21" s="255"/>
      <c r="H21" s="264"/>
      <c r="I21" s="255"/>
      <c r="J21" s="264"/>
      <c r="K21" s="252"/>
      <c r="L21" s="247"/>
      <c r="M21" s="245"/>
    </row>
    <row r="22" spans="1:13" x14ac:dyDescent="0.45">
      <c r="A22" s="41"/>
      <c r="B22" s="246"/>
      <c r="C22" s="258" t="s">
        <v>163</v>
      </c>
      <c r="D22" s="235"/>
      <c r="E22" s="259"/>
      <c r="G22" s="265"/>
      <c r="H22" s="260"/>
      <c r="I22" s="265"/>
      <c r="J22" s="260"/>
      <c r="K22" s="192"/>
      <c r="L22" s="247"/>
      <c r="M22" s="245"/>
    </row>
    <row r="23" spans="1:13" x14ac:dyDescent="0.45">
      <c r="A23" s="41"/>
      <c r="B23" s="246"/>
      <c r="C23" s="258"/>
      <c r="D23" s="235" t="s">
        <v>155</v>
      </c>
      <c r="E23" s="259"/>
      <c r="F23" s="261"/>
      <c r="G23" s="262"/>
      <c r="H23" s="54"/>
      <c r="I23" s="237">
        <v>37.5</v>
      </c>
      <c r="J23" s="54">
        <f t="shared" ref="J23:J24" si="4">F23/I23</f>
        <v>0</v>
      </c>
      <c r="K23" s="53">
        <f t="shared" ref="K23:K24" si="5">J23-H23</f>
        <v>0</v>
      </c>
      <c r="L23" s="247"/>
      <c r="M23" s="245"/>
    </row>
    <row r="24" spans="1:13" x14ac:dyDescent="0.45">
      <c r="A24" s="41"/>
      <c r="B24" s="246"/>
      <c r="C24" s="235"/>
      <c r="D24" s="235" t="s">
        <v>164</v>
      </c>
      <c r="E24" s="259"/>
      <c r="G24" s="262"/>
      <c r="H24" s="54"/>
      <c r="I24" s="237">
        <v>10</v>
      </c>
      <c r="J24" s="54">
        <f t="shared" si="4"/>
        <v>0</v>
      </c>
      <c r="K24" s="53">
        <f t="shared" si="5"/>
        <v>0</v>
      </c>
      <c r="L24" s="247"/>
      <c r="M24" s="245"/>
    </row>
    <row r="25" spans="1:13" x14ac:dyDescent="0.45">
      <c r="A25" s="41"/>
      <c r="B25" s="246"/>
      <c r="C25" s="235"/>
      <c r="D25" s="235" t="s">
        <v>165</v>
      </c>
      <c r="E25" s="259"/>
      <c r="F25" s="236">
        <v>206339.22</v>
      </c>
      <c r="G25" s="262"/>
      <c r="H25" s="180">
        <v>10734.81</v>
      </c>
      <c r="I25" s="237">
        <v>20</v>
      </c>
      <c r="J25" s="260">
        <f>F25/I25</f>
        <v>10316.960999999999</v>
      </c>
      <c r="K25" s="53">
        <f>J25-H25</f>
        <v>-417.84900000000016</v>
      </c>
      <c r="L25" s="247"/>
      <c r="M25" s="245"/>
    </row>
    <row r="26" spans="1:13" x14ac:dyDescent="0.45">
      <c r="A26" s="41"/>
      <c r="B26" s="246"/>
      <c r="C26" s="252"/>
      <c r="D26" s="252"/>
      <c r="E26" s="252"/>
      <c r="G26" s="262"/>
      <c r="H26" s="260"/>
      <c r="I26" s="265"/>
      <c r="J26" s="260"/>
      <c r="K26" s="192"/>
      <c r="L26" s="247"/>
      <c r="M26" s="245"/>
    </row>
    <row r="27" spans="1:13" x14ac:dyDescent="0.45">
      <c r="A27" s="41"/>
      <c r="B27" s="246"/>
      <c r="C27" s="258" t="s">
        <v>166</v>
      </c>
      <c r="D27" s="235"/>
      <c r="E27" s="259"/>
      <c r="G27" s="262"/>
      <c r="H27" s="260"/>
      <c r="I27" s="237"/>
      <c r="J27" s="260"/>
      <c r="K27" s="192"/>
      <c r="L27" s="247"/>
      <c r="M27" s="245"/>
    </row>
    <row r="28" spans="1:13" x14ac:dyDescent="0.45">
      <c r="A28" s="41"/>
      <c r="B28" s="246"/>
      <c r="C28" s="258"/>
      <c r="D28" s="235" t="s">
        <v>167</v>
      </c>
      <c r="E28" s="259"/>
      <c r="F28" s="261">
        <v>62588.55</v>
      </c>
      <c r="G28" s="262"/>
      <c r="H28" s="180">
        <v>1392.75</v>
      </c>
      <c r="I28" s="237">
        <v>50</v>
      </c>
      <c r="J28" s="54">
        <f>H28</f>
        <v>1392.75</v>
      </c>
      <c r="K28" s="53">
        <f>J28-H28</f>
        <v>0</v>
      </c>
      <c r="L28" s="247"/>
      <c r="M28" s="245"/>
    </row>
    <row r="29" spans="1:13" x14ac:dyDescent="0.45">
      <c r="A29" s="41"/>
      <c r="B29" s="246"/>
      <c r="C29" s="258"/>
      <c r="D29" s="235" t="s">
        <v>168</v>
      </c>
      <c r="E29" s="259"/>
      <c r="F29" s="261">
        <v>3410694.01</v>
      </c>
      <c r="G29" s="262"/>
      <c r="H29" s="180">
        <v>84969.77</v>
      </c>
      <c r="I29" s="237">
        <v>62.5</v>
      </c>
      <c r="J29" s="54">
        <f t="shared" ref="J29:J35" si="6">F29/I29</f>
        <v>54571.104159999995</v>
      </c>
      <c r="K29" s="53">
        <f t="shared" ref="K29:K35" si="7">J29-H29</f>
        <v>-30398.665840000009</v>
      </c>
      <c r="L29" s="247"/>
      <c r="M29" s="245"/>
    </row>
    <row r="30" spans="1:13" x14ac:dyDescent="0.45">
      <c r="A30" s="41"/>
      <c r="B30" s="246"/>
      <c r="C30" s="258"/>
      <c r="D30" s="235" t="s">
        <v>169</v>
      </c>
      <c r="E30" s="259"/>
      <c r="F30" s="261">
        <v>4025601.03</v>
      </c>
      <c r="G30" s="262"/>
      <c r="H30" s="180">
        <v>195872.15</v>
      </c>
      <c r="I30" s="237">
        <v>20</v>
      </c>
      <c r="J30" s="54">
        <f t="shared" si="6"/>
        <v>201280.0515</v>
      </c>
      <c r="K30" s="53">
        <f t="shared" si="7"/>
        <v>5407.9015000000072</v>
      </c>
      <c r="L30" s="247"/>
      <c r="M30" s="245"/>
    </row>
    <row r="31" spans="1:13" x14ac:dyDescent="0.45">
      <c r="A31" s="41"/>
      <c r="B31" s="246"/>
      <c r="C31" s="258"/>
      <c r="D31" s="235" t="s">
        <v>194</v>
      </c>
      <c r="E31" s="259"/>
      <c r="F31" s="261"/>
      <c r="G31" s="262"/>
      <c r="H31" s="180"/>
      <c r="I31" s="237">
        <v>45</v>
      </c>
      <c r="J31" s="54">
        <f t="shared" ref="J31:J34" si="8">F31/I31</f>
        <v>0</v>
      </c>
      <c r="K31" s="53">
        <f t="shared" ref="K31:K34" si="9">J31-H31</f>
        <v>0</v>
      </c>
      <c r="L31" s="247"/>
      <c r="M31" s="245"/>
    </row>
    <row r="32" spans="1:13" x14ac:dyDescent="0.45">
      <c r="A32" s="41"/>
      <c r="B32" s="246"/>
      <c r="C32" s="258"/>
      <c r="D32" s="235" t="s">
        <v>170</v>
      </c>
      <c r="E32" s="259"/>
      <c r="F32" s="261"/>
      <c r="G32" s="262"/>
      <c r="H32" s="54"/>
      <c r="I32" s="237">
        <v>20</v>
      </c>
      <c r="J32" s="54">
        <f t="shared" si="8"/>
        <v>0</v>
      </c>
      <c r="K32" s="53">
        <f t="shared" si="9"/>
        <v>0</v>
      </c>
      <c r="L32" s="247"/>
      <c r="M32" s="245"/>
    </row>
    <row r="33" spans="1:14" x14ac:dyDescent="0.45">
      <c r="A33" s="41"/>
      <c r="B33" s="246"/>
      <c r="C33" s="258"/>
      <c r="D33" s="235" t="s">
        <v>171</v>
      </c>
      <c r="E33" s="259"/>
      <c r="F33" s="261">
        <v>63127.35</v>
      </c>
      <c r="G33" s="262"/>
      <c r="H33" s="54">
        <v>1578.18</v>
      </c>
      <c r="I33" s="237">
        <v>37.5</v>
      </c>
      <c r="J33" s="54">
        <f t="shared" si="8"/>
        <v>1683.396</v>
      </c>
      <c r="K33" s="53">
        <f t="shared" si="9"/>
        <v>105.21599999999989</v>
      </c>
      <c r="L33" s="247"/>
      <c r="M33" s="245"/>
    </row>
    <row r="34" spans="1:14" x14ac:dyDescent="0.45">
      <c r="A34" s="41"/>
      <c r="B34" s="246"/>
      <c r="C34" s="258"/>
      <c r="D34" s="235" t="s">
        <v>172</v>
      </c>
      <c r="E34" s="259"/>
      <c r="F34" s="261"/>
      <c r="G34" s="262"/>
      <c r="H34" s="54"/>
      <c r="I34" s="237">
        <v>40</v>
      </c>
      <c r="J34" s="54">
        <f t="shared" si="8"/>
        <v>0</v>
      </c>
      <c r="K34" s="53">
        <f t="shared" si="9"/>
        <v>0</v>
      </c>
      <c r="L34" s="247"/>
      <c r="M34" s="245"/>
    </row>
    <row r="35" spans="1:14" x14ac:dyDescent="0.45">
      <c r="A35" s="41"/>
      <c r="B35" s="246"/>
      <c r="C35" s="258"/>
      <c r="D35" s="235" t="s">
        <v>173</v>
      </c>
      <c r="E35" s="259"/>
      <c r="F35" s="261"/>
      <c r="G35" s="262"/>
      <c r="H35" s="180"/>
      <c r="I35" s="237">
        <v>45</v>
      </c>
      <c r="J35" s="54">
        <f t="shared" si="6"/>
        <v>0</v>
      </c>
      <c r="K35" s="53">
        <f t="shared" si="7"/>
        <v>0</v>
      </c>
      <c r="L35" s="247"/>
      <c r="M35" s="245"/>
    </row>
    <row r="36" spans="1:14" x14ac:dyDescent="0.45">
      <c r="A36" s="41"/>
      <c r="B36" s="246"/>
      <c r="C36" s="258"/>
      <c r="D36" s="235" t="s">
        <v>307</v>
      </c>
      <c r="E36" s="259"/>
      <c r="F36" s="261">
        <v>7659000</v>
      </c>
      <c r="G36" s="262"/>
      <c r="H36" s="180">
        <v>0</v>
      </c>
      <c r="I36" s="237">
        <v>62.5</v>
      </c>
      <c r="J36" s="54">
        <f t="shared" ref="J36" si="10">F36/I36</f>
        <v>122544</v>
      </c>
      <c r="K36" s="53">
        <f t="shared" ref="K36" si="11">J36-H36</f>
        <v>122544</v>
      </c>
      <c r="L36" s="247"/>
      <c r="M36" s="245"/>
    </row>
    <row r="37" spans="1:14" x14ac:dyDescent="0.45">
      <c r="A37" s="41"/>
      <c r="B37" s="246"/>
      <c r="C37" s="258"/>
      <c r="E37" s="259"/>
      <c r="G37" s="262"/>
      <c r="H37" s="260"/>
      <c r="I37" s="265"/>
      <c r="J37" s="260"/>
      <c r="K37" s="53"/>
      <c r="L37" s="247"/>
      <c r="M37" s="245"/>
    </row>
    <row r="38" spans="1:14" x14ac:dyDescent="0.45">
      <c r="A38" s="41"/>
      <c r="B38" s="246"/>
      <c r="C38" s="258" t="s">
        <v>174</v>
      </c>
      <c r="E38" s="259"/>
      <c r="G38" s="262"/>
      <c r="H38" s="260"/>
      <c r="I38" s="266"/>
      <c r="J38" s="260"/>
      <c r="K38" s="192"/>
      <c r="L38" s="247"/>
      <c r="M38" s="245"/>
    </row>
    <row r="39" spans="1:14" x14ac:dyDescent="0.45">
      <c r="A39" s="41"/>
      <c r="B39" s="246"/>
      <c r="C39" s="235"/>
      <c r="D39" s="41" t="s">
        <v>175</v>
      </c>
      <c r="E39" s="259"/>
      <c r="F39" s="236">
        <v>247255.62</v>
      </c>
      <c r="G39" s="262"/>
      <c r="H39" s="286">
        <v>49451.12</v>
      </c>
      <c r="I39" s="266">
        <v>7</v>
      </c>
      <c r="J39" s="54">
        <f t="shared" ref="J39" si="12">F39/I39</f>
        <v>35322.231428571431</v>
      </c>
      <c r="K39" s="192">
        <f>J39-H39</f>
        <v>-14128.888571428572</v>
      </c>
      <c r="L39" s="247"/>
      <c r="M39" s="245"/>
    </row>
    <row r="40" spans="1:14" x14ac:dyDescent="0.45">
      <c r="A40" s="41"/>
      <c r="B40" s="246"/>
      <c r="C40" s="235"/>
      <c r="D40" s="235"/>
      <c r="E40" s="235"/>
      <c r="G40" s="192"/>
      <c r="H40" s="54"/>
      <c r="I40" s="192"/>
      <c r="J40" s="267"/>
      <c r="K40" s="192"/>
      <c r="L40" s="247"/>
      <c r="M40" s="245"/>
    </row>
    <row r="41" spans="1:14" x14ac:dyDescent="0.45">
      <c r="A41" s="41"/>
      <c r="B41" s="246"/>
      <c r="C41" s="268" t="s">
        <v>20</v>
      </c>
      <c r="F41" s="269">
        <f>SUM(F12:F40)</f>
        <v>34701706.619999997</v>
      </c>
      <c r="G41" s="270"/>
      <c r="H41" s="269">
        <f>SUM(H12:H40)</f>
        <v>762769.42</v>
      </c>
      <c r="I41" s="271"/>
      <c r="J41" s="269">
        <f>SUM(J12:J40)</f>
        <v>768710.97865999991</v>
      </c>
      <c r="K41" s="271">
        <f>SUM(K12:K40)</f>
        <v>5941.5586600000242</v>
      </c>
      <c r="L41" s="247"/>
      <c r="M41" s="245"/>
      <c r="N41" s="113"/>
    </row>
    <row r="42" spans="1:14" x14ac:dyDescent="0.45">
      <c r="A42" s="41"/>
      <c r="B42" s="249"/>
      <c r="C42" s="272"/>
      <c r="D42" s="272"/>
      <c r="E42" s="272"/>
      <c r="F42" s="273"/>
      <c r="G42" s="272"/>
      <c r="H42" s="274"/>
      <c r="I42" s="272"/>
      <c r="J42" s="274"/>
      <c r="K42" s="272"/>
      <c r="L42" s="251"/>
      <c r="M42" s="275"/>
    </row>
    <row r="43" spans="1:14" x14ac:dyDescent="0.45">
      <c r="A43" s="41"/>
      <c r="B43" s="41"/>
      <c r="C43" s="235"/>
      <c r="D43" s="235"/>
      <c r="E43" s="235"/>
      <c r="G43" s="235"/>
      <c r="H43" s="267"/>
      <c r="I43" s="235"/>
      <c r="J43" s="267"/>
      <c r="K43" s="235"/>
      <c r="L43" s="235"/>
      <c r="M43" s="235"/>
    </row>
    <row r="44" spans="1:14" x14ac:dyDescent="0.45">
      <c r="D44" s="235" t="s">
        <v>176</v>
      </c>
    </row>
    <row r="45" spans="1:14" x14ac:dyDescent="0.45">
      <c r="D45" s="235"/>
    </row>
    <row r="47" spans="1:14" x14ac:dyDescent="0.45">
      <c r="D47" s="41" t="s">
        <v>177</v>
      </c>
      <c r="F47" s="236">
        <f>J41</f>
        <v>768710.97865999991</v>
      </c>
    </row>
    <row r="48" spans="1:14" ht="17.649999999999999" x14ac:dyDescent="0.75">
      <c r="D48" s="41" t="s">
        <v>178</v>
      </c>
      <c r="F48" s="277">
        <f>SAO!C32</f>
        <v>762769</v>
      </c>
      <c r="J48" s="278"/>
    </row>
    <row r="49" spans="4:11" x14ac:dyDescent="0.45">
      <c r="D49" s="41" t="s">
        <v>179</v>
      </c>
      <c r="F49" s="236">
        <f>F47-F48</f>
        <v>5941.9786599999061</v>
      </c>
      <c r="G49" s="113"/>
    </row>
    <row r="51" spans="4:11" x14ac:dyDescent="0.45">
      <c r="F51" s="269"/>
      <c r="G51" s="270"/>
      <c r="H51" s="269"/>
      <c r="I51" s="271"/>
      <c r="J51" s="269"/>
      <c r="K51" s="271"/>
    </row>
  </sheetData>
  <mergeCells count="5">
    <mergeCell ref="C5:K5"/>
    <mergeCell ref="G9:H9"/>
    <mergeCell ref="I9:J9"/>
    <mergeCell ref="C3:K3"/>
    <mergeCell ref="C4:K4"/>
  </mergeCells>
  <printOptions horizontalCentered="1" verticalCentered="1"/>
  <pageMargins left="0.7" right="0.7" top="0.75" bottom="0.75" header="0.3" footer="0.3"/>
  <pageSetup scale="77" fitToHeight="2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30B1-5320-458A-B984-AF0BD6A9981A}">
  <sheetPr>
    <pageSetUpPr fitToPage="1"/>
  </sheetPr>
  <dimension ref="B1:O26"/>
  <sheetViews>
    <sheetView showGridLines="0" workbookViewId="0">
      <selection sqref="A1:O23"/>
    </sheetView>
  </sheetViews>
  <sheetFormatPr defaultColWidth="8.83203125" defaultRowHeight="14.25" x14ac:dyDescent="0.45"/>
  <cols>
    <col min="1" max="1" width="1.83203125" style="51" customWidth="1"/>
    <col min="2" max="2" width="33.0546875" style="51" bestFit="1" customWidth="1"/>
    <col min="3" max="3" width="14" style="79" customWidth="1"/>
    <col min="4" max="13" width="10.44140625" style="79" customWidth="1"/>
    <col min="14" max="14" width="0.83203125" style="51" customWidth="1"/>
    <col min="15" max="15" width="1.609375" style="51" customWidth="1"/>
    <col min="16" max="16384" width="8.83203125" style="51"/>
  </cols>
  <sheetData>
    <row r="1" spans="2:15" x14ac:dyDescent="0.45"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3"/>
    </row>
    <row r="2" spans="2:15" x14ac:dyDescent="0.45"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</row>
    <row r="3" spans="2:15" ht="18" hidden="1" x14ac:dyDescent="0.55000000000000004">
      <c r="B3" s="408" t="s">
        <v>107</v>
      </c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58"/>
      <c r="N3" s="59"/>
    </row>
    <row r="4" spans="2:15" ht="18" x14ac:dyDescent="0.55000000000000004">
      <c r="B4" s="410" t="s">
        <v>44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60"/>
      <c r="N4" s="59"/>
    </row>
    <row r="5" spans="2:15" ht="15.75" x14ac:dyDescent="0.45">
      <c r="B5" s="412" t="s">
        <v>219</v>
      </c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58"/>
      <c r="N5" s="59"/>
    </row>
    <row r="6" spans="2:15" ht="15.75" x14ac:dyDescent="0.5">
      <c r="B6" s="414" t="s">
        <v>144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54"/>
      <c r="N6" s="59"/>
    </row>
    <row r="7" spans="2:15" ht="14.65" thickBot="1" x14ac:dyDescent="0.5">
      <c r="B7" s="61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9"/>
    </row>
    <row r="8" spans="2:15" x14ac:dyDescent="0.45">
      <c r="B8" s="218"/>
      <c r="C8" s="62"/>
      <c r="D8" s="56"/>
      <c r="E8" s="62"/>
      <c r="F8" s="63"/>
      <c r="G8" s="62"/>
      <c r="H8" s="63"/>
      <c r="I8" s="62"/>
      <c r="J8" s="63"/>
      <c r="K8" s="62"/>
      <c r="L8" s="63"/>
      <c r="M8" s="56"/>
      <c r="N8" s="57"/>
    </row>
    <row r="9" spans="2:15" x14ac:dyDescent="0.45">
      <c r="B9" s="64"/>
      <c r="C9" s="416">
        <v>2026</v>
      </c>
      <c r="D9" s="417"/>
      <c r="E9" s="416">
        <v>2027</v>
      </c>
      <c r="F9" s="417"/>
      <c r="G9" s="416">
        <v>2028</v>
      </c>
      <c r="H9" s="417"/>
      <c r="I9" s="416">
        <v>2029</v>
      </c>
      <c r="J9" s="417"/>
      <c r="K9" s="416">
        <v>2030</v>
      </c>
      <c r="L9" s="417"/>
      <c r="M9" s="54"/>
      <c r="N9" s="59"/>
    </row>
    <row r="10" spans="2:15" ht="16.5" x14ac:dyDescent="0.45">
      <c r="B10" s="64"/>
      <c r="C10" s="65"/>
      <c r="D10" s="66" t="s">
        <v>45</v>
      </c>
      <c r="E10" s="67"/>
      <c r="F10" s="66" t="s">
        <v>45</v>
      </c>
      <c r="G10" s="67"/>
      <c r="H10" s="66" t="s">
        <v>45</v>
      </c>
      <c r="I10" s="67"/>
      <c r="J10" s="66" t="s">
        <v>45</v>
      </c>
      <c r="K10" s="67"/>
      <c r="L10" s="66" t="s">
        <v>45</v>
      </c>
      <c r="M10" s="54"/>
      <c r="N10" s="59"/>
    </row>
    <row r="11" spans="2:15" x14ac:dyDescent="0.45">
      <c r="B11" s="64"/>
      <c r="C11" s="220" t="s">
        <v>46</v>
      </c>
      <c r="D11" s="221" t="s">
        <v>47</v>
      </c>
      <c r="E11" s="222" t="s">
        <v>46</v>
      </c>
      <c r="F11" s="221" t="s">
        <v>47</v>
      </c>
      <c r="G11" s="222" t="s">
        <v>46</v>
      </c>
      <c r="H11" s="221" t="s">
        <v>47</v>
      </c>
      <c r="I11" s="222" t="s">
        <v>46</v>
      </c>
      <c r="J11" s="221" t="s">
        <v>47</v>
      </c>
      <c r="K11" s="222" t="s">
        <v>46</v>
      </c>
      <c r="L11" s="221" t="s">
        <v>47</v>
      </c>
      <c r="M11" s="220" t="s">
        <v>20</v>
      </c>
      <c r="N11" s="59"/>
    </row>
    <row r="12" spans="2:15" x14ac:dyDescent="0.45">
      <c r="B12" s="68" t="s">
        <v>309</v>
      </c>
      <c r="C12" s="219">
        <f>22369.08+22704.61</f>
        <v>45073.69</v>
      </c>
      <c r="D12" s="224">
        <f>2829.52+2493.99+235.79+207.83</f>
        <v>5767.13</v>
      </c>
      <c r="E12" s="219">
        <f>23045.19+23390.86</f>
        <v>46436.05</v>
      </c>
      <c r="F12" s="224">
        <f>2153.41+1807.74+179.45+150.64</f>
        <v>4291.24</v>
      </c>
      <c r="G12" s="219">
        <f>23741.73+24097.86</f>
        <v>47839.59</v>
      </c>
      <c r="H12" s="224">
        <f>1456.87+1100.75+121.41+91.73</f>
        <v>2770.7599999999998</v>
      </c>
      <c r="I12" s="219">
        <f>24459.32+24826.21</f>
        <v>49285.53</v>
      </c>
      <c r="J12" s="224">
        <f>739.28+372.36+61.61+31.03</f>
        <v>1204.2799999999997</v>
      </c>
      <c r="K12" s="219">
        <v>0</v>
      </c>
      <c r="L12" s="224">
        <v>0</v>
      </c>
      <c r="M12" s="69">
        <f t="shared" ref="M12:M16" si="0">SUM(C12:L12)</f>
        <v>202668.27000000002</v>
      </c>
      <c r="N12" s="59"/>
    </row>
    <row r="13" spans="2:15" x14ac:dyDescent="0.45">
      <c r="B13" s="68" t="s">
        <v>236</v>
      </c>
      <c r="C13" s="219">
        <v>37000</v>
      </c>
      <c r="D13" s="219">
        <v>48520</v>
      </c>
      <c r="E13" s="345">
        <v>38000</v>
      </c>
      <c r="F13" s="219">
        <v>47602</v>
      </c>
      <c r="G13" s="345">
        <v>39000</v>
      </c>
      <c r="H13" s="219">
        <v>46557</v>
      </c>
      <c r="I13" s="345">
        <v>40000</v>
      </c>
      <c r="J13" s="344">
        <v>45485</v>
      </c>
      <c r="K13" s="219">
        <v>41000</v>
      </c>
      <c r="L13" s="344">
        <v>44385</v>
      </c>
      <c r="M13" s="69">
        <f t="shared" si="0"/>
        <v>427549</v>
      </c>
      <c r="N13" s="59"/>
    </row>
    <row r="14" spans="2:15" x14ac:dyDescent="0.45">
      <c r="B14" s="68" t="s">
        <v>237</v>
      </c>
      <c r="C14" s="219">
        <v>43702.38</v>
      </c>
      <c r="D14" s="219">
        <v>45918</v>
      </c>
      <c r="E14" s="345">
        <v>46779</v>
      </c>
      <c r="F14" s="219">
        <v>42841.42</v>
      </c>
      <c r="G14" s="345">
        <v>47656</v>
      </c>
      <c r="H14" s="219">
        <v>41964.31</v>
      </c>
      <c r="I14" s="345">
        <v>48550</v>
      </c>
      <c r="J14" s="344">
        <v>41070.76</v>
      </c>
      <c r="K14" s="219">
        <v>49460</v>
      </c>
      <c r="L14" s="344">
        <v>40160.449999999997</v>
      </c>
      <c r="M14" s="69">
        <f t="shared" si="0"/>
        <v>448102.32</v>
      </c>
      <c r="N14" s="59"/>
    </row>
    <row r="15" spans="2:15" x14ac:dyDescent="0.45">
      <c r="B15" s="376" t="s">
        <v>238</v>
      </c>
      <c r="C15" s="345">
        <f>5833.33*12</f>
        <v>69999.959999999992</v>
      </c>
      <c r="D15" s="219">
        <f>4612.5+(4437.5*11)+421.87+(11*407.29)</f>
        <v>58327.060000000005</v>
      </c>
      <c r="E15" s="345">
        <f t="shared" ref="E15" si="1">5833.33*12</f>
        <v>69999.959999999992</v>
      </c>
      <c r="F15" s="219">
        <f>4437.5+(4262.5*11)+407.29+(11*392.71)</f>
        <v>56052.1</v>
      </c>
      <c r="G15" s="345">
        <f>5833.33+(6250*11)</f>
        <v>74583.33</v>
      </c>
      <c r="H15" s="219">
        <f>4262.5+(4087.5*11)+392.71+(11*378.13)</f>
        <v>53777.14</v>
      </c>
      <c r="I15" s="345">
        <f>6250+(6666.67*11)</f>
        <v>79583.37</v>
      </c>
      <c r="J15" s="219">
        <f>4087.5+(3900*11)+378.12+(11*362.5)</f>
        <v>51353.120000000003</v>
      </c>
      <c r="K15" s="345">
        <f>6666.66*12</f>
        <v>79999.92</v>
      </c>
      <c r="L15" s="219">
        <f>3900+(3700*11)+362.5+(11*345.83)</f>
        <v>48766.63</v>
      </c>
      <c r="M15" s="377">
        <f t="shared" si="0"/>
        <v>642442.59</v>
      </c>
      <c r="N15" s="53"/>
      <c r="O15" s="378"/>
    </row>
    <row r="16" spans="2:15" x14ac:dyDescent="0.45">
      <c r="B16" s="68" t="s">
        <v>306</v>
      </c>
      <c r="C16" s="223">
        <v>75965</v>
      </c>
      <c r="D16" s="344">
        <v>325508</v>
      </c>
      <c r="E16" s="219">
        <v>79193</v>
      </c>
      <c r="F16" s="344">
        <v>322279</v>
      </c>
      <c r="G16" s="219">
        <v>82559</v>
      </c>
      <c r="H16" s="344">
        <v>318913</v>
      </c>
      <c r="I16" s="219">
        <v>86068</v>
      </c>
      <c r="J16" s="344">
        <v>315405</v>
      </c>
      <c r="K16" s="219">
        <v>89726</v>
      </c>
      <c r="L16" s="344">
        <v>311747</v>
      </c>
      <c r="M16" s="377">
        <f t="shared" si="0"/>
        <v>2007363</v>
      </c>
      <c r="N16" s="70"/>
    </row>
    <row r="17" spans="2:14" x14ac:dyDescent="0.45">
      <c r="B17" s="68" t="s">
        <v>1</v>
      </c>
      <c r="C17" s="225">
        <f>SUM(C12:C16)</f>
        <v>271741.03000000003</v>
      </c>
      <c r="D17" s="226">
        <f>SUM(D12:D16)</f>
        <v>484040.19</v>
      </c>
      <c r="E17" s="225">
        <f t="shared" ref="E17:L17" si="2">SUM(E12:E15)</f>
        <v>201215.00999999998</v>
      </c>
      <c r="F17" s="379">
        <f>SUM(F12:F16)</f>
        <v>473065.76</v>
      </c>
      <c r="G17" s="226">
        <f>SUM(G12:G16)</f>
        <v>291637.92</v>
      </c>
      <c r="H17" s="226">
        <f t="shared" si="2"/>
        <v>145069.21000000002</v>
      </c>
      <c r="I17" s="225">
        <f t="shared" si="2"/>
        <v>217418.9</v>
      </c>
      <c r="J17" s="226">
        <f t="shared" si="2"/>
        <v>139113.16</v>
      </c>
      <c r="K17" s="225">
        <f t="shared" si="2"/>
        <v>170459.91999999998</v>
      </c>
      <c r="L17" s="226">
        <f t="shared" si="2"/>
        <v>133312.07999999999</v>
      </c>
      <c r="M17" s="227">
        <f>SUM(M12:M16)</f>
        <v>3728125.18</v>
      </c>
      <c r="N17" s="228"/>
    </row>
    <row r="18" spans="2:14" x14ac:dyDescent="0.45">
      <c r="B18" s="71"/>
      <c r="C18" s="58"/>
      <c r="D18" s="58"/>
      <c r="E18" s="58"/>
      <c r="F18" s="58"/>
      <c r="G18" s="58"/>
      <c r="H18" s="58"/>
      <c r="I18" s="58"/>
      <c r="J18" s="72"/>
      <c r="K18" s="72"/>
      <c r="L18" s="72"/>
      <c r="M18" s="58"/>
      <c r="N18" s="59"/>
    </row>
    <row r="19" spans="2:14" x14ac:dyDescent="0.45">
      <c r="B19" s="73"/>
      <c r="C19" s="74"/>
      <c r="D19" s="58"/>
      <c r="E19" s="74"/>
      <c r="F19" s="74"/>
      <c r="G19" s="74"/>
      <c r="H19" s="74"/>
      <c r="I19" s="58" t="s">
        <v>48</v>
      </c>
      <c r="J19" s="54"/>
      <c r="K19" s="58"/>
      <c r="L19" s="74"/>
      <c r="M19" s="74">
        <f>M17/5</f>
        <v>745625.03600000008</v>
      </c>
      <c r="N19" s="59"/>
    </row>
    <row r="20" spans="2:14" x14ac:dyDescent="0.45">
      <c r="B20" s="75"/>
      <c r="C20" s="58"/>
      <c r="D20" s="54"/>
      <c r="E20" s="58"/>
      <c r="F20" s="58"/>
      <c r="G20" s="58"/>
      <c r="H20" s="58"/>
      <c r="I20" s="58"/>
      <c r="J20" s="54"/>
      <c r="K20" s="54"/>
      <c r="L20" s="58"/>
      <c r="M20" s="76"/>
      <c r="N20" s="59"/>
    </row>
    <row r="21" spans="2:14" x14ac:dyDescent="0.45">
      <c r="B21" s="73"/>
      <c r="C21" s="58"/>
      <c r="D21" s="58"/>
      <c r="E21" s="58"/>
      <c r="F21" s="58"/>
      <c r="G21" s="58"/>
      <c r="H21" s="58"/>
      <c r="I21" s="58" t="s">
        <v>49</v>
      </c>
      <c r="J21" s="54"/>
      <c r="K21" s="58"/>
      <c r="L21" s="58"/>
      <c r="M21" s="74">
        <f>M19*$B$26</f>
        <v>149125.00720000002</v>
      </c>
      <c r="N21" s="59"/>
    </row>
    <row r="22" spans="2:14" x14ac:dyDescent="0.45"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0"/>
    </row>
    <row r="25" spans="2:14" x14ac:dyDescent="0.45">
      <c r="B25" s="51" t="s">
        <v>58</v>
      </c>
      <c r="M25" s="80"/>
    </row>
    <row r="26" spans="2:14" x14ac:dyDescent="0.45">
      <c r="B26" s="81">
        <v>0.2</v>
      </c>
    </row>
  </sheetData>
  <mergeCells count="9">
    <mergeCell ref="B3:L3"/>
    <mergeCell ref="B4:L4"/>
    <mergeCell ref="B5:L5"/>
    <mergeCell ref="B6:L6"/>
    <mergeCell ref="C9:D9"/>
    <mergeCell ref="E9:F9"/>
    <mergeCell ref="G9:H9"/>
    <mergeCell ref="I9:J9"/>
    <mergeCell ref="K9:L9"/>
  </mergeCells>
  <pageMargins left="0.7" right="0.7" top="0.75" bottom="0.75" header="0.3" footer="0.3"/>
  <pageSetup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2B56D-C709-4B50-AF3D-F7AB7B39738A}">
  <dimension ref="A1:D8"/>
  <sheetViews>
    <sheetView workbookViewId="0">
      <selection activeCell="A8" sqref="A8:D8"/>
    </sheetView>
  </sheetViews>
  <sheetFormatPr defaultRowHeight="14.25" x14ac:dyDescent="0.45"/>
  <cols>
    <col min="1" max="1" width="20.609375" style="41" customWidth="1"/>
    <col min="2" max="2" width="8.609375" style="41" customWidth="1"/>
    <col min="3" max="3" width="8.609375" style="346" customWidth="1"/>
    <col min="4" max="4" width="12.609375" style="346" customWidth="1"/>
    <col min="5" max="16384" width="8.88671875" style="41"/>
  </cols>
  <sheetData>
    <row r="1" spans="1:4" x14ac:dyDescent="0.45">
      <c r="A1" s="41" t="s">
        <v>145</v>
      </c>
    </row>
    <row r="2" spans="1:4" x14ac:dyDescent="0.45">
      <c r="B2" s="164" t="s">
        <v>241</v>
      </c>
      <c r="C2" s="347" t="s">
        <v>242</v>
      </c>
      <c r="D2" s="347" t="s">
        <v>202</v>
      </c>
    </row>
    <row r="3" spans="1:4" x14ac:dyDescent="0.45">
      <c r="A3" s="41" t="s">
        <v>239</v>
      </c>
      <c r="B3" s="41">
        <v>120</v>
      </c>
      <c r="C3" s="346">
        <v>950</v>
      </c>
      <c r="D3" s="346">
        <f>B3*C3</f>
        <v>114000</v>
      </c>
    </row>
    <row r="4" spans="1:4" x14ac:dyDescent="0.45">
      <c r="A4" s="41" t="s">
        <v>240</v>
      </c>
      <c r="B4" s="41">
        <v>9</v>
      </c>
      <c r="C4" s="347" t="s">
        <v>243</v>
      </c>
      <c r="D4" s="346">
        <f>D5-D3</f>
        <v>14265</v>
      </c>
    </row>
    <row r="5" spans="1:4" x14ac:dyDescent="0.45">
      <c r="A5" s="41" t="s">
        <v>146</v>
      </c>
      <c r="D5" s="346">
        <v>128265</v>
      </c>
    </row>
    <row r="7" spans="1:4" x14ac:dyDescent="0.45">
      <c r="A7" s="41" t="s">
        <v>287</v>
      </c>
    </row>
    <row r="8" spans="1:4" ht="16.5" x14ac:dyDescent="0.75">
      <c r="C8" s="380"/>
      <c r="D8" s="38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11CB-4786-49ED-84DB-B7097166E3AD}">
  <dimension ref="A1:B7"/>
  <sheetViews>
    <sheetView workbookViewId="0">
      <selection activeCell="B5" sqref="B5"/>
    </sheetView>
  </sheetViews>
  <sheetFormatPr defaultRowHeight="14.25" x14ac:dyDescent="0.45"/>
  <cols>
    <col min="1" max="1" width="20.609375" style="41" customWidth="1"/>
    <col min="2" max="2" width="12.609375" style="230" customWidth="1"/>
    <col min="3" max="16384" width="8.88671875" style="41"/>
  </cols>
  <sheetData>
    <row r="1" spans="1:2" x14ac:dyDescent="0.45">
      <c r="A1" s="41" t="s">
        <v>140</v>
      </c>
    </row>
    <row r="3" spans="1:2" x14ac:dyDescent="0.45">
      <c r="A3" s="41" t="s">
        <v>141</v>
      </c>
      <c r="B3" s="230">
        <v>9335</v>
      </c>
    </row>
    <row r="4" spans="1:2" x14ac:dyDescent="0.45">
      <c r="A4" s="41" t="s">
        <v>223</v>
      </c>
      <c r="B4" s="284">
        <v>0</v>
      </c>
    </row>
    <row r="5" spans="1:2" x14ac:dyDescent="0.45">
      <c r="A5" s="41" t="s">
        <v>1</v>
      </c>
      <c r="B5" s="230">
        <f>B3+B4</f>
        <v>9335</v>
      </c>
    </row>
    <row r="6" spans="1:2" x14ac:dyDescent="0.45">
      <c r="A6" s="41" t="s">
        <v>142</v>
      </c>
      <c r="B6" s="231">
        <v>3</v>
      </c>
    </row>
    <row r="7" spans="1:2" x14ac:dyDescent="0.45">
      <c r="A7" s="41" t="s">
        <v>143</v>
      </c>
      <c r="B7" s="230">
        <f>B5/B6</f>
        <v>3111.6666666666665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SAO</vt:lpstr>
      <vt:lpstr>Revenue Requirement</vt:lpstr>
      <vt:lpstr>Wages and Benefits</vt:lpstr>
      <vt:lpstr>Medical</vt:lpstr>
      <vt:lpstr>Water Loss Surcharge</vt:lpstr>
      <vt:lpstr>Depreciation</vt:lpstr>
      <vt:lpstr>Debt Service</vt:lpstr>
      <vt:lpstr>Tap Fees</vt:lpstr>
      <vt:lpstr>Rate Case Expenses</vt:lpstr>
      <vt:lpstr>Rates</vt:lpstr>
      <vt:lpstr>Bills</vt:lpstr>
      <vt:lpstr>Existing Billing Analysis</vt:lpstr>
      <vt:lpstr>Proposed Billing Analysis</vt:lpstr>
      <vt:lpstr>Bills!Print_Area</vt:lpstr>
      <vt:lpstr>'Debt Service'!Print_Area</vt:lpstr>
      <vt:lpstr>Depreciation!Print_Area</vt:lpstr>
      <vt:lpstr>'Existing Billing Analysis'!Print_Area</vt:lpstr>
      <vt:lpstr>'Proposed Billing Analysis'!Print_Area</vt:lpstr>
      <vt:lpstr>Rates!Print_Area</vt:lpstr>
      <vt:lpstr>'Revenue Requirement'!Print_Area</vt:lpstr>
      <vt:lpstr>SAO!Print_Area</vt:lpstr>
      <vt:lpstr>'Water Loss Surcharge'!Print_Area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Robert Miller</cp:lastModifiedBy>
  <cp:lastPrinted>2025-11-25T16:16:16Z</cp:lastPrinted>
  <dcterms:created xsi:type="dcterms:W3CDTF">2016-05-18T14:12:06Z</dcterms:created>
  <dcterms:modified xsi:type="dcterms:W3CDTF">2025-12-04T19:48:37Z</dcterms:modified>
</cp:coreProperties>
</file>