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Users\Steve\Documents\Kentucky\PSC dockets\GR25\"/>
    </mc:Choice>
  </mc:AlternateContent>
  <xr:revisionPtr revIDLastSave="0" documentId="13_ncr:1_{1E79486C-E173-4A0A-886A-B3DB8421D43B}" xr6:coauthVersionLast="47" xr6:coauthVersionMax="47" xr10:uidLastSave="{00000000-0000-0000-0000-000000000000}"/>
  <bookViews>
    <workbookView xWindow="-103" yWindow="-103" windowWidth="33120" windowHeight="18000" xr2:uid="{71F3ABAC-EA12-4721-B622-20929C237836}"/>
  </bookViews>
  <sheets>
    <sheet name="AG DR1-17 LIHEAP" sheetId="1" r:id="rId1"/>
    <sheet name="AG DR1-32 G&amp;A" sheetId="8" r:id="rId2"/>
    <sheet name="AG DR1-42 CapEx" sheetId="14" r:id="rId3"/>
    <sheet name="AG DR1-60 GCR" sheetId="5" r:id="rId4"/>
    <sheet name="AG DR1-80 L&amp;U" sheetId="4" r:id="rId5"/>
    <sheet name="AG DR1-83 NonOpRev" sheetId="7" r:id="rId6"/>
    <sheet name="AG DR1-87 ReslRev" sheetId="6" r:id="rId7"/>
    <sheet name="AG DR1-91 OpsRvExp" sheetId="9" r:id="rId8"/>
    <sheet name="AG DR1-93 OthGasRv" sheetId="10" r:id="rId9"/>
    <sheet name="AG DR1-94 OutServs" sheetId="17" r:id="rId10"/>
    <sheet name="AG DR1-97 Insur" sheetId="2" r:id="rId11"/>
    <sheet name="AG DR1-108 Payroll" sheetId="11" r:id="rId12"/>
    <sheet name="AG DR1-125 SAO" sheetId="12" r:id="rId13"/>
    <sheet name="AG DR1-125 RvRq" sheetId="13" r:id="rId14"/>
    <sheet name="AG DR1-127 Taxes xInc" sheetId="16" r:id="rId15"/>
    <sheet name="AG DR1-130 BDWO" sheetId="3" r:id="rId16"/>
  </sheets>
  <externalReferences>
    <externalReference r:id="rId1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" i="17" l="1"/>
  <c r="I6" i="17"/>
  <c r="I17" i="17"/>
  <c r="I9" i="17"/>
  <c r="C11" i="17"/>
  <c r="E19" i="17"/>
  <c r="G19" i="17"/>
  <c r="C17" i="17"/>
  <c r="I13" i="17" l="1"/>
  <c r="I19" i="17" s="1"/>
  <c r="C13" i="17" l="1"/>
  <c r="C19" i="17" s="1"/>
  <c r="C20" i="17" s="1"/>
  <c r="C9" i="5"/>
  <c r="D9" i="5"/>
  <c r="E9" i="5"/>
  <c r="F9" i="5"/>
  <c r="G9" i="5"/>
  <c r="H9" i="5"/>
  <c r="B9" i="5"/>
  <c r="G13" i="17"/>
  <c r="E13" i="17"/>
  <c r="E13" i="16"/>
  <c r="C13" i="16"/>
  <c r="C47" i="14"/>
  <c r="C22" i="14"/>
  <c r="C11" i="13" l="1"/>
  <c r="C7" i="13"/>
  <c r="C6" i="13"/>
  <c r="C8" i="13" s="1"/>
  <c r="C13" i="13" s="1"/>
  <c r="C17" i="13" s="1"/>
  <c r="C19" i="13" s="1"/>
  <c r="E21" i="13" s="1"/>
  <c r="D33" i="12"/>
  <c r="G33" i="12" s="1"/>
  <c r="E32" i="12"/>
  <c r="D32" i="12"/>
  <c r="G32" i="12" s="1"/>
  <c r="D31" i="12"/>
  <c r="G31" i="12" s="1"/>
  <c r="D30" i="12"/>
  <c r="G30" i="12" s="1"/>
  <c r="F29" i="12"/>
  <c r="F34" i="12" s="1"/>
  <c r="E28" i="12"/>
  <c r="E29" i="12" s="1"/>
  <c r="E34" i="12" s="1"/>
  <c r="D28" i="12"/>
  <c r="D27" i="12"/>
  <c r="G27" i="12" s="1"/>
  <c r="D26" i="12"/>
  <c r="G26" i="12" s="1"/>
  <c r="E25" i="12"/>
  <c r="D25" i="12"/>
  <c r="G25" i="12" s="1"/>
  <c r="D24" i="12"/>
  <c r="G24" i="12" s="1"/>
  <c r="D23" i="12"/>
  <c r="G23" i="12" s="1"/>
  <c r="G22" i="12"/>
  <c r="G21" i="12"/>
  <c r="G20" i="12"/>
  <c r="G19" i="12"/>
  <c r="G18" i="12"/>
  <c r="G17" i="12"/>
  <c r="D14" i="12"/>
  <c r="G14" i="12" s="1"/>
  <c r="G13" i="12"/>
  <c r="D12" i="12"/>
  <c r="G12" i="12" s="1"/>
  <c r="D11" i="12"/>
  <c r="G11" i="12" s="1"/>
  <c r="G10" i="12"/>
  <c r="F9" i="12"/>
  <c r="F15" i="12" s="1"/>
  <c r="F35" i="12" s="1"/>
  <c r="E9" i="12"/>
  <c r="E15" i="12" s="1"/>
  <c r="E35" i="12" s="1"/>
  <c r="G8" i="12"/>
  <c r="D7" i="12"/>
  <c r="G7" i="12" s="1"/>
  <c r="D6" i="12"/>
  <c r="G6" i="12" s="1"/>
  <c r="D5" i="12"/>
  <c r="D9" i="12" s="1"/>
  <c r="N24" i="11"/>
  <c r="L24" i="11"/>
  <c r="J24" i="11"/>
  <c r="H24" i="11"/>
  <c r="F24" i="11"/>
  <c r="N13" i="11"/>
  <c r="L13" i="11"/>
  <c r="J13" i="11"/>
  <c r="H13" i="11"/>
  <c r="F13" i="11"/>
  <c r="N9" i="11"/>
  <c r="N7" i="11"/>
  <c r="L7" i="11"/>
  <c r="J7" i="11"/>
  <c r="H7" i="11"/>
  <c r="F7" i="11"/>
  <c r="N6" i="11"/>
  <c r="L6" i="11"/>
  <c r="J6" i="11"/>
  <c r="H6" i="11"/>
  <c r="F6" i="11"/>
  <c r="N5" i="11"/>
  <c r="L5" i="11"/>
  <c r="J5" i="11"/>
  <c r="H5" i="11"/>
  <c r="F5" i="11"/>
  <c r="L6" i="10"/>
  <c r="J6" i="10"/>
  <c r="H6" i="10"/>
  <c r="F6" i="10"/>
  <c r="D6" i="10"/>
  <c r="L5" i="10"/>
  <c r="H5" i="10"/>
  <c r="L4" i="10"/>
  <c r="J4" i="10"/>
  <c r="H4" i="10"/>
  <c r="F4" i="10"/>
  <c r="D4" i="10"/>
  <c r="Q299" i="9"/>
  <c r="O299" i="9"/>
  <c r="M299" i="9"/>
  <c r="K299" i="9"/>
  <c r="I299" i="9"/>
  <c r="Q285" i="9"/>
  <c r="Q302" i="9" s="1"/>
  <c r="O285" i="9"/>
  <c r="M285" i="9"/>
  <c r="K285" i="9"/>
  <c r="I285" i="9"/>
  <c r="Q275" i="9"/>
  <c r="O275" i="9"/>
  <c r="M275" i="9"/>
  <c r="K275" i="9"/>
  <c r="I275" i="9"/>
  <c r="Q274" i="9"/>
  <c r="O274" i="9"/>
  <c r="Q271" i="9"/>
  <c r="O271" i="9"/>
  <c r="M271" i="9"/>
  <c r="K271" i="9"/>
  <c r="I271" i="9"/>
  <c r="Q269" i="9"/>
  <c r="O269" i="9"/>
  <c r="M269" i="9"/>
  <c r="K269" i="9"/>
  <c r="I269" i="9"/>
  <c r="Q252" i="9"/>
  <c r="Q254" i="9" s="1"/>
  <c r="O252" i="9"/>
  <c r="O254" i="9" s="1"/>
  <c r="M252" i="9"/>
  <c r="M254" i="9" s="1"/>
  <c r="K250" i="9"/>
  <c r="K252" i="9" s="1"/>
  <c r="K254" i="9" s="1"/>
  <c r="I250" i="9"/>
  <c r="I252" i="9" s="1"/>
  <c r="I254" i="9" s="1"/>
  <c r="Q245" i="9"/>
  <c r="K245" i="9"/>
  <c r="I245" i="9"/>
  <c r="Q239" i="9"/>
  <c r="O239" i="9"/>
  <c r="M239" i="9"/>
  <c r="K239" i="9"/>
  <c r="I239" i="9"/>
  <c r="K238" i="9"/>
  <c r="I238" i="9"/>
  <c r="O237" i="9"/>
  <c r="O238" i="9" s="1"/>
  <c r="M237" i="9"/>
  <c r="M238" i="9" s="1"/>
  <c r="Q235" i="9"/>
  <c r="Q238" i="9" s="1"/>
  <c r="Q234" i="9"/>
  <c r="O234" i="9"/>
  <c r="M234" i="9"/>
  <c r="M302" i="9" s="1"/>
  <c r="K234" i="9"/>
  <c r="K302" i="9" s="1"/>
  <c r="I234" i="9"/>
  <c r="I302" i="9" s="1"/>
  <c r="K231" i="9"/>
  <c r="I231" i="9"/>
  <c r="Q230" i="9"/>
  <c r="Q229" i="9"/>
  <c r="O229" i="9"/>
  <c r="M229" i="9"/>
  <c r="K229" i="9"/>
  <c r="I229" i="9"/>
  <c r="Q228" i="9"/>
  <c r="O228" i="9"/>
  <c r="M228" i="9"/>
  <c r="K228" i="9"/>
  <c r="I228" i="9"/>
  <c r="Q226" i="9"/>
  <c r="M226" i="9"/>
  <c r="K226" i="9"/>
  <c r="I226" i="9"/>
  <c r="Q225" i="9"/>
  <c r="Q224" i="9"/>
  <c r="O224" i="9"/>
  <c r="M224" i="9"/>
  <c r="K224" i="9"/>
  <c r="I224" i="9"/>
  <c r="Q220" i="9"/>
  <c r="Q218" i="9"/>
  <c r="O218" i="9"/>
  <c r="M218" i="9"/>
  <c r="K218" i="9"/>
  <c r="I218" i="9"/>
  <c r="Q217" i="9"/>
  <c r="O217" i="9"/>
  <c r="M217" i="9"/>
  <c r="K217" i="9"/>
  <c r="I217" i="9"/>
  <c r="Q216" i="9"/>
  <c r="O216" i="9"/>
  <c r="M216" i="9"/>
  <c r="K216" i="9"/>
  <c r="I216" i="9"/>
  <c r="M213" i="9"/>
  <c r="I213" i="9"/>
  <c r="Q211" i="9"/>
  <c r="O211" i="9"/>
  <c r="M211" i="9"/>
  <c r="K211" i="9"/>
  <c r="I211" i="9"/>
  <c r="O210" i="9"/>
  <c r="M210" i="9"/>
  <c r="K210" i="9"/>
  <c r="I210" i="9"/>
  <c r="O209" i="9"/>
  <c r="O207" i="9"/>
  <c r="M207" i="9"/>
  <c r="K207" i="9"/>
  <c r="I207" i="9"/>
  <c r="Q206" i="9"/>
  <c r="O206" i="9"/>
  <c r="M206" i="9"/>
  <c r="Q205" i="9"/>
  <c r="O205" i="9"/>
  <c r="M205" i="9"/>
  <c r="K205" i="9"/>
  <c r="I205" i="9"/>
  <c r="Q204" i="9"/>
  <c r="Q214" i="9" s="1"/>
  <c r="O204" i="9"/>
  <c r="M204" i="9"/>
  <c r="K204" i="9"/>
  <c r="I204" i="9"/>
  <c r="K203" i="9"/>
  <c r="Q200" i="9"/>
  <c r="O200" i="9"/>
  <c r="M200" i="9"/>
  <c r="K200" i="9"/>
  <c r="I200" i="9"/>
  <c r="Q190" i="9"/>
  <c r="O190" i="9"/>
  <c r="M190" i="9"/>
  <c r="K190" i="9"/>
  <c r="I190" i="9"/>
  <c r="Q189" i="9"/>
  <c r="Q192" i="9" s="1"/>
  <c r="Q194" i="9" s="1"/>
  <c r="Q195" i="9" s="1"/>
  <c r="O189" i="9"/>
  <c r="O192" i="9" s="1"/>
  <c r="O194" i="9" s="1"/>
  <c r="O195" i="9" s="1"/>
  <c r="M189" i="9"/>
  <c r="M192" i="9" s="1"/>
  <c r="M194" i="9" s="1"/>
  <c r="M195" i="9" s="1"/>
  <c r="K189" i="9"/>
  <c r="K192" i="9" s="1"/>
  <c r="K194" i="9" s="1"/>
  <c r="K195" i="9" s="1"/>
  <c r="I189" i="9"/>
  <c r="Q181" i="9"/>
  <c r="O181" i="9"/>
  <c r="Q180" i="9"/>
  <c r="O180" i="9"/>
  <c r="O183" i="9" s="1"/>
  <c r="M180" i="9"/>
  <c r="M183" i="9" s="1"/>
  <c r="K180" i="9"/>
  <c r="K183" i="9" s="1"/>
  <c r="I180" i="9"/>
  <c r="I183" i="9" s="1"/>
  <c r="Q178" i="9"/>
  <c r="O178" i="9"/>
  <c r="M178" i="9"/>
  <c r="K178" i="9"/>
  <c r="I178" i="9"/>
  <c r="Q172" i="9"/>
  <c r="O172" i="9"/>
  <c r="M172" i="9"/>
  <c r="Q171" i="9"/>
  <c r="Q174" i="9" s="1"/>
  <c r="O171" i="9"/>
  <c r="O174" i="9" s="1"/>
  <c r="M171" i="9"/>
  <c r="K171" i="9"/>
  <c r="K174" i="9" s="1"/>
  <c r="I171" i="9"/>
  <c r="I174" i="9" s="1"/>
  <c r="Q162" i="9"/>
  <c r="O162" i="9"/>
  <c r="M162" i="9"/>
  <c r="K162" i="9"/>
  <c r="I162" i="9"/>
  <c r="Q161" i="9"/>
  <c r="O161" i="9"/>
  <c r="M161" i="9"/>
  <c r="M167" i="9" s="1"/>
  <c r="K161" i="9"/>
  <c r="I161" i="9"/>
  <c r="Q159" i="9"/>
  <c r="Q158" i="9"/>
  <c r="O158" i="9"/>
  <c r="M158" i="9"/>
  <c r="I158" i="9"/>
  <c r="Q153" i="9"/>
  <c r="Q155" i="9" s="1"/>
  <c r="O153" i="9"/>
  <c r="O155" i="9" s="1"/>
  <c r="M153" i="9"/>
  <c r="M155" i="9" s="1"/>
  <c r="K153" i="9"/>
  <c r="K155" i="9" s="1"/>
  <c r="I153" i="9"/>
  <c r="I155" i="9" s="1"/>
  <c r="Q151" i="9"/>
  <c r="O151" i="9"/>
  <c r="M151" i="9"/>
  <c r="K151" i="9"/>
  <c r="I151" i="9"/>
  <c r="Q147" i="9"/>
  <c r="Q148" i="9" s="1"/>
  <c r="M147" i="9"/>
  <c r="M148" i="9" s="1"/>
  <c r="O146" i="9"/>
  <c r="O147" i="9" s="1"/>
  <c r="O148" i="9" s="1"/>
  <c r="K146" i="9"/>
  <c r="K147" i="9" s="1"/>
  <c r="K148" i="9" s="1"/>
  <c r="I146" i="9"/>
  <c r="I147" i="9" s="1"/>
  <c r="Q143" i="9"/>
  <c r="O143" i="9"/>
  <c r="K143" i="9"/>
  <c r="I143" i="9"/>
  <c r="Q136" i="9"/>
  <c r="I136" i="9"/>
  <c r="Q135" i="9"/>
  <c r="O135" i="9"/>
  <c r="M134" i="9"/>
  <c r="I134" i="9"/>
  <c r="Q133" i="9"/>
  <c r="Q134" i="9" s="1"/>
  <c r="O133" i="9"/>
  <c r="O134" i="9" s="1"/>
  <c r="K133" i="9"/>
  <c r="K134" i="9" s="1"/>
  <c r="Q107" i="9"/>
  <c r="O107" i="9"/>
  <c r="M107" i="9"/>
  <c r="K107" i="9"/>
  <c r="K108" i="9" s="1"/>
  <c r="I107" i="9"/>
  <c r="I108" i="9" s="1"/>
  <c r="M106" i="9"/>
  <c r="M108" i="9" s="1"/>
  <c r="Q104" i="9"/>
  <c r="O104" i="9"/>
  <c r="Q101" i="9"/>
  <c r="I101" i="9"/>
  <c r="Q97" i="9"/>
  <c r="O97" i="9"/>
  <c r="M97" i="9"/>
  <c r="K97" i="9"/>
  <c r="I97" i="9"/>
  <c r="Q96" i="9"/>
  <c r="O96" i="9"/>
  <c r="M96" i="9"/>
  <c r="K96" i="9"/>
  <c r="I96" i="9"/>
  <c r="Q94" i="9"/>
  <c r="O94" i="9"/>
  <c r="M94" i="9"/>
  <c r="K94" i="9"/>
  <c r="I94" i="9"/>
  <c r="I84" i="9"/>
  <c r="I86" i="9" s="1"/>
  <c r="I87" i="9" s="1"/>
  <c r="M83" i="9"/>
  <c r="K83" i="9"/>
  <c r="K84" i="9" s="1"/>
  <c r="K86" i="9" s="1"/>
  <c r="K87" i="9" s="1"/>
  <c r="Q76" i="9"/>
  <c r="O76" i="9"/>
  <c r="M76" i="9"/>
  <c r="Q75" i="9"/>
  <c r="O75" i="9"/>
  <c r="M75" i="9"/>
  <c r="Q71" i="9"/>
  <c r="O71" i="9"/>
  <c r="M71" i="9"/>
  <c r="O68" i="9"/>
  <c r="Q58" i="9"/>
  <c r="O58" i="9"/>
  <c r="M58" i="9"/>
  <c r="K58" i="9"/>
  <c r="I58" i="9"/>
  <c r="Q57" i="9"/>
  <c r="M57" i="9"/>
  <c r="Q56" i="9"/>
  <c r="O56" i="9"/>
  <c r="M56" i="9"/>
  <c r="K56" i="9"/>
  <c r="I56" i="9"/>
  <c r="Q53" i="9"/>
  <c r="O53" i="9"/>
  <c r="M53" i="9"/>
  <c r="K53" i="9"/>
  <c r="I53" i="9"/>
  <c r="Q52" i="9"/>
  <c r="Q51" i="9"/>
  <c r="O51" i="9"/>
  <c r="M51" i="9"/>
  <c r="K51" i="9"/>
  <c r="I51" i="9"/>
  <c r="Q48" i="9"/>
  <c r="O48" i="9"/>
  <c r="M48" i="9"/>
  <c r="K48" i="9"/>
  <c r="I48" i="9"/>
  <c r="Q47" i="9"/>
  <c r="O47" i="9"/>
  <c r="M47" i="9"/>
  <c r="K47" i="9"/>
  <c r="I47" i="9"/>
  <c r="Q45" i="9"/>
  <c r="O45" i="9"/>
  <c r="M45" i="9"/>
  <c r="K45" i="9"/>
  <c r="I45" i="9"/>
  <c r="Q42" i="9"/>
  <c r="O42" i="9"/>
  <c r="M42" i="9"/>
  <c r="K42" i="9"/>
  <c r="I42" i="9"/>
  <c r="K36" i="9"/>
  <c r="K37" i="9" s="1"/>
  <c r="I36" i="9"/>
  <c r="I37" i="9" s="1"/>
  <c r="Q33" i="9"/>
  <c r="O33" i="9"/>
  <c r="M33" i="9"/>
  <c r="Q30" i="9"/>
  <c r="Q37" i="9" s="1"/>
  <c r="O30" i="9"/>
  <c r="O37" i="9" s="1"/>
  <c r="M30" i="9"/>
  <c r="M37" i="9" s="1"/>
  <c r="K27" i="9"/>
  <c r="K28" i="9" s="1"/>
  <c r="I27" i="9"/>
  <c r="I28" i="9" s="1"/>
  <c r="Q24" i="9"/>
  <c r="O24" i="9"/>
  <c r="M24" i="9"/>
  <c r="M28" i="9" s="1"/>
  <c r="Q21" i="9"/>
  <c r="O21" i="9"/>
  <c r="O28" i="9" s="1"/>
  <c r="M21" i="9"/>
  <c r="Q18" i="9"/>
  <c r="M18" i="9"/>
  <c r="K18" i="9"/>
  <c r="K19" i="9" s="1"/>
  <c r="I18" i="9"/>
  <c r="I19" i="9" s="1"/>
  <c r="Q15" i="9"/>
  <c r="O15" i="9"/>
  <c r="M15" i="9"/>
  <c r="Q12" i="9"/>
  <c r="O12" i="9"/>
  <c r="M12" i="9"/>
  <c r="O9" i="9"/>
  <c r="Q7" i="9"/>
  <c r="O7" i="9"/>
  <c r="M5" i="9"/>
  <c r="M7" i="9" s="1"/>
  <c r="K5" i="9"/>
  <c r="K7" i="9" s="1"/>
  <c r="I5" i="9"/>
  <c r="I7" i="9" s="1"/>
  <c r="D15" i="12" l="1"/>
  <c r="L11" i="11"/>
  <c r="N11" i="11"/>
  <c r="J11" i="11"/>
  <c r="F11" i="11"/>
  <c r="H11" i="11"/>
  <c r="L11" i="10"/>
  <c r="O302" i="9"/>
  <c r="O108" i="9"/>
  <c r="Q108" i="9"/>
  <c r="Q183" i="9"/>
  <c r="Q184" i="9" s="1"/>
  <c r="Q185" i="9" s="1"/>
  <c r="O167" i="9"/>
  <c r="O169" i="9" s="1"/>
  <c r="O175" i="9" s="1"/>
  <c r="O273" i="9"/>
  <c r="Q28" i="9"/>
  <c r="K102" i="9"/>
  <c r="M102" i="9"/>
  <c r="O102" i="9"/>
  <c r="I148" i="9"/>
  <c r="M174" i="9"/>
  <c r="K214" i="9"/>
  <c r="K241" i="9" s="1"/>
  <c r="K243" i="9" s="1"/>
  <c r="K55" i="9"/>
  <c r="K60" i="9" s="1"/>
  <c r="K88" i="9" s="1"/>
  <c r="O84" i="9"/>
  <c r="O86" i="9" s="1"/>
  <c r="O87" i="9" s="1"/>
  <c r="M55" i="9"/>
  <c r="M84" i="9"/>
  <c r="M86" i="9" s="1"/>
  <c r="M87" i="9" s="1"/>
  <c r="I184" i="9"/>
  <c r="I185" i="9" s="1"/>
  <c r="O55" i="9"/>
  <c r="M169" i="9"/>
  <c r="M175" i="9" s="1"/>
  <c r="K184" i="9"/>
  <c r="K185" i="9" s="1"/>
  <c r="Q55" i="9"/>
  <c r="Q84" i="9"/>
  <c r="Q86" i="9" s="1"/>
  <c r="Q87" i="9" s="1"/>
  <c r="M184" i="9"/>
  <c r="M185" i="9" s="1"/>
  <c r="I55" i="9"/>
  <c r="I60" i="9" s="1"/>
  <c r="I88" i="9" s="1"/>
  <c r="O184" i="9"/>
  <c r="O185" i="9" s="1"/>
  <c r="Q167" i="9"/>
  <c r="Q169" i="9" s="1"/>
  <c r="Q175" i="9" s="1"/>
  <c r="Q273" i="9"/>
  <c r="M233" i="9"/>
  <c r="I222" i="9"/>
  <c r="I233" i="9"/>
  <c r="M222" i="9"/>
  <c r="M19" i="9"/>
  <c r="Q222" i="9"/>
  <c r="M214" i="9"/>
  <c r="M241" i="9" s="1"/>
  <c r="M243" i="9" s="1" a="1"/>
  <c r="M243" i="9" s="1"/>
  <c r="I102" i="9"/>
  <c r="I192" i="9"/>
  <c r="I194" i="9" s="1"/>
  <c r="I195" i="9" s="1"/>
  <c r="I273" i="9"/>
  <c r="I167" i="9"/>
  <c r="I169" i="9" s="1"/>
  <c r="I175" i="9" s="1"/>
  <c r="K273" i="9"/>
  <c r="K167" i="9"/>
  <c r="K169" i="9" s="1"/>
  <c r="K175" i="9" s="1"/>
  <c r="K287" i="9" s="1"/>
  <c r="K233" i="9"/>
  <c r="Q102" i="9"/>
  <c r="O233" i="9"/>
  <c r="Q233" i="9"/>
  <c r="K222" i="9"/>
  <c r="I214" i="9"/>
  <c r="O222" i="9"/>
  <c r="O241" i="9" s="1"/>
  <c r="O243" i="9" s="1"/>
  <c r="O287" i="9" s="1"/>
  <c r="O19" i="9"/>
  <c r="O60" i="9" s="1"/>
  <c r="O88" i="9" s="1"/>
  <c r="Q19" i="9"/>
  <c r="Q60" i="9" s="1"/>
  <c r="Q88" i="9" s="1"/>
  <c r="O214" i="9"/>
  <c r="G28" i="12"/>
  <c r="G29" i="12" s="1"/>
  <c r="G34" i="12" s="1"/>
  <c r="D29" i="12"/>
  <c r="D34" i="12" s="1"/>
  <c r="D35" i="12" s="1"/>
  <c r="G5" i="12"/>
  <c r="G9" i="12" s="1"/>
  <c r="G15" i="12" s="1"/>
  <c r="Q241" i="9" l="1"/>
  <c r="Q243" i="9" s="1"/>
  <c r="Q287" i="9" s="1"/>
  <c r="M60" i="9"/>
  <c r="M88" i="9" s="1"/>
  <c r="I241" i="9"/>
  <c r="I243" i="9" s="1"/>
  <c r="K288" i="9"/>
  <c r="I287" i="9"/>
  <c r="Q288" i="9"/>
  <c r="O288" i="9"/>
  <c r="G35" i="12"/>
  <c r="M273" i="9"/>
  <c r="M287" i="9" s="1"/>
  <c r="M288" i="9" s="1"/>
  <c r="I288" i="9"/>
  <c r="F9" i="6" l="1"/>
  <c r="M41" i="6"/>
  <c r="M9" i="6"/>
  <c r="P89" i="8" l="1"/>
  <c r="N89" i="8"/>
  <c r="L89" i="8"/>
  <c r="J89" i="8"/>
  <c r="H89" i="8"/>
  <c r="P74" i="8"/>
  <c r="N74" i="8"/>
  <c r="L74" i="8"/>
  <c r="J74" i="8"/>
  <c r="H74" i="8"/>
  <c r="J73" i="8"/>
  <c r="H73" i="8"/>
  <c r="N72" i="8"/>
  <c r="N73" i="8" s="1"/>
  <c r="L72" i="8"/>
  <c r="L73" i="8" s="1"/>
  <c r="P70" i="8"/>
  <c r="P73" i="8" s="1"/>
  <c r="P69" i="8"/>
  <c r="N69" i="8"/>
  <c r="L69" i="8"/>
  <c r="J69" i="8"/>
  <c r="H69" i="8"/>
  <c r="J66" i="8"/>
  <c r="H66" i="8"/>
  <c r="P65" i="8"/>
  <c r="P64" i="8"/>
  <c r="N64" i="8"/>
  <c r="L64" i="8"/>
  <c r="J64" i="8"/>
  <c r="H64" i="8"/>
  <c r="P63" i="8"/>
  <c r="N63" i="8"/>
  <c r="L63" i="8"/>
  <c r="J63" i="8"/>
  <c r="H63" i="8"/>
  <c r="P61" i="8"/>
  <c r="L61" i="8"/>
  <c r="J61" i="8"/>
  <c r="H61" i="8"/>
  <c r="P60" i="8"/>
  <c r="P59" i="8"/>
  <c r="P68" i="8" s="1"/>
  <c r="N59" i="8"/>
  <c r="N68" i="8" s="1"/>
  <c r="L59" i="8"/>
  <c r="L68" i="8" s="1"/>
  <c r="J59" i="8"/>
  <c r="J68" i="8" s="1"/>
  <c r="H59" i="8"/>
  <c r="H68" i="8" s="1"/>
  <c r="P55" i="8"/>
  <c r="P53" i="8"/>
  <c r="N53" i="8"/>
  <c r="L53" i="8"/>
  <c r="J53" i="8"/>
  <c r="H53" i="8"/>
  <c r="P52" i="8"/>
  <c r="N52" i="8"/>
  <c r="L52" i="8"/>
  <c r="J52" i="8"/>
  <c r="H52" i="8"/>
  <c r="P51" i="8"/>
  <c r="P57" i="8" s="1"/>
  <c r="N51" i="8"/>
  <c r="N57" i="8" s="1"/>
  <c r="L51" i="8"/>
  <c r="L57" i="8" s="1"/>
  <c r="J51" i="8"/>
  <c r="J57" i="8" s="1"/>
  <c r="H51" i="8"/>
  <c r="H57" i="8" s="1"/>
  <c r="L48" i="8"/>
  <c r="H48" i="8"/>
  <c r="P46" i="8"/>
  <c r="N46" i="8"/>
  <c r="L46" i="8"/>
  <c r="J46" i="8"/>
  <c r="H46" i="8"/>
  <c r="N45" i="8"/>
  <c r="L45" i="8"/>
  <c r="J45" i="8"/>
  <c r="H45" i="8"/>
  <c r="N44" i="8"/>
  <c r="N42" i="8"/>
  <c r="L42" i="8"/>
  <c r="J42" i="8"/>
  <c r="H42" i="8"/>
  <c r="P41" i="8"/>
  <c r="N41" i="8"/>
  <c r="L41" i="8"/>
  <c r="P40" i="8"/>
  <c r="N40" i="8"/>
  <c r="L40" i="8"/>
  <c r="J40" i="8"/>
  <c r="J49" i="8" s="1"/>
  <c r="H40" i="8"/>
  <c r="H49" i="8" s="1"/>
  <c r="P39" i="8"/>
  <c r="P49" i="8" s="1"/>
  <c r="N39" i="8"/>
  <c r="N49" i="8" s="1"/>
  <c r="N76" i="8" s="1"/>
  <c r="N78" i="8" s="1"/>
  <c r="L39" i="8"/>
  <c r="L49" i="8" s="1"/>
  <c r="J39" i="8"/>
  <c r="H39" i="8"/>
  <c r="J38" i="8"/>
  <c r="P35" i="8"/>
  <c r="N35" i="8"/>
  <c r="L35" i="8"/>
  <c r="J35" i="8"/>
  <c r="H35" i="8"/>
  <c r="P29" i="8"/>
  <c r="H29" i="8"/>
  <c r="P28" i="8"/>
  <c r="N28" i="8"/>
  <c r="L27" i="8"/>
  <c r="J27" i="8"/>
  <c r="H27" i="8"/>
  <c r="P26" i="8"/>
  <c r="P27" i="8" s="1"/>
  <c r="N26" i="8"/>
  <c r="N27" i="8" s="1"/>
  <c r="J26" i="8"/>
  <c r="R13" i="7"/>
  <c r="P13" i="7"/>
  <c r="N13" i="7"/>
  <c r="L13" i="7"/>
  <c r="J13" i="7"/>
  <c r="H13" i="7"/>
  <c r="R12" i="7"/>
  <c r="H12" i="7"/>
  <c r="R11" i="7"/>
  <c r="P11" i="7"/>
  <c r="N11" i="7"/>
  <c r="L11" i="7"/>
  <c r="J11" i="7"/>
  <c r="H11" i="7"/>
  <c r="R8" i="7"/>
  <c r="P8" i="7"/>
  <c r="P15" i="7" s="1"/>
  <c r="N8" i="7"/>
  <c r="L8" i="7"/>
  <c r="J8" i="7"/>
  <c r="H8" i="7"/>
  <c r="R7" i="7"/>
  <c r="R15" i="7" s="1"/>
  <c r="R21" i="7" s="1"/>
  <c r="P7" i="7"/>
  <c r="N7" i="7"/>
  <c r="L7" i="7"/>
  <c r="J7" i="7"/>
  <c r="H7" i="7"/>
  <c r="R5" i="7"/>
  <c r="P5" i="7"/>
  <c r="N5" i="7"/>
  <c r="L5" i="7"/>
  <c r="J5" i="7"/>
  <c r="H5" i="7"/>
  <c r="H47" i="6"/>
  <c r="H35" i="6"/>
  <c r="H32" i="6"/>
  <c r="H39" i="6" s="1"/>
  <c r="H26" i="6"/>
  <c r="H23" i="6"/>
  <c r="H20" i="6"/>
  <c r="H17" i="6"/>
  <c r="H14" i="6"/>
  <c r="H15" i="7" l="1"/>
  <c r="J15" i="7"/>
  <c r="L15" i="7"/>
  <c r="N15" i="7"/>
  <c r="H21" i="6"/>
  <c r="H30" i="6"/>
  <c r="F41" i="6" s="1"/>
  <c r="P76" i="8"/>
  <c r="P78" i="8" s="1"/>
  <c r="L76" i="8"/>
  <c r="L78" i="8" s="1" a="1"/>
  <c r="L78" i="8" s="1"/>
  <c r="J76" i="8"/>
  <c r="J78" i="8" s="1"/>
  <c r="H76" i="8"/>
  <c r="H78" i="8" s="1"/>
  <c r="P95" i="8"/>
  <c r="H8" i="4" l="1"/>
  <c r="H9" i="4" s="1"/>
  <c r="D9" i="4" l="1"/>
  <c r="C8" i="4"/>
  <c r="C9" i="4" s="1"/>
  <c r="D8" i="4"/>
  <c r="E8" i="4"/>
  <c r="E9" i="4" s="1"/>
  <c r="F8" i="4"/>
  <c r="F9" i="4" s="1"/>
  <c r="G8" i="4"/>
  <c r="G9" i="4" s="1"/>
  <c r="B8" i="4"/>
  <c r="B9" i="4" s="1"/>
  <c r="E13" i="3" l="1"/>
  <c r="D13" i="3"/>
  <c r="C13" i="3"/>
  <c r="B13" i="3"/>
  <c r="G11" i="3"/>
  <c r="F11" i="3"/>
  <c r="E11" i="3"/>
  <c r="D11" i="3"/>
  <c r="C11" i="3"/>
  <c r="B11" i="3"/>
  <c r="B17" i="2" l="1"/>
  <c r="C17" i="2" l="1"/>
  <c r="C18" i="2" s="1"/>
  <c r="D17" i="2"/>
  <c r="E17" i="2"/>
  <c r="F17" i="2"/>
  <c r="G17" i="2"/>
  <c r="G18" i="2" s="1"/>
  <c r="E18" i="2" l="1"/>
  <c r="F18" i="2"/>
  <c r="C29" i="1"/>
  <c r="B27" i="1"/>
  <c r="B2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<sst xmlns="http://schemas.openxmlformats.org/spreadsheetml/2006/main" count="763" uniqueCount="523">
  <si>
    <t>County</t>
  </si>
  <si>
    <t>Agency</t>
  </si>
  <si>
    <t>Breathitt</t>
  </si>
  <si>
    <t>Middle KY</t>
  </si>
  <si>
    <t>606-666-2452</t>
  </si>
  <si>
    <t>Floyd</t>
  </si>
  <si>
    <t>Big Sandy</t>
  </si>
  <si>
    <t>606-874-3595</t>
  </si>
  <si>
    <t>Johnson</t>
  </si>
  <si>
    <t>606-789-6515</t>
  </si>
  <si>
    <t>Knott</t>
  </si>
  <si>
    <t>LKLP</t>
  </si>
  <si>
    <t>606-435-7996</t>
  </si>
  <si>
    <t>Lee</t>
  </si>
  <si>
    <t>Letcher</t>
  </si>
  <si>
    <t>Magoffin</t>
  </si>
  <si>
    <t>606-349-2217</t>
  </si>
  <si>
    <t>Martin</t>
  </si>
  <si>
    <t>606-298-3217</t>
  </si>
  <si>
    <t>Morgan</t>
  </si>
  <si>
    <t>Gateway</t>
  </si>
  <si>
    <t>606-743-3133</t>
  </si>
  <si>
    <t>Perry</t>
  </si>
  <si>
    <t>Pike</t>
  </si>
  <si>
    <t>606-432-2775</t>
  </si>
  <si>
    <t>Wolfe</t>
  </si>
  <si>
    <t>606-666-5902</t>
  </si>
  <si>
    <t>Year</t>
  </si>
  <si>
    <t>Pledge Amount</t>
  </si>
  <si>
    <t>Households</t>
  </si>
  <si>
    <t>Auto</t>
  </si>
  <si>
    <t>General Liability</t>
  </si>
  <si>
    <t>Workers Compensation</t>
  </si>
  <si>
    <t xml:space="preserve">Employment Practices Liability </t>
  </si>
  <si>
    <t>$1M Excess Liability</t>
  </si>
  <si>
    <t>Coverage</t>
  </si>
  <si>
    <t>Dec22 renew</t>
  </si>
  <si>
    <t>Dec23 renew</t>
  </si>
  <si>
    <t>Dec24 renew</t>
  </si>
  <si>
    <t>Totals</t>
  </si>
  <si>
    <t>Dec21 renew</t>
  </si>
  <si>
    <t>$2M Excess Liability</t>
  </si>
  <si>
    <t>Dec20 renew</t>
  </si>
  <si>
    <t>Inland Marine</t>
  </si>
  <si>
    <t>Property</t>
  </si>
  <si>
    <t>Taxes &amp; Fees</t>
  </si>
  <si>
    <t>GR17 ARF</t>
  </si>
  <si>
    <t>*no CGL coverage for Fire</t>
  </si>
  <si>
    <t>*reduced Umbrella to $1M</t>
  </si>
  <si>
    <t># of Accounts</t>
  </si>
  <si>
    <t>Total</t>
  </si>
  <si>
    <t>Gas Usage</t>
  </si>
  <si>
    <t>Gas Base</t>
  </si>
  <si>
    <t>AMR</t>
  </si>
  <si>
    <t>PRP</t>
  </si>
  <si>
    <t>Average</t>
  </si>
  <si>
    <t>Gas Purchased</t>
  </si>
  <si>
    <t>Gas Sold</t>
  </si>
  <si>
    <t>Volumes in MCF</t>
  </si>
  <si>
    <t>L&amp;U by Volume</t>
  </si>
  <si>
    <t>Utility systems, no Farm Taps</t>
  </si>
  <si>
    <t>Gas Cost Paid</t>
  </si>
  <si>
    <t>GCR Recovered</t>
  </si>
  <si>
    <t>Difference</t>
  </si>
  <si>
    <t>480 · Residential Sales</t>
  </si>
  <si>
    <t>481 · Commercial &amp; Industrial Sales</t>
  </si>
  <si>
    <t>482 · Commercial Tax Exempt</t>
  </si>
  <si>
    <t>480.001 · KFG - GCR</t>
  </si>
  <si>
    <t>480.002 · Public - GCR</t>
  </si>
  <si>
    <t>480.003 · Dboro- GCR</t>
  </si>
  <si>
    <t>480.01 · KFG - Base</t>
  </si>
  <si>
    <t>480.02 · Public - Base</t>
  </si>
  <si>
    <t>480.03 · Dboro - Base</t>
  </si>
  <si>
    <t>480 · Residential Sales - Other</t>
  </si>
  <si>
    <t>Total 480 · Residential Sales</t>
  </si>
  <si>
    <t>481.001 · KFG - GCR</t>
  </si>
  <si>
    <t>481.002 · Public -  GCR</t>
  </si>
  <si>
    <t>481.003 · Dboro - GCR</t>
  </si>
  <si>
    <t>481.01 · KFG - Base</t>
  </si>
  <si>
    <t>481.02 · Public - Base</t>
  </si>
  <si>
    <t>481.03 · Dboro - Base</t>
  </si>
  <si>
    <t>481 · Commercial &amp; Industrial Sales - Other</t>
  </si>
  <si>
    <t>Total 481 · Commercial &amp; Industrial Sales</t>
  </si>
  <si>
    <t>482.001 · KFG -GCR</t>
  </si>
  <si>
    <t>482.002 · Public - GCR</t>
  </si>
  <si>
    <t>482.003 · Dboro - GCR</t>
  </si>
  <si>
    <t>482.01 · KFG - Base</t>
  </si>
  <si>
    <t>482.02 · Public - Base</t>
  </si>
  <si>
    <t>482.03 · Dboro - Base</t>
  </si>
  <si>
    <t>482 · Commercial Tax Exempt - Other</t>
  </si>
  <si>
    <t>Total 482 · Commercial Tax Exempt</t>
  </si>
  <si>
    <t>483 · Farm Tap Customers</t>
  </si>
  <si>
    <t xml:space="preserve"> </t>
  </si>
  <si>
    <t>483.01 · Residential - FT</t>
  </si>
  <si>
    <t>483.02 · Commercial - FT</t>
  </si>
  <si>
    <t>483.03 · Commercial Tax Exempt - FT</t>
  </si>
  <si>
    <t>Total 483 · Farm Tap Customers</t>
  </si>
  <si>
    <t>Jan - Dec 19</t>
  </si>
  <si>
    <t>Jan - Dec 20</t>
  </si>
  <si>
    <t>Jan - Dec 21</t>
  </si>
  <si>
    <t>Jan - Dec 22</t>
  </si>
  <si>
    <t>Jan - Dec 23</t>
  </si>
  <si>
    <t>Jan - Dec 24</t>
  </si>
  <si>
    <t>487 · Penalties &amp; Forfeited Discounts</t>
  </si>
  <si>
    <t>488 · Miscellaneous Service Revenues</t>
  </si>
  <si>
    <t>488.11 · Reconnection Fee</t>
  </si>
  <si>
    <t>488.12 · Transfer Fee</t>
  </si>
  <si>
    <t>488.14 · Damaged  Meter Fee</t>
  </si>
  <si>
    <t>488.3 · Reimbursed Expenses - Income</t>
  </si>
  <si>
    <t>488.4 · Service Charges</t>
  </si>
  <si>
    <t>488.6 · Relocate Meter Chg</t>
  </si>
  <si>
    <t>488.7 · NSF</t>
  </si>
  <si>
    <t>488.8 · Connection Fee</t>
  </si>
  <si>
    <t>Total 488 · Miscellaneous Service Revenues</t>
  </si>
  <si>
    <t>test year total</t>
  </si>
  <si>
    <t>Administrative and General Expenses</t>
  </si>
  <si>
    <t>427 · Interest on Long-Term Debt</t>
  </si>
  <si>
    <t>427.1 · Interest on SBA Loan</t>
  </si>
  <si>
    <t>427.10 · Interest on 2015 F350 Loan</t>
  </si>
  <si>
    <t>427.11 · Int Exp- CTB 2015 Tacoma</t>
  </si>
  <si>
    <t>427.12 · Int Exp- CTB SBA #3</t>
  </si>
  <si>
    <t>427.13 · Int Exp-2016 Tacoma Access</t>
  </si>
  <si>
    <t>427.15 · Int Exp-CTB ( 2017 Tacoma)</t>
  </si>
  <si>
    <t>427.16 · INT EXP- 2018 CHEVY 2500 HD</t>
  </si>
  <si>
    <t>427.17 · INT EXP-2019 TACOMA</t>
  </si>
  <si>
    <t>427.18 · INT EXP-2019 TUNDRA</t>
  </si>
  <si>
    <t>427.2 · Interest on USDA Loan #1</t>
  </si>
  <si>
    <t>427.21 · Int Exp-CTB 20 TACOMA ACCESS</t>
  </si>
  <si>
    <t>427.23 · Int Exp-CTB 20 Tacoma ACAB/SR5</t>
  </si>
  <si>
    <t>427.24 · Int Exp-CTB on Vermeer Hydro Ex</t>
  </si>
  <si>
    <t>427.25 · Interest Exp-2018 Chevy (Auto)</t>
  </si>
  <si>
    <t>427.26 · Int Exp-2019 Toyota Tacoma SR5</t>
  </si>
  <si>
    <t>427.27 · Int Exp-2021 Tacoma Access Loan</t>
  </si>
  <si>
    <t>427.28 · INT EXP-2022 TOYOTA TACOMA</t>
  </si>
  <si>
    <t>427.3 · Interest on USDA Loan #2</t>
  </si>
  <si>
    <t>427.30 · 2022 Toyota Tacoma-CTB Loan</t>
  </si>
  <si>
    <t>427.31 · Int Exp- 2023 Toyota Tundra</t>
  </si>
  <si>
    <t>427.8 · Interest on SBA Loan #2</t>
  </si>
  <si>
    <t>427.9 · Interest on Silverado Loan</t>
  </si>
  <si>
    <t>427 · Interest on Long-Term Debt - Other</t>
  </si>
  <si>
    <t>Total 427 · Interest on Long-Term Debt</t>
  </si>
  <si>
    <t>admin and general</t>
  </si>
  <si>
    <t>431 · Other Interest Expense</t>
  </si>
  <si>
    <t>768 · Contract Labor</t>
  </si>
  <si>
    <t>918 · ADMINISTRATIVE &amp; GENERAL EXP</t>
  </si>
  <si>
    <t>919 · ADMIN &amp; GEN OPERATION</t>
  </si>
  <si>
    <t>920 · Admin &amp; General Salaries</t>
  </si>
  <si>
    <t>920.2 · Payroll Administration Expenses</t>
  </si>
  <si>
    <t>Total 920 · Admin &amp; General Salaries</t>
  </si>
  <si>
    <t>921 · Office Supplies and Expenses</t>
  </si>
  <si>
    <t>921.1 · Office Equipment</t>
  </si>
  <si>
    <t>921.10 · Meals and Entertainment</t>
  </si>
  <si>
    <t>921.11 · Travel</t>
  </si>
  <si>
    <t>921.12 · Credit Cd Charges</t>
  </si>
  <si>
    <t>921.2 · Office Supplies &amp; Expense</t>
  </si>
  <si>
    <t>921.3 · Bank Service Charges</t>
  </si>
  <si>
    <t>921.4 · Computer Software</t>
  </si>
  <si>
    <t>921.5 · Cleaning/Janitorial</t>
  </si>
  <si>
    <t>921.7 · Dues and Subscriptions</t>
  </si>
  <si>
    <t>921.8 · Telephone and Fax</t>
  </si>
  <si>
    <t>921.9 · Utilities</t>
  </si>
  <si>
    <t>921 · Office Supplies and Expenses - Other</t>
  </si>
  <si>
    <t>Total 921 · Office Supplies and Expenses</t>
  </si>
  <si>
    <t>923 · Outside Services Employed</t>
  </si>
  <si>
    <t>923.2 · Outside Services - Accounting</t>
  </si>
  <si>
    <t>923.3 · Outside Services - Engineering</t>
  </si>
  <si>
    <t>923.4 · Outside Services - Legal</t>
  </si>
  <si>
    <t>923.6 · Outside Serv-Go Hire Employment</t>
  </si>
  <si>
    <t>923.7 · Outside Serv-Consulting</t>
  </si>
  <si>
    <t>923 · Outside Services Employed - Other</t>
  </si>
  <si>
    <t>Total 923 · Outside Services Employed</t>
  </si>
  <si>
    <t>924 · Insurance</t>
  </si>
  <si>
    <t>924.1 · Auto Insurance</t>
  </si>
  <si>
    <t>924.10 · INSURANCE- FEES AND TAXES</t>
  </si>
  <si>
    <t>924.2 · General Liability Insurance</t>
  </si>
  <si>
    <t>924.3 · Life Insurance</t>
  </si>
  <si>
    <t>924.4 · Property Insurance</t>
  </si>
  <si>
    <t>924.5 · Worker's Compensation</t>
  </si>
  <si>
    <t>924.9 · EPL INSURANCE</t>
  </si>
  <si>
    <t>924.8 · Commercial Umbrella</t>
  </si>
  <si>
    <t>924 · Insurance - Other</t>
  </si>
  <si>
    <t>Total 924 · Insurance</t>
  </si>
  <si>
    <t>926 · Employee Pensions &amp; Benefits</t>
  </si>
  <si>
    <t>930.2 · Miscellaneous General Expenses</t>
  </si>
  <si>
    <t>930.21 · Reconciliation Discrepancies</t>
  </si>
  <si>
    <t>930.2 · Miscellaneous General Expenses - Other</t>
  </si>
  <si>
    <t>Total 930.2 · Miscellaneous General Expenses</t>
  </si>
  <si>
    <t>931 · Rents</t>
  </si>
  <si>
    <t>919 · ADMIN &amp; GEN OPERATION - Other</t>
  </si>
  <si>
    <t>Total 919 · ADMIN &amp; GEN OPERATION</t>
  </si>
  <si>
    <t>918 · ADMINISTRATIVE &amp; GENERAL EXP - Other</t>
  </si>
  <si>
    <t>Total 918 · ADMINISTRATIVE &amp; GENERAL EXP</t>
  </si>
  <si>
    <t>Admin and General Expense</t>
  </si>
  <si>
    <t>990 · PAYROLL</t>
  </si>
  <si>
    <t>Employer CO State Unemployment</t>
  </si>
  <si>
    <t>991 · Employee Wages</t>
  </si>
  <si>
    <t>992 · Employer Social Security</t>
  </si>
  <si>
    <t>993 · Employer Medicare</t>
  </si>
  <si>
    <t>994 · Employer FUTA</t>
  </si>
  <si>
    <t>995 · Employer KY State Unemployment</t>
  </si>
  <si>
    <t>996 · Garnishment</t>
  </si>
  <si>
    <t>990 · PAYROLL - Other</t>
  </si>
  <si>
    <t>Total 990 · PAYROLL</t>
  </si>
  <si>
    <t>Admin and General</t>
  </si>
  <si>
    <t>Test Year Total</t>
  </si>
  <si>
    <t>GR25 2024 numbers</t>
  </si>
  <si>
    <t>GR17 2016 numbers</t>
  </si>
  <si>
    <t>MCF</t>
  </si>
  <si>
    <t>Farm Taps</t>
  </si>
  <si>
    <t>Commercial</t>
  </si>
  <si>
    <t>Lg Coml</t>
  </si>
  <si>
    <t>Residential</t>
  </si>
  <si>
    <t>Resl</t>
  </si>
  <si>
    <t>LgComl</t>
  </si>
  <si>
    <t>Coml</t>
  </si>
  <si>
    <t>Total Sales</t>
  </si>
  <si>
    <t>lumped in with Residential on SAO in 2017</t>
  </si>
  <si>
    <t>all small Coml</t>
  </si>
  <si>
    <t>Exempt &amp; Not</t>
  </si>
  <si>
    <t>Income</t>
  </si>
  <si>
    <t>405 · Management Fee Income</t>
  </si>
  <si>
    <t>405.1 · Management Fee Income - Auxier</t>
  </si>
  <si>
    <t>405.3 · Management Fee Income- DLR</t>
  </si>
  <si>
    <t>Total 405 · Management Fee Income</t>
  </si>
  <si>
    <t>Interdepartmental</t>
  </si>
  <si>
    <t>419 · Interest Income</t>
  </si>
  <si>
    <t>Other Gas Revenues</t>
  </si>
  <si>
    <t>420 · Gain on Asset Sale/Disposition</t>
  </si>
  <si>
    <t>421 · Misc Nonoperating Income</t>
  </si>
  <si>
    <t>residential</t>
  </si>
  <si>
    <t>commercial</t>
  </si>
  <si>
    <t>485 · Sales-VMC</t>
  </si>
  <si>
    <t>48004 Tracker Adj to Sales</t>
  </si>
  <si>
    <t>penalties</t>
  </si>
  <si>
    <t>misc service revenues</t>
  </si>
  <si>
    <t>489 · Sales Tax Commission</t>
  </si>
  <si>
    <t>other</t>
  </si>
  <si>
    <t>490 · Other Income</t>
  </si>
  <si>
    <t>491 · Customer Charge</t>
  </si>
  <si>
    <t>496 · Non taxable Income</t>
  </si>
  <si>
    <t>Total Income</t>
  </si>
  <si>
    <t>Cost of Goods Sold</t>
  </si>
  <si>
    <t>800 · Gas Supply Expenses</t>
  </si>
  <si>
    <t>804 · Natural Gas  Purchases &amp; Transp</t>
  </si>
  <si>
    <t>804.1 · Gas Purch - Quality</t>
  </si>
  <si>
    <t>804.10 · Gas Purch-Hi Energy Gas</t>
  </si>
  <si>
    <t>804.11 · Gas Purch - Jefferson Gas</t>
  </si>
  <si>
    <t>804.12 · Gas Purch - Nytis Exploration</t>
  </si>
  <si>
    <t>804.13 · Gas Purch - HTC Gas Company</t>
  </si>
  <si>
    <t>804.14 · Gas Purch - Interstate Natural</t>
  </si>
  <si>
    <t>804.15 · Transportation Expense-DLR</t>
  </si>
  <si>
    <t>804.16 · Southern Energy, LLC</t>
  </si>
  <si>
    <t>804.17 · Gas Purch - Spirit Energy</t>
  </si>
  <si>
    <t>804.18 · Alternative Capital Partners</t>
  </si>
  <si>
    <t>804.2 · Gas Purch - Columbia</t>
  </si>
  <si>
    <t>804.23 · AEI-KAARS DRILLING</t>
  </si>
  <si>
    <t>804.24 · Gas Purch-Diversified  Energy</t>
  </si>
  <si>
    <t>804.26 · EAST KENTUCKY MIDSTREAM</t>
  </si>
  <si>
    <t>804.27 · Sonny Hall Wells Partners</t>
  </si>
  <si>
    <t>804.3 · Gas Purch - KLC</t>
  </si>
  <si>
    <t>804.5 · Gas Purch - Slone Energy</t>
  </si>
  <si>
    <t>804.6 · Gas Purch - Tackett &amp; Sons</t>
  </si>
  <si>
    <t>804.9 · Gas Purch - Magnum Drilling</t>
  </si>
  <si>
    <t>804 · Natural Gas  Purchases &amp; Transp - Other</t>
  </si>
  <si>
    <t>Total 804 · Natural Gas  Purchases &amp; Transp</t>
  </si>
  <si>
    <t>Total 800 · Gas Supply Expenses</t>
  </si>
  <si>
    <t>Other Gas Supply Expenses</t>
  </si>
  <si>
    <t>Total COGS</t>
  </si>
  <si>
    <t>Gross Profit</t>
  </si>
  <si>
    <t>Expense</t>
  </si>
  <si>
    <t>408 · Taxes Other Than Income Taxes</t>
  </si>
  <si>
    <t>408.2 · Sales Tax</t>
  </si>
  <si>
    <t>408.21 · Penalty</t>
  </si>
  <si>
    <t>408.22 · Interest</t>
  </si>
  <si>
    <t>Total 408.2 · Sales Tax</t>
  </si>
  <si>
    <t>408.3 · Property Tax</t>
  </si>
  <si>
    <t>408.4 · Annual PSC Assessment</t>
  </si>
  <si>
    <t>408.5 · Public Service Company Assess</t>
  </si>
  <si>
    <t>408.6 · Business License Tax-Jackson</t>
  </si>
  <si>
    <t>408.7 · State Annual Filing Fee</t>
  </si>
  <si>
    <t>408.8 · NET PROFITS RET-CITY OF JACKSON</t>
  </si>
  <si>
    <t>408 · Taxes Other Than Income Taxes - Other and AUX</t>
  </si>
  <si>
    <t>aux</t>
  </si>
  <si>
    <t>Total 408 · Taxes Other Than Income Taxes</t>
  </si>
  <si>
    <t>Taxes other than income</t>
  </si>
  <si>
    <t>409 · Income Taxes</t>
  </si>
  <si>
    <t>409.3 · Other State Income Taxes</t>
  </si>
  <si>
    <t>409.4 · KY NONRESIDENT INCOME TAX WH</t>
  </si>
  <si>
    <t>409.5 · Penalty-Federal Return</t>
  </si>
  <si>
    <t>409 · Income Taxes - Other/federal</t>
  </si>
  <si>
    <t>Total 409 · Income Taxes</t>
  </si>
  <si>
    <t>Income taxes</t>
  </si>
  <si>
    <t>426 · Interest Exp - CTB (Line of Cr)</t>
  </si>
  <si>
    <t>806 · Gas Purch-Aei Kaars</t>
  </si>
  <si>
    <t>809 · Gas Purch-Cumberland Valley</t>
  </si>
  <si>
    <t>811 · Southern Energy</t>
  </si>
  <si>
    <t>849 · TRANSMISSION EXPENSES</t>
  </si>
  <si>
    <t>849.1 · OPERATION</t>
  </si>
  <si>
    <t>859 · Other Expenses</t>
  </si>
  <si>
    <t>Total 849.1 · OPERATION</t>
  </si>
  <si>
    <t>861 · MAINTENANCE</t>
  </si>
  <si>
    <t>865 · Maint of Meas &amp; Reg Station Equ</t>
  </si>
  <si>
    <t>867 · Maint of Other Equipment</t>
  </si>
  <si>
    <t>Total 861 · MAINTENANCE</t>
  </si>
  <si>
    <t>Total 849 · TRANSMISSION EXPENSES</t>
  </si>
  <si>
    <t>Transmission Expense</t>
  </si>
  <si>
    <t>870 · DISTRIBUTION EXPENSES</t>
  </si>
  <si>
    <t>871 · DISTRIBUTION OPERATION</t>
  </si>
  <si>
    <t>874 · Mains &amp; Services Expenses</t>
  </si>
  <si>
    <t>878 · Meter &amp; House Regulator Exp</t>
  </si>
  <si>
    <t>878.2 · Uniforms</t>
  </si>
  <si>
    <t>878 · Meter &amp; House Regulator Exp - Other</t>
  </si>
  <si>
    <t>Total 878 · Meter &amp; House Regulator Exp</t>
  </si>
  <si>
    <t>880 · Other Expenses</t>
  </si>
  <si>
    <t>880.1 · DOT Physicals</t>
  </si>
  <si>
    <t>880.10 · DIMP  Program</t>
  </si>
  <si>
    <t>880.11 · PSC 811 Fines</t>
  </si>
  <si>
    <t>880.2 · Travel for Tech Training</t>
  </si>
  <si>
    <t>880.3 · Drug Testing</t>
  </si>
  <si>
    <t>880.4 · Licenses &amp; Permits</t>
  </si>
  <si>
    <t>880.5 · Travel for Members</t>
  </si>
  <si>
    <t>880.6 · Training</t>
  </si>
  <si>
    <t>880.8 · Easements</t>
  </si>
  <si>
    <t>880 · Other Expenses - Other</t>
  </si>
  <si>
    <t>Total 880 · Other Expenses</t>
  </si>
  <si>
    <t>871 · DISTRIBUTION OPERATION - Other</t>
  </si>
  <si>
    <t>Total 871 · DISTRIBUTION OPERATION</t>
  </si>
  <si>
    <t>884 · DISTRIBUTION MAINTENANCE</t>
  </si>
  <si>
    <t>893 · Maint of Meters &amp; House Reg</t>
  </si>
  <si>
    <t>894 · Maint of Other Equipment</t>
  </si>
  <si>
    <t>884 · DISTRIBUTION MAINTENANCE - Other</t>
  </si>
  <si>
    <t>Total 884 · DISTRIBUTION MAINTENANCE</t>
  </si>
  <si>
    <t>Total 870 · DISTRIBUTION EXPENSES</t>
  </si>
  <si>
    <t>Distribution Expense</t>
  </si>
  <si>
    <t>900 · CUSTOMER ACCOUNTS EXPENSES</t>
  </si>
  <si>
    <t>900.1 · CUSTOMER ACCT OPERATION</t>
  </si>
  <si>
    <t>904 · Uncollectible Accounts</t>
  </si>
  <si>
    <t>905 · Misc Customer Accounts Exp</t>
  </si>
  <si>
    <t>905.2 · Postage and Delivery</t>
  </si>
  <si>
    <t>905.3 · Printing and Reproduction</t>
  </si>
  <si>
    <t>905 · Misc Customer Accounts Exp - Other</t>
  </si>
  <si>
    <t>Total 905 · Misc Customer Accounts Exp</t>
  </si>
  <si>
    <t>Total 900.1 · CUSTOMER ACCT OPERATION</t>
  </si>
  <si>
    <t>Total 900 · CUSTOMER ACCOUNTS EXPENSES</t>
  </si>
  <si>
    <t>Customer Accounts Expense</t>
  </si>
  <si>
    <t>906 · CUSTOMER SERVICE &amp; INFORMATION</t>
  </si>
  <si>
    <t>906.1 · C S &amp; I OPERATION</t>
  </si>
  <si>
    <t>909 · Inform &amp; Instruc Advert Exp</t>
  </si>
  <si>
    <t>909.1 · Web Support</t>
  </si>
  <si>
    <t>909.2 · Public Awareness Exp</t>
  </si>
  <si>
    <t>909 · Inform &amp; Instruc Advert Exp - Other</t>
  </si>
  <si>
    <t>Total 909 · Inform &amp; Instruc Advert Exp</t>
  </si>
  <si>
    <t>910 · Misc Cust Serv &amp; Infor Exp</t>
  </si>
  <si>
    <t>Total 906.1 · C S &amp; I OPERATION</t>
  </si>
  <si>
    <t>Total 906 · CUSTOMER SERVICE &amp; INFORMATION</t>
  </si>
  <si>
    <t>Customer Service and Information Expense</t>
  </si>
  <si>
    <t>932 · MAINTENANCE OF GENERAL PLANT</t>
  </si>
  <si>
    <t>932.0 · Maint of General Plant - Garage</t>
  </si>
  <si>
    <t>932.1 · Repairs</t>
  </si>
  <si>
    <t>Building Repairs</t>
  </si>
  <si>
    <t>Computer Repairs</t>
  </si>
  <si>
    <t>Equipment Repairs</t>
  </si>
  <si>
    <t>Transportation Equipment</t>
  </si>
  <si>
    <t>Equipment Repairs - Other</t>
  </si>
  <si>
    <t>Total Equipment Repairs</t>
  </si>
  <si>
    <t>932.1 · Repairs - Other</t>
  </si>
  <si>
    <t>Total 932.1 · Repairs</t>
  </si>
  <si>
    <t>932.2 · Depreciation Expense</t>
  </si>
  <si>
    <t>Depreciation- CC</t>
  </si>
  <si>
    <t>Depreciation Exp-Shop/Garage Eq</t>
  </si>
  <si>
    <t>Depreciation Exp - BTU</t>
  </si>
  <si>
    <t>Depreciation Exp - Gen Plant</t>
  </si>
  <si>
    <t>Depreciation Expense - Alert FT</t>
  </si>
  <si>
    <t>Depreciation Expense - BG</t>
  </si>
  <si>
    <t>Depreciation Expense - EKU</t>
  </si>
  <si>
    <t>Depreciation Expense - MLG</t>
  </si>
  <si>
    <t>Depreciation Expense - PG</t>
  </si>
  <si>
    <t>Depreciation Expense - Vehicles</t>
  </si>
  <si>
    <t>932.2K · Deprec- PGUP</t>
  </si>
  <si>
    <t>932.2L · Deprec-Blaine</t>
  </si>
  <si>
    <t>932.2M · DEPR DGUP</t>
  </si>
  <si>
    <t>Total 932.2 · Depreciation Expense</t>
  </si>
  <si>
    <t>Depreciation Expense</t>
  </si>
  <si>
    <t>932.3 · Tools &amp; Equipment</t>
  </si>
  <si>
    <t>932.4 · Transportaion Equipment Fuel</t>
  </si>
  <si>
    <t>935 · Amortization Expense</t>
  </si>
  <si>
    <t>Amortization Expense</t>
  </si>
  <si>
    <t>Total 932 · MAINTENANCE OF GENERAL PLANT</t>
  </si>
  <si>
    <t>933 · Transportation Exp</t>
  </si>
  <si>
    <t>981 · Interest Expense-Meter Deposit</t>
  </si>
  <si>
    <t>999 · Loss on Sale of Assets</t>
  </si>
  <si>
    <t>Total Expense</t>
  </si>
  <si>
    <t>Net Income</t>
  </si>
  <si>
    <t>kfg net income</t>
  </si>
  <si>
    <t>net kfg</t>
  </si>
  <si>
    <t>auxier net income</t>
  </si>
  <si>
    <t>net aux</t>
  </si>
  <si>
    <t>combined net income</t>
  </si>
  <si>
    <t>total</t>
  </si>
  <si>
    <t>payroll plus benefits</t>
  </si>
  <si>
    <t>before any accounting adjustments made</t>
  </si>
  <si>
    <t>total test year</t>
  </si>
  <si>
    <t>Do we need the outside services and pension/benefits portion?</t>
  </si>
  <si>
    <t>Schedule of Adjusted Operations - Gas Utility</t>
  </si>
  <si>
    <t>TYE 12/31/2024</t>
  </si>
  <si>
    <t>Operating Revenues</t>
  </si>
  <si>
    <t>Test Year</t>
  </si>
  <si>
    <t>Adjustments</t>
  </si>
  <si>
    <t>Reference</t>
  </si>
  <si>
    <t>Pro Forma</t>
  </si>
  <si>
    <t>Sales of Gas</t>
  </si>
  <si>
    <t>Commercial and Industrial</t>
  </si>
  <si>
    <t>Sales for Resale</t>
  </si>
  <si>
    <t>Total Sales of Gas</t>
  </si>
  <si>
    <t>Other Operating Revenues</t>
  </si>
  <si>
    <t>Forfeited Discounts</t>
  </si>
  <si>
    <t>Misc. Service Revenues</t>
  </si>
  <si>
    <t>Rent from Gas Property</t>
  </si>
  <si>
    <t>Total Operating Revenues</t>
  </si>
  <si>
    <t>Operating Expenses</t>
  </si>
  <si>
    <t>Manufactured Gas Production Expenses</t>
  </si>
  <si>
    <t>Natural Gas Productino Expenses</t>
  </si>
  <si>
    <t>Exploration and Development Expenses</t>
  </si>
  <si>
    <t>Storage Expenses</t>
  </si>
  <si>
    <t>Transmission Expenses</t>
  </si>
  <si>
    <t>Distribution Expenses</t>
  </si>
  <si>
    <t>Customer Accounts Expenses</t>
  </si>
  <si>
    <t>Customer Service and Informational Expenses</t>
  </si>
  <si>
    <t>Total Operation and Maintenance Expenses</t>
  </si>
  <si>
    <t>Taxes Other Than Income</t>
  </si>
  <si>
    <t>Income Tax Expense</t>
  </si>
  <si>
    <t>Total Operating Expense</t>
  </si>
  <si>
    <t>Utility Operating Income</t>
  </si>
  <si>
    <t>Pro Forma Operating Expenses Before Income Taxes</t>
  </si>
  <si>
    <t>Operating Ratio</t>
  </si>
  <si>
    <t>Sub-Total</t>
  </si>
  <si>
    <t>Less:</t>
  </si>
  <si>
    <t>Net Income Allowable</t>
  </si>
  <si>
    <t>Add:</t>
  </si>
  <si>
    <t>Provision for State and Federal Income Taxes</t>
  </si>
  <si>
    <t>Interest Expense</t>
  </si>
  <si>
    <t>Pro Forma Operating Expenses Before Taxes</t>
  </si>
  <si>
    <t>Cost of Natural Gas</t>
  </si>
  <si>
    <t>Total Revenue Requirement</t>
  </si>
  <si>
    <t xml:space="preserve">Less:   </t>
  </si>
  <si>
    <t>Other Operating Revenue</t>
  </si>
  <si>
    <t>Non-operating revenue</t>
  </si>
  <si>
    <t>Interest Income</t>
  </si>
  <si>
    <t>Total Revenue Required from Rates for Service</t>
  </si>
  <si>
    <t>Revenue from Sales at Present Rates</t>
  </si>
  <si>
    <t>Required Revenue Increase</t>
  </si>
  <si>
    <t>Required Revenue Increase stated as a Percentage of Revenue at Present Rates</t>
  </si>
  <si>
    <t xml:space="preserve">Operating Revenues &amp; Op Expense </t>
  </si>
  <si>
    <t>General &amp; Administrative Expenses</t>
  </si>
  <si>
    <t>LIHEAP agencies &amp; amts</t>
  </si>
  <si>
    <t>Non-Ops Revenue</t>
  </si>
  <si>
    <t>Residential Revenue</t>
  </si>
  <si>
    <t>Insurance cost</t>
  </si>
  <si>
    <t>Insurance renewal quotes mid-Dec, don't exactly match Fiscal year expenses</t>
  </si>
  <si>
    <t>Payroll</t>
  </si>
  <si>
    <t>Uncollectible / Bad Debt Write-offs</t>
  </si>
  <si>
    <t xml:space="preserve">  ^ combo</t>
  </si>
  <si>
    <t>Labor capitalized to PRP</t>
  </si>
  <si>
    <t>Meter</t>
  </si>
  <si>
    <t>Meters</t>
  </si>
  <si>
    <t>Live Pressure Recorder</t>
  </si>
  <si>
    <t>Large Volume Meters</t>
  </si>
  <si>
    <t>AC800 Meter</t>
  </si>
  <si>
    <t>Generator</t>
  </si>
  <si>
    <t>10-AL425 ,2 AC630 Meters</t>
  </si>
  <si>
    <t>Meter Sets</t>
  </si>
  <si>
    <t>Regulators</t>
  </si>
  <si>
    <t>2023 Toyota Tundra</t>
  </si>
  <si>
    <t>2023 Tacoma Double Cab</t>
  </si>
  <si>
    <t>Grounding Rods - Leak Locator</t>
  </si>
  <si>
    <t>Socket Fusion Machine</t>
  </si>
  <si>
    <t>TOTAL</t>
  </si>
  <si>
    <t>Capital Expenditures</t>
  </si>
  <si>
    <t>Boring mole rebuild</t>
  </si>
  <si>
    <t>2 Amer AC800 meters</t>
  </si>
  <si>
    <t>Other</t>
  </si>
  <si>
    <t>Truck toolbox</t>
  </si>
  <si>
    <t>Cameras for trucks</t>
  </si>
  <si>
    <t>Website re-development</t>
  </si>
  <si>
    <t xml:space="preserve">PRP </t>
  </si>
  <si>
    <t>Electrofusion Machine</t>
  </si>
  <si>
    <t>Odorant storage tank w/mercaptan</t>
  </si>
  <si>
    <t>Printer - copier</t>
  </si>
  <si>
    <t xml:space="preserve">     apart from direct pipeline replacements in PRP</t>
  </si>
  <si>
    <t>Sales Tax Pen</t>
  </si>
  <si>
    <t>Property Tax</t>
  </si>
  <si>
    <t>Annual PSC Assessment</t>
  </si>
  <si>
    <t>Public Service Co Assessment</t>
  </si>
  <si>
    <t>State Annual Filing Fee</t>
  </si>
  <si>
    <t>Net Profits Ret-City of Jackson</t>
  </si>
  <si>
    <t>Business License Tax-Jackson</t>
  </si>
  <si>
    <t>Excise Tax</t>
  </si>
  <si>
    <t>Outside Services</t>
  </si>
  <si>
    <t>Tax accounting CPA</t>
  </si>
  <si>
    <t>Engineering</t>
  </si>
  <si>
    <t xml:space="preserve">  Steven Shute, mgmt-admin-engg-ops</t>
  </si>
  <si>
    <t xml:space="preserve">  SEMCO, gas cost filings</t>
  </si>
  <si>
    <t>Legal</t>
  </si>
  <si>
    <t xml:space="preserve">  Honaker, Commission</t>
  </si>
  <si>
    <t>Pinedale Natl Gas, ops consulting</t>
  </si>
  <si>
    <t xml:space="preserve">  Kopka, lawsuit defense</t>
  </si>
  <si>
    <t>PE fusion set</t>
  </si>
  <si>
    <t>Drilling machine, arm bearings</t>
  </si>
  <si>
    <t>Meters AC250</t>
  </si>
  <si>
    <t>Revenue Reqmt Calc-Operating Ratio Method</t>
  </si>
  <si>
    <t>Gas Cost Recovery</t>
  </si>
  <si>
    <t>Phone</t>
  </si>
  <si>
    <t>Gas Lost &amp; Unaccounted-for</t>
  </si>
  <si>
    <t>GCA Refunds*</t>
  </si>
  <si>
    <t>*PSC Order in Case No. 2023-00427 to refund GCA charges</t>
  </si>
  <si>
    <t>Heating Iron for butt fusion</t>
  </si>
  <si>
    <t>Ultrasonic meter for KWV TD4</t>
  </si>
  <si>
    <t>EFM for TD3 meter</t>
  </si>
  <si>
    <t>Acct 768 · Contract Labor</t>
  </si>
  <si>
    <t>Billing specialist</t>
  </si>
  <si>
    <t>Acct 923 - Outside Services</t>
  </si>
  <si>
    <t>d$</t>
  </si>
  <si>
    <t>ARF exp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</si>
</sst>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_(* #,##0_);_(* \(#,##0\);_(* &quot;-&quot;??_);_(@_)"/>
    <numFmt numFmtId="167" formatCode="#,##0.00;\-#,##0.00"/>
    <numFmt numFmtId="168" formatCode="#,##0.000000000000_);\(#,##0.000000000000\)"/>
    <numFmt numFmtId="169" formatCode="&quot;$&quot;#,##0.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8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1" applyNumberFormat="0" applyFill="0" applyAlignment="0" applyProtection="0"/>
    <xf numFmtId="0" fontId="2" fillId="0" borderId="2" applyNumberFormat="0" applyFill="0" applyAlignment="0" applyProtection="0"/>
  </cellStyleXfs>
  <cellXfs count="93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164" fontId="0" fillId="0" borderId="0" xfId="2" applyNumberFormat="1" applyFont="1"/>
    <xf numFmtId="164" fontId="2" fillId="0" borderId="0" xfId="0" applyNumberFormat="1" applyFont="1"/>
    <xf numFmtId="0" fontId="3" fillId="0" borderId="0" xfId="0" applyFont="1"/>
    <xf numFmtId="0" fontId="4" fillId="3" borderId="0" xfId="0" applyFont="1" applyFill="1"/>
    <xf numFmtId="164" fontId="0" fillId="3" borderId="0" xfId="2" applyNumberFormat="1" applyFont="1" applyFill="1"/>
    <xf numFmtId="165" fontId="3" fillId="0" borderId="0" xfId="3" applyNumberFormat="1" applyFont="1"/>
    <xf numFmtId="0" fontId="5" fillId="2" borderId="1" xfId="4" applyFill="1" applyAlignment="1">
      <alignment horizontal="center" vertical="top"/>
    </xf>
    <xf numFmtId="44" fontId="5" fillId="2" borderId="1" xfId="4" applyNumberFormat="1" applyFill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43" fontId="0" fillId="0" borderId="0" xfId="0" applyNumberFormat="1" applyAlignment="1">
      <alignment horizontal="center" vertical="top"/>
    </xf>
    <xf numFmtId="0" fontId="2" fillId="0" borderId="2" xfId="5" applyAlignment="1">
      <alignment horizontal="center" vertical="top"/>
    </xf>
    <xf numFmtId="44" fontId="2" fillId="0" borderId="2" xfId="5" applyNumberFormat="1" applyAlignment="1">
      <alignment horizontal="center" vertical="top"/>
    </xf>
    <xf numFmtId="44" fontId="0" fillId="0" borderId="0" xfId="0" applyNumberFormat="1"/>
    <xf numFmtId="1" fontId="3" fillId="0" borderId="0" xfId="0" applyNumberFormat="1" applyFont="1" applyAlignment="1">
      <alignment horizontal="center" vertical="top"/>
    </xf>
    <xf numFmtId="166" fontId="3" fillId="0" borderId="0" xfId="0" applyNumberFormat="1" applyFont="1" applyAlignment="1">
      <alignment horizontal="center" vertical="top"/>
    </xf>
    <xf numFmtId="0" fontId="6" fillId="2" borderId="0" xfId="0" applyFont="1" applyFill="1"/>
    <xf numFmtId="0" fontId="7" fillId="2" borderId="0" xfId="0" applyFont="1" applyFill="1" applyAlignment="1">
      <alignment horizontal="center"/>
    </xf>
    <xf numFmtId="0" fontId="8" fillId="0" borderId="0" xfId="0" applyFont="1"/>
    <xf numFmtId="0" fontId="7" fillId="0" borderId="0" xfId="0" applyFont="1"/>
    <xf numFmtId="3" fontId="8" fillId="0" borderId="0" xfId="0" applyNumberFormat="1" applyFont="1"/>
    <xf numFmtId="0" fontId="9" fillId="0" borderId="0" xfId="0" applyFont="1"/>
    <xf numFmtId="165" fontId="9" fillId="0" borderId="0" xfId="3" applyNumberFormat="1" applyFont="1"/>
    <xf numFmtId="5" fontId="10" fillId="0" borderId="0" xfId="0" applyNumberFormat="1" applyFont="1"/>
    <xf numFmtId="5" fontId="8" fillId="0" borderId="0" xfId="0" applyNumberFormat="1" applyFont="1"/>
    <xf numFmtId="49" fontId="11" fillId="0" borderId="0" xfId="0" applyNumberFormat="1" applyFont="1"/>
    <xf numFmtId="49" fontId="12" fillId="0" borderId="0" xfId="0" applyNumberFormat="1" applyFont="1"/>
    <xf numFmtId="167" fontId="13" fillId="0" borderId="0" xfId="0" applyNumberFormat="1" applyFont="1"/>
    <xf numFmtId="49" fontId="14" fillId="0" borderId="0" xfId="0" applyNumberFormat="1" applyFont="1"/>
    <xf numFmtId="167" fontId="15" fillId="0" borderId="0" xfId="0" applyNumberFormat="1" applyFont="1"/>
    <xf numFmtId="167" fontId="15" fillId="0" borderId="3" xfId="0" applyNumberFormat="1" applyFont="1" applyBorder="1"/>
    <xf numFmtId="49" fontId="0" fillId="0" borderId="0" xfId="0" applyNumberFormat="1" applyAlignment="1">
      <alignment horizontal="centerContinuous"/>
    </xf>
    <xf numFmtId="49" fontId="0" fillId="0" borderId="4" xfId="0" applyNumberFormat="1" applyBorder="1" applyAlignment="1">
      <alignment horizontal="centerContinuous"/>
    </xf>
    <xf numFmtId="49" fontId="0" fillId="0" borderId="0" xfId="0" applyNumberFormat="1"/>
    <xf numFmtId="49" fontId="0" fillId="0" borderId="0" xfId="0" applyNumberFormat="1" applyAlignment="1">
      <alignment horizontal="left"/>
    </xf>
    <xf numFmtId="49" fontId="14" fillId="0" borderId="5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15" fillId="0" borderId="0" xfId="0" applyNumberFormat="1" applyFont="1"/>
    <xf numFmtId="39" fontId="0" fillId="0" borderId="0" xfId="0" applyNumberFormat="1"/>
    <xf numFmtId="167" fontId="15" fillId="0" borderId="6" xfId="0" applyNumberFormat="1" applyFont="1" applyBorder="1"/>
    <xf numFmtId="0" fontId="0" fillId="2" borderId="0" xfId="0" applyFill="1"/>
    <xf numFmtId="166" fontId="0" fillId="0" borderId="0" xfId="2" applyNumberFormat="1" applyFont="1"/>
    <xf numFmtId="166" fontId="2" fillId="0" borderId="0" xfId="2" applyNumberFormat="1" applyFont="1"/>
    <xf numFmtId="166" fontId="0" fillId="0" borderId="7" xfId="2" applyNumberFormat="1" applyFont="1" applyBorder="1"/>
    <xf numFmtId="167" fontId="13" fillId="0" borderId="7" xfId="0" applyNumberFormat="1" applyFont="1" applyBorder="1"/>
    <xf numFmtId="167" fontId="2" fillId="0" borderId="0" xfId="0" applyNumberFormat="1" applyFont="1"/>
    <xf numFmtId="49" fontId="14" fillId="0" borderId="0" xfId="0" applyNumberFormat="1" applyFont="1" applyAlignment="1">
      <alignment horizontal="center"/>
    </xf>
    <xf numFmtId="0" fontId="0" fillId="4" borderId="0" xfId="0" applyFill="1"/>
    <xf numFmtId="167" fontId="15" fillId="0" borderId="8" xfId="0" applyNumberFormat="1" applyFont="1" applyBorder="1"/>
    <xf numFmtId="0" fontId="14" fillId="0" borderId="0" xfId="0" applyFont="1"/>
    <xf numFmtId="167" fontId="14" fillId="0" borderId="9" xfId="0" applyNumberFormat="1" applyFont="1" applyBorder="1"/>
    <xf numFmtId="167" fontId="14" fillId="0" borderId="0" xfId="0" applyNumberFormat="1" applyFont="1"/>
    <xf numFmtId="167" fontId="0" fillId="0" borderId="0" xfId="0" applyNumberFormat="1"/>
    <xf numFmtId="0" fontId="14" fillId="0" borderId="10" xfId="0" applyFont="1" applyBorder="1"/>
    <xf numFmtId="4" fontId="0" fillId="0" borderId="11" xfId="0" applyNumberFormat="1" applyBorder="1"/>
    <xf numFmtId="0" fontId="0" fillId="0" borderId="11" xfId="0" applyBorder="1"/>
    <xf numFmtId="0" fontId="0" fillId="0" borderId="12" xfId="0" applyBorder="1"/>
    <xf numFmtId="0" fontId="14" fillId="0" borderId="13" xfId="0" applyFont="1" applyBorder="1"/>
    <xf numFmtId="4" fontId="0" fillId="0" borderId="0" xfId="0" applyNumberFormat="1"/>
    <xf numFmtId="0" fontId="0" fillId="0" borderId="14" xfId="0" applyBorder="1"/>
    <xf numFmtId="0" fontId="14" fillId="0" borderId="15" xfId="0" applyFont="1" applyBorder="1"/>
    <xf numFmtId="4" fontId="0" fillId="0" borderId="7" xfId="0" applyNumberFormat="1" applyBorder="1"/>
    <xf numFmtId="0" fontId="0" fillId="0" borderId="7" xfId="0" applyBorder="1"/>
    <xf numFmtId="0" fontId="0" fillId="0" borderId="16" xfId="0" applyBorder="1"/>
    <xf numFmtId="168" fontId="0" fillId="0" borderId="0" xfId="0" applyNumberFormat="1"/>
    <xf numFmtId="0" fontId="0" fillId="0" borderId="0" xfId="0" applyAlignment="1">
      <alignment horizontal="left"/>
    </xf>
    <xf numFmtId="0" fontId="16" fillId="0" borderId="0" xfId="0" applyFont="1"/>
    <xf numFmtId="169" fontId="0" fillId="0" borderId="0" xfId="0" applyNumberFormat="1"/>
    <xf numFmtId="169" fontId="0" fillId="0" borderId="7" xfId="0" applyNumberFormat="1" applyBorder="1"/>
    <xf numFmtId="169" fontId="0" fillId="0" borderId="17" xfId="0" applyNumberFormat="1" applyBorder="1"/>
    <xf numFmtId="2" fontId="0" fillId="0" borderId="0" xfId="0" applyNumberFormat="1"/>
    <xf numFmtId="10" fontId="0" fillId="0" borderId="0" xfId="0" applyNumberFormat="1"/>
    <xf numFmtId="0" fontId="7" fillId="2" borderId="0" xfId="0" applyFont="1" applyFill="1"/>
    <xf numFmtId="44" fontId="0" fillId="2" borderId="0" xfId="0" applyNumberFormat="1" applyFill="1"/>
    <xf numFmtId="164" fontId="0" fillId="0" borderId="0" xfId="2" applyNumberFormat="1" applyFont="1" applyFill="1"/>
    <xf numFmtId="164" fontId="0" fillId="0" borderId="0" xfId="2" applyNumberFormat="1" applyFont="1" applyFill="1" applyAlignment="1">
      <alignment horizontal="center"/>
    </xf>
    <xf numFmtId="164" fontId="8" fillId="0" borderId="0" xfId="1" applyNumberFormat="1" applyFont="1"/>
    <xf numFmtId="0" fontId="17" fillId="2" borderId="0" xfId="0" applyFont="1" applyFill="1"/>
    <xf numFmtId="164" fontId="7" fillId="0" borderId="0" xfId="1" applyNumberFormat="1" applyFont="1"/>
    <xf numFmtId="0" fontId="2" fillId="0" borderId="0" xfId="0" applyFont="1" applyAlignment="1">
      <alignment horizontal="right"/>
    </xf>
    <xf numFmtId="0" fontId="18" fillId="2" borderId="0" xfId="0" applyFont="1" applyFill="1"/>
    <xf numFmtId="0" fontId="8" fillId="2" borderId="0" xfId="0" applyFont="1" applyFill="1"/>
    <xf numFmtId="0" fontId="8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49" fontId="19" fillId="2" borderId="0" xfId="0" applyNumberFormat="1" applyFont="1" applyFill="1"/>
    <xf numFmtId="0" fontId="6" fillId="0" borderId="0" xfId="0" applyFont="1" applyAlignment="1">
      <alignment horizontal="right"/>
    </xf>
    <xf numFmtId="164" fontId="8" fillId="0" borderId="0" xfId="0" applyNumberFormat="1" applyFont="1"/>
    <xf numFmtId="164" fontId="8" fillId="5" borderId="0" xfId="1" applyNumberFormat="1" applyFont="1" applyFill="1"/>
  </cellXfs>
  <cellStyles count="6">
    <cellStyle name="Comma" xfId="2" builtinId="3"/>
    <cellStyle name="Currency" xfId="1" builtinId="4"/>
    <cellStyle name="Heading 3" xfId="4" builtinId="18"/>
    <cellStyle name="Normal" xfId="0" builtinId="0"/>
    <cellStyle name="Percent" xfId="3" builtinId="5"/>
    <cellStyle name="Total" xfId="5" builtinId="25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dea76b1f25b7e8b2/Desktop/Steve/Kentucky/KFG%20Auxier%20combined%202019-2024%200820.xlsx" TargetMode="External"/><Relationship Id="rId1" Type="http://schemas.openxmlformats.org/officeDocument/2006/relationships/externalLinkPath" Target="https://d.docs.live.net/dea76b1f25b7e8b2/Desktop/Steve/Kentucky/KFG%20Auxier%20combined%202019-2024%2008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mbined aux-kfg"/>
      <sheetName val="Clean combined P&amp;Ls"/>
      <sheetName val="Delta vs KFG Rates"/>
      <sheetName val="ARF Model"/>
      <sheetName val="Known and measurable changes"/>
      <sheetName val="COSS"/>
      <sheetName val="GR25"/>
    </sheetNames>
    <sheetDataSet>
      <sheetData sheetId="0"/>
      <sheetData sheetId="1">
        <row r="7">
          <cell r="R7">
            <v>10000</v>
          </cell>
        </row>
        <row r="8">
          <cell r="R8">
            <v>122.37</v>
          </cell>
        </row>
        <row r="19">
          <cell r="R19">
            <v>1382151.08</v>
          </cell>
        </row>
        <row r="28">
          <cell r="R28">
            <v>1232109.3799999999</v>
          </cell>
        </row>
        <row r="37">
          <cell r="R37">
            <v>444111.51</v>
          </cell>
        </row>
        <row r="42">
          <cell r="R42">
            <v>230472</v>
          </cell>
        </row>
        <row r="45">
          <cell r="R45">
            <v>73284.03</v>
          </cell>
        </row>
        <row r="55">
          <cell r="R55">
            <v>42397</v>
          </cell>
        </row>
        <row r="56">
          <cell r="R56">
            <v>566.85</v>
          </cell>
        </row>
        <row r="57">
          <cell r="R57">
            <v>10415.99</v>
          </cell>
        </row>
        <row r="58">
          <cell r="R58">
            <v>737805</v>
          </cell>
        </row>
        <row r="86">
          <cell r="R86">
            <v>2233755.38</v>
          </cell>
        </row>
        <row r="102">
          <cell r="R102">
            <v>44903.86</v>
          </cell>
        </row>
        <row r="108">
          <cell r="R108">
            <v>30673</v>
          </cell>
        </row>
        <row r="134">
          <cell r="R134">
            <v>108076.4</v>
          </cell>
        </row>
        <row r="135">
          <cell r="R135">
            <v>406.38</v>
          </cell>
        </row>
        <row r="136">
          <cell r="R136">
            <v>53795.8</v>
          </cell>
        </row>
        <row r="148">
          <cell r="R148">
            <v>3723.71</v>
          </cell>
        </row>
        <row r="175">
          <cell r="R175">
            <v>94547.08</v>
          </cell>
        </row>
        <row r="185">
          <cell r="R185">
            <v>71423.399999999994</v>
          </cell>
        </row>
        <row r="195">
          <cell r="R195">
            <v>16051.61</v>
          </cell>
        </row>
        <row r="243">
          <cell r="R243">
            <v>967168.47</v>
          </cell>
        </row>
        <row r="245">
          <cell r="R245">
            <v>262.79000000000002</v>
          </cell>
        </row>
        <row r="254">
          <cell r="R254">
            <v>22690.62</v>
          </cell>
        </row>
        <row r="269">
          <cell r="R269">
            <v>257288</v>
          </cell>
        </row>
        <row r="270">
          <cell r="R270">
            <v>1420.84</v>
          </cell>
        </row>
        <row r="271">
          <cell r="R271">
            <v>54561.73</v>
          </cell>
        </row>
        <row r="272">
          <cell r="R272">
            <v>4808</v>
          </cell>
        </row>
        <row r="274">
          <cell r="R274">
            <v>4837.3900000000003</v>
          </cell>
        </row>
        <row r="275">
          <cell r="R275">
            <v>17086.75</v>
          </cell>
        </row>
        <row r="285">
          <cell r="R285">
            <v>700271.01</v>
          </cell>
        </row>
      </sheetData>
      <sheetData sheetId="2"/>
      <sheetData sheetId="3"/>
      <sheetData sheetId="4">
        <row r="3">
          <cell r="H3">
            <v>233000</v>
          </cell>
        </row>
        <row r="5">
          <cell r="H5">
            <v>21100</v>
          </cell>
        </row>
        <row r="7">
          <cell r="H7">
            <v>14600</v>
          </cell>
        </row>
        <row r="9">
          <cell r="H9">
            <v>10000</v>
          </cell>
        </row>
        <row r="11">
          <cell r="E11">
            <v>68500</v>
          </cell>
        </row>
        <row r="13">
          <cell r="H13">
            <v>5000</v>
          </cell>
        </row>
        <row r="15">
          <cell r="E15">
            <v>3000</v>
          </cell>
        </row>
        <row r="17">
          <cell r="H17">
            <v>30000</v>
          </cell>
        </row>
      </sheetData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E324AA-1FE1-4057-AAAB-66EDC4D4B949}">
  <dimension ref="A1:C31"/>
  <sheetViews>
    <sheetView tabSelected="1" workbookViewId="0"/>
  </sheetViews>
  <sheetFormatPr defaultRowHeight="14.6" x14ac:dyDescent="0.4"/>
  <cols>
    <col min="1" max="2" width="20.69140625" customWidth="1"/>
    <col min="3" max="3" width="14.69140625" customWidth="1"/>
    <col min="4" max="4" width="20.69140625" customWidth="1"/>
  </cols>
  <sheetData>
    <row r="1" spans="1:3" ht="18.45" x14ac:dyDescent="0.5">
      <c r="A1" s="82" t="s">
        <v>454</v>
      </c>
      <c r="B1" s="45"/>
    </row>
    <row r="3" spans="1:3" ht="15.9" x14ac:dyDescent="0.45">
      <c r="A3" s="77" t="s">
        <v>0</v>
      </c>
      <c r="B3" s="77" t="s">
        <v>1</v>
      </c>
      <c r="C3" s="77" t="s">
        <v>511</v>
      </c>
    </row>
    <row r="4" spans="1:3" ht="15.9" x14ac:dyDescent="0.45">
      <c r="A4" s="23" t="s">
        <v>2</v>
      </c>
      <c r="B4" s="23" t="s">
        <v>3</v>
      </c>
      <c r="C4" s="23" t="s">
        <v>4</v>
      </c>
    </row>
    <row r="5" spans="1:3" ht="15.9" x14ac:dyDescent="0.45">
      <c r="A5" s="23" t="s">
        <v>5</v>
      </c>
      <c r="B5" s="23" t="s">
        <v>6</v>
      </c>
      <c r="C5" s="23" t="s">
        <v>7</v>
      </c>
    </row>
    <row r="6" spans="1:3" ht="15.9" x14ac:dyDescent="0.45">
      <c r="A6" s="23" t="s">
        <v>8</v>
      </c>
      <c r="B6" s="23" t="s">
        <v>6</v>
      </c>
      <c r="C6" s="23" t="s">
        <v>9</v>
      </c>
    </row>
    <row r="7" spans="1:3" ht="15.9" x14ac:dyDescent="0.45">
      <c r="A7" s="23" t="s">
        <v>10</v>
      </c>
      <c r="B7" s="23" t="s">
        <v>11</v>
      </c>
      <c r="C7" s="23" t="s">
        <v>12</v>
      </c>
    </row>
    <row r="8" spans="1:3" ht="15.9" x14ac:dyDescent="0.45">
      <c r="A8" s="23" t="s">
        <v>13</v>
      </c>
      <c r="B8" s="23" t="s">
        <v>3</v>
      </c>
      <c r="C8" s="23"/>
    </row>
    <row r="9" spans="1:3" ht="15.9" x14ac:dyDescent="0.45">
      <c r="A9" s="23" t="s">
        <v>14</v>
      </c>
      <c r="B9" s="23" t="s">
        <v>11</v>
      </c>
      <c r="C9" s="23" t="s">
        <v>12</v>
      </c>
    </row>
    <row r="10" spans="1:3" ht="15.9" x14ac:dyDescent="0.45">
      <c r="A10" s="23" t="s">
        <v>15</v>
      </c>
      <c r="B10" s="23" t="s">
        <v>6</v>
      </c>
      <c r="C10" s="23" t="s">
        <v>16</v>
      </c>
    </row>
    <row r="11" spans="1:3" ht="15.9" x14ac:dyDescent="0.45">
      <c r="A11" s="23" t="s">
        <v>17</v>
      </c>
      <c r="B11" s="23" t="s">
        <v>6</v>
      </c>
      <c r="C11" s="23" t="s">
        <v>18</v>
      </c>
    </row>
    <row r="12" spans="1:3" ht="15.9" x14ac:dyDescent="0.45">
      <c r="A12" s="23" t="s">
        <v>19</v>
      </c>
      <c r="B12" s="23" t="s">
        <v>20</v>
      </c>
      <c r="C12" s="23" t="s">
        <v>21</v>
      </c>
    </row>
    <row r="13" spans="1:3" ht="15.9" x14ac:dyDescent="0.45">
      <c r="A13" s="23" t="s">
        <v>22</v>
      </c>
      <c r="B13" s="23" t="s">
        <v>11</v>
      </c>
      <c r="C13" s="23" t="s">
        <v>12</v>
      </c>
    </row>
    <row r="14" spans="1:3" ht="15.9" x14ac:dyDescent="0.45">
      <c r="A14" s="23" t="s">
        <v>23</v>
      </c>
      <c r="B14" s="23" t="s">
        <v>6</v>
      </c>
      <c r="C14" s="23" t="s">
        <v>24</v>
      </c>
    </row>
    <row r="15" spans="1:3" ht="15.9" x14ac:dyDescent="0.45">
      <c r="A15" s="23" t="s">
        <v>25</v>
      </c>
      <c r="B15" s="23" t="s">
        <v>3</v>
      </c>
      <c r="C15" s="23" t="s">
        <v>26</v>
      </c>
    </row>
    <row r="16" spans="1:3" ht="15.9" x14ac:dyDescent="0.45">
      <c r="A16" s="23"/>
      <c r="B16" s="23"/>
      <c r="C16" s="23"/>
    </row>
    <row r="17" spans="1:3" ht="15.9" x14ac:dyDescent="0.45">
      <c r="A17" s="23"/>
      <c r="B17" s="23"/>
      <c r="C17" s="23"/>
    </row>
    <row r="18" spans="1:3" ht="15.9" x14ac:dyDescent="0.45">
      <c r="A18" s="22" t="s">
        <v>27</v>
      </c>
      <c r="B18" s="22" t="s">
        <v>28</v>
      </c>
      <c r="C18" s="22" t="s">
        <v>29</v>
      </c>
    </row>
    <row r="19" spans="1:3" ht="15.9" x14ac:dyDescent="0.45">
      <c r="A19" s="23">
        <v>2016</v>
      </c>
      <c r="B19" s="81">
        <v>28435.06</v>
      </c>
      <c r="C19" s="87">
        <v>215</v>
      </c>
    </row>
    <row r="20" spans="1:3" ht="15.9" x14ac:dyDescent="0.45">
      <c r="A20" s="23">
        <v>2017</v>
      </c>
      <c r="B20" s="81">
        <v>26554.7</v>
      </c>
      <c r="C20" s="87">
        <v>188</v>
      </c>
    </row>
    <row r="21" spans="1:3" ht="15.9" x14ac:dyDescent="0.45">
      <c r="A21" s="23">
        <v>2018</v>
      </c>
      <c r="B21" s="81">
        <v>25877.11</v>
      </c>
      <c r="C21" s="87">
        <v>188</v>
      </c>
    </row>
    <row r="22" spans="1:3" ht="15.9" x14ac:dyDescent="0.45">
      <c r="A22" s="23">
        <v>2019</v>
      </c>
      <c r="B22" s="81">
        <v>25023.69</v>
      </c>
      <c r="C22" s="87">
        <v>191</v>
      </c>
    </row>
    <row r="23" spans="1:3" ht="15.9" x14ac:dyDescent="0.45">
      <c r="A23" s="23">
        <v>2020</v>
      </c>
      <c r="B23" s="81">
        <v>35230.089999999997</v>
      </c>
      <c r="C23" s="87">
        <v>160</v>
      </c>
    </row>
    <row r="24" spans="1:3" ht="15.9" x14ac:dyDescent="0.45">
      <c r="A24" s="23">
        <v>2021</v>
      </c>
      <c r="B24" s="81">
        <v>6226.28</v>
      </c>
      <c r="C24" s="87">
        <v>34</v>
      </c>
    </row>
    <row r="25" spans="1:3" ht="15.9" x14ac:dyDescent="0.45">
      <c r="A25" s="23">
        <v>2022</v>
      </c>
      <c r="B25" s="81">
        <v>32268.240000000002</v>
      </c>
      <c r="C25" s="87">
        <v>161</v>
      </c>
    </row>
    <row r="26" spans="1:3" ht="15.9" x14ac:dyDescent="0.45">
      <c r="A26" s="23">
        <v>2023</v>
      </c>
      <c r="B26" s="81">
        <v>32311.73</v>
      </c>
      <c r="C26" s="87">
        <v>185</v>
      </c>
    </row>
    <row r="27" spans="1:3" ht="15.9" x14ac:dyDescent="0.45">
      <c r="A27" s="23">
        <v>2024</v>
      </c>
      <c r="B27" s="81">
        <f>19375.4+13856.14</f>
        <v>33231.54</v>
      </c>
      <c r="C27" s="87">
        <v>223</v>
      </c>
    </row>
    <row r="28" spans="1:3" ht="15.9" x14ac:dyDescent="0.45">
      <c r="A28" s="23"/>
      <c r="B28" s="81"/>
      <c r="C28" s="87"/>
    </row>
    <row r="29" spans="1:3" ht="15.9" x14ac:dyDescent="0.45">
      <c r="A29" s="23"/>
      <c r="B29" s="83">
        <f>SUM(B19:B27)</f>
        <v>245158.44</v>
      </c>
      <c r="C29" s="88">
        <f>SUM(C19:C27)</f>
        <v>1545</v>
      </c>
    </row>
    <row r="30" spans="1:3" ht="15.9" x14ac:dyDescent="0.45">
      <c r="A30" s="23"/>
      <c r="B30" s="23"/>
      <c r="C30" s="23"/>
    </row>
    <row r="31" spans="1:3" ht="15.9" x14ac:dyDescent="0.45">
      <c r="A31" s="23"/>
      <c r="B31" s="23"/>
      <c r="C31" s="23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E16E8-11B7-4D52-871E-567D8980C3C9}">
  <dimension ref="A1:R20"/>
  <sheetViews>
    <sheetView workbookViewId="0"/>
  </sheetViews>
  <sheetFormatPr defaultRowHeight="18" customHeight="1" x14ac:dyDescent="0.45"/>
  <cols>
    <col min="1" max="1" width="27.15234375" style="23" customWidth="1"/>
    <col min="2" max="2" width="10" style="23" customWidth="1"/>
    <col min="3" max="3" width="12.84375" style="23" customWidth="1"/>
    <col min="4" max="4" width="2.23046875" style="23" customWidth="1"/>
    <col min="5" max="5" width="12.84375" style="23" customWidth="1"/>
    <col min="6" max="6" width="2.23046875" style="23" customWidth="1"/>
    <col min="7" max="7" width="12.4609375" style="23" customWidth="1"/>
    <col min="8" max="8" width="9.23046875" style="23"/>
    <col min="9" max="9" width="12.4609375" style="23" customWidth="1"/>
    <col min="10" max="16384" width="9.23046875" style="23"/>
  </cols>
  <sheetData>
    <row r="1" spans="1:18" ht="18" customHeight="1" x14ac:dyDescent="0.5">
      <c r="A1" s="82" t="s">
        <v>497</v>
      </c>
      <c r="B1" s="45"/>
    </row>
    <row r="2" spans="1:18" ht="18" customHeight="1" x14ac:dyDescent="0.45">
      <c r="A2" s="26"/>
      <c r="D2"/>
      <c r="F2"/>
      <c r="G2"/>
      <c r="H2"/>
      <c r="I2"/>
      <c r="J2"/>
      <c r="K2"/>
    </row>
    <row r="3" spans="1:18" ht="18" customHeight="1" x14ac:dyDescent="0.45">
      <c r="A3" s="22" t="s">
        <v>520</v>
      </c>
      <c r="C3" s="22" t="s">
        <v>409</v>
      </c>
      <c r="D3"/>
      <c r="E3" s="22">
        <v>2024</v>
      </c>
      <c r="F3"/>
      <c r="G3" s="22">
        <v>2023</v>
      </c>
      <c r="H3"/>
      <c r="I3" s="22" t="s">
        <v>522</v>
      </c>
      <c r="J3" s="4"/>
      <c r="K3" s="4"/>
      <c r="L3"/>
      <c r="M3"/>
      <c r="N3" s="4"/>
      <c r="O3"/>
      <c r="P3"/>
      <c r="Q3" s="4"/>
      <c r="R3"/>
    </row>
    <row r="4" spans="1:18" ht="18" customHeight="1" x14ac:dyDescent="0.45">
      <c r="A4" s="23" t="s">
        <v>498</v>
      </c>
      <c r="B4" s="29"/>
      <c r="C4" s="81">
        <v>9107</v>
      </c>
      <c r="E4" s="81">
        <v>9107</v>
      </c>
      <c r="G4" s="81">
        <v>9102.2000000000007</v>
      </c>
      <c r="I4" s="81"/>
      <c r="J4"/>
      <c r="K4" s="4"/>
      <c r="L4"/>
      <c r="M4"/>
      <c r="N4"/>
      <c r="O4"/>
      <c r="P4"/>
      <c r="Q4"/>
      <c r="R4"/>
    </row>
    <row r="5" spans="1:18" ht="18" customHeight="1" x14ac:dyDescent="0.45">
      <c r="A5" s="23" t="s">
        <v>499</v>
      </c>
      <c r="B5"/>
      <c r="C5" s="81"/>
      <c r="E5" s="81"/>
      <c r="G5" s="81"/>
      <c r="I5" s="81"/>
      <c r="J5"/>
      <c r="K5"/>
      <c r="L5"/>
      <c r="M5"/>
      <c r="O5" s="81"/>
      <c r="P5" s="81"/>
      <c r="R5" s="4"/>
    </row>
    <row r="6" spans="1:18" ht="18" customHeight="1" x14ac:dyDescent="0.45">
      <c r="A6" s="23" t="s">
        <v>500</v>
      </c>
      <c r="B6"/>
      <c r="C6" s="81">
        <v>65000</v>
      </c>
      <c r="E6" s="81">
        <v>55000</v>
      </c>
      <c r="G6" s="81">
        <v>60000</v>
      </c>
      <c r="I6" s="81">
        <f>C6*0.6</f>
        <v>39000</v>
      </c>
      <c r="J6"/>
      <c r="K6"/>
      <c r="L6"/>
      <c r="M6"/>
      <c r="N6" s="81"/>
      <c r="O6" s="81"/>
      <c r="P6" s="81"/>
      <c r="Q6" s="81"/>
      <c r="R6"/>
    </row>
    <row r="7" spans="1:18" ht="18" customHeight="1" x14ac:dyDescent="0.45">
      <c r="A7" s="23" t="s">
        <v>501</v>
      </c>
      <c r="B7"/>
      <c r="C7" s="81">
        <v>17700</v>
      </c>
      <c r="E7" s="81">
        <v>17700</v>
      </c>
      <c r="G7" s="81">
        <v>14325</v>
      </c>
      <c r="I7" s="81"/>
      <c r="J7"/>
      <c r="K7" s="4"/>
      <c r="L7"/>
      <c r="M7"/>
      <c r="N7" s="81"/>
      <c r="O7" s="81"/>
      <c r="P7" s="81"/>
      <c r="Q7" s="81"/>
      <c r="R7"/>
    </row>
    <row r="8" spans="1:18" ht="18" customHeight="1" x14ac:dyDescent="0.45">
      <c r="A8" s="23" t="s">
        <v>502</v>
      </c>
      <c r="B8"/>
      <c r="C8" s="81"/>
      <c r="E8" s="81"/>
      <c r="G8" s="81"/>
      <c r="I8" s="81"/>
      <c r="J8"/>
      <c r="K8"/>
      <c r="L8"/>
      <c r="M8"/>
      <c r="O8" s="81"/>
      <c r="P8" s="81"/>
      <c r="R8"/>
    </row>
    <row r="9" spans="1:18" ht="18" customHeight="1" x14ac:dyDescent="0.45">
      <c r="A9" s="23" t="s">
        <v>503</v>
      </c>
      <c r="C9" s="81">
        <v>28896.67</v>
      </c>
      <c r="E9" s="81">
        <v>28896.67</v>
      </c>
      <c r="G9" s="81">
        <v>73260.820000000007</v>
      </c>
      <c r="I9" s="81">
        <f>C9</f>
        <v>28896.67</v>
      </c>
      <c r="J9"/>
      <c r="K9"/>
      <c r="L9"/>
      <c r="M9"/>
      <c r="O9" s="81"/>
      <c r="P9" s="81"/>
      <c r="R9"/>
    </row>
    <row r="10" spans="1:18" ht="18" customHeight="1" x14ac:dyDescent="0.45">
      <c r="A10" s="23" t="s">
        <v>505</v>
      </c>
      <c r="C10" s="81">
        <v>8908.73</v>
      </c>
      <c r="E10" s="81">
        <v>8908.73</v>
      </c>
      <c r="G10" s="81"/>
      <c r="I10" s="81"/>
      <c r="J10"/>
      <c r="K10"/>
      <c r="L10"/>
      <c r="M10"/>
      <c r="N10" s="81"/>
      <c r="O10" s="81"/>
      <c r="P10" s="81"/>
      <c r="Q10" s="81"/>
      <c r="R10"/>
    </row>
    <row r="11" spans="1:18" ht="18" customHeight="1" x14ac:dyDescent="0.45">
      <c r="A11" s="23" t="s">
        <v>504</v>
      </c>
      <c r="B11"/>
      <c r="C11" s="92">
        <f>E11-10000</f>
        <v>43951</v>
      </c>
      <c r="E11" s="81">
        <v>53951</v>
      </c>
      <c r="G11" s="81">
        <v>50654</v>
      </c>
      <c r="I11" s="81">
        <f>C11*0.6</f>
        <v>26370.6</v>
      </c>
      <c r="J11"/>
      <c r="K11" s="4"/>
      <c r="L11"/>
      <c r="M11"/>
      <c r="N11" s="81"/>
      <c r="O11" s="81"/>
      <c r="P11" s="81"/>
      <c r="Q11" s="81"/>
      <c r="R11"/>
    </row>
    <row r="12" spans="1:18" ht="18" customHeight="1" x14ac:dyDescent="0.45">
      <c r="A12" s="24"/>
      <c r="J12"/>
      <c r="K12"/>
      <c r="L12"/>
      <c r="M12"/>
      <c r="O12" s="81"/>
      <c r="P12" s="81"/>
      <c r="R12"/>
    </row>
    <row r="13" spans="1:18" ht="18" customHeight="1" x14ac:dyDescent="0.45">
      <c r="A13" s="84" t="s">
        <v>476</v>
      </c>
      <c r="C13" s="83">
        <f>SUM(C4:C11)</f>
        <v>173563.4</v>
      </c>
      <c r="D13" s="83"/>
      <c r="E13" s="83">
        <f>SUM(E4:E11)</f>
        <v>173563.4</v>
      </c>
      <c r="F13" s="83"/>
      <c r="G13" s="83">
        <f t="shared" ref="G13:I13" si="0">SUM(G4:G11)</f>
        <v>207342.02000000002</v>
      </c>
      <c r="I13" s="83">
        <f t="shared" si="0"/>
        <v>94267.26999999999</v>
      </c>
      <c r="J13"/>
      <c r="K13"/>
      <c r="L13"/>
      <c r="M13"/>
      <c r="N13" s="81"/>
      <c r="O13" s="81"/>
      <c r="P13" s="81"/>
    </row>
    <row r="14" spans="1:18" ht="18" customHeight="1" x14ac:dyDescent="0.45">
      <c r="K14"/>
      <c r="L14"/>
      <c r="M14"/>
      <c r="N14" s="81"/>
      <c r="O14" s="81"/>
      <c r="P14" s="81"/>
      <c r="Q14" s="81"/>
    </row>
    <row r="15" spans="1:18" ht="18" customHeight="1" x14ac:dyDescent="0.45">
      <c r="K15" s="4"/>
      <c r="L15"/>
      <c r="M15"/>
      <c r="N15" s="81"/>
      <c r="O15" s="81"/>
      <c r="P15" s="81"/>
      <c r="Q15" s="81"/>
    </row>
    <row r="16" spans="1:18" ht="18" customHeight="1" x14ac:dyDescent="0.45">
      <c r="A16" s="22" t="s">
        <v>518</v>
      </c>
      <c r="C16" s="22" t="s">
        <v>409</v>
      </c>
      <c r="D16"/>
      <c r="E16" s="22">
        <v>2024</v>
      </c>
      <c r="F16"/>
      <c r="G16" s="22">
        <v>2023</v>
      </c>
      <c r="I16" s="22" t="s">
        <v>522</v>
      </c>
      <c r="K16"/>
      <c r="L16"/>
      <c r="M16"/>
      <c r="N16" s="81"/>
      <c r="O16" s="81"/>
      <c r="P16" s="81"/>
      <c r="Q16" s="81"/>
    </row>
    <row r="17" spans="1:17" ht="18" customHeight="1" x14ac:dyDescent="0.45">
      <c r="A17" s="23" t="s">
        <v>519</v>
      </c>
      <c r="C17" s="92">
        <f>E17+5000</f>
        <v>41408</v>
      </c>
      <c r="E17" s="81">
        <v>36408</v>
      </c>
      <c r="G17" s="81">
        <v>16597</v>
      </c>
      <c r="I17" s="81">
        <f>4000</f>
        <v>4000</v>
      </c>
      <c r="K17"/>
      <c r="L17"/>
      <c r="M17"/>
      <c r="N17" s="81"/>
      <c r="O17" s="81"/>
      <c r="P17" s="81"/>
      <c r="Q17" s="81"/>
    </row>
    <row r="18" spans="1:17" ht="18" customHeight="1" x14ac:dyDescent="0.45">
      <c r="K18"/>
      <c r="L18"/>
      <c r="M18"/>
      <c r="N18" s="81"/>
      <c r="O18" s="81"/>
      <c r="P18" s="81"/>
      <c r="Q18" s="81"/>
    </row>
    <row r="19" spans="1:17" ht="18" customHeight="1" x14ac:dyDescent="0.45">
      <c r="A19" s="84" t="s">
        <v>476</v>
      </c>
      <c r="C19" s="83">
        <f>C13+C17</f>
        <v>214971.4</v>
      </c>
      <c r="D19" s="83"/>
      <c r="E19" s="83">
        <f>E13+E17</f>
        <v>209971.4</v>
      </c>
      <c r="F19" s="83"/>
      <c r="G19" s="83">
        <f>G13+G17</f>
        <v>223939.02000000002</v>
      </c>
      <c r="I19" s="83">
        <f>I13+I17</f>
        <v>98267.26999999999</v>
      </c>
      <c r="K19"/>
      <c r="L19"/>
      <c r="M19"/>
      <c r="N19"/>
      <c r="O19"/>
      <c r="P19"/>
      <c r="Q19"/>
    </row>
    <row r="20" spans="1:17" ht="18" customHeight="1" x14ac:dyDescent="0.45">
      <c r="B20" s="26" t="s">
        <v>521</v>
      </c>
      <c r="C20" s="91">
        <f>C19-E19</f>
        <v>5000</v>
      </c>
    </row>
  </sheetData>
  <pageMargins left="0.7" right="0.7" top="0.75" bottom="0.75" header="0.3" footer="0.3"/>
  <pageSetup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9972C7-D077-4496-B0E6-7EA711E933CD}">
  <dimension ref="A1:G24"/>
  <sheetViews>
    <sheetView workbookViewId="0"/>
  </sheetViews>
  <sheetFormatPr defaultRowHeight="14.6" x14ac:dyDescent="0.4"/>
  <cols>
    <col min="1" max="1" width="27.07421875" customWidth="1"/>
    <col min="2" max="7" width="12.23046875" customWidth="1"/>
  </cols>
  <sheetData>
    <row r="1" spans="1:7" ht="18.45" x14ac:dyDescent="0.5">
      <c r="A1" s="82" t="s">
        <v>457</v>
      </c>
    </row>
    <row r="3" spans="1:7" x14ac:dyDescent="0.4">
      <c r="A3" s="1" t="s">
        <v>35</v>
      </c>
      <c r="B3" s="2" t="s">
        <v>46</v>
      </c>
      <c r="C3" s="2" t="s">
        <v>42</v>
      </c>
      <c r="D3" s="2" t="s">
        <v>40</v>
      </c>
      <c r="E3" s="2" t="s">
        <v>36</v>
      </c>
      <c r="F3" s="2" t="s">
        <v>37</v>
      </c>
      <c r="G3" s="2" t="s">
        <v>38</v>
      </c>
    </row>
    <row r="5" spans="1:7" x14ac:dyDescent="0.4">
      <c r="A5" t="s">
        <v>30</v>
      </c>
      <c r="B5" s="5">
        <v>25600</v>
      </c>
      <c r="C5" s="5">
        <v>45595</v>
      </c>
      <c r="D5" s="5">
        <v>51605</v>
      </c>
      <c r="E5" s="5">
        <v>66489</v>
      </c>
      <c r="F5" s="5">
        <v>92615</v>
      </c>
      <c r="G5" s="5">
        <v>93558</v>
      </c>
    </row>
    <row r="6" spans="1:7" x14ac:dyDescent="0.4">
      <c r="A6" t="s">
        <v>31</v>
      </c>
      <c r="B6" s="5">
        <v>13000</v>
      </c>
      <c r="C6" s="5">
        <v>12409</v>
      </c>
      <c r="D6" s="5">
        <v>13872</v>
      </c>
      <c r="E6" s="5">
        <v>18579</v>
      </c>
      <c r="F6" s="5">
        <v>86517.6</v>
      </c>
      <c r="G6" s="5">
        <v>85000</v>
      </c>
    </row>
    <row r="7" spans="1:7" x14ac:dyDescent="0.4">
      <c r="A7" t="s">
        <v>44</v>
      </c>
      <c r="B7" s="5"/>
      <c r="C7" s="5">
        <v>4610</v>
      </c>
      <c r="D7" s="5">
        <v>2946</v>
      </c>
      <c r="E7" s="5">
        <v>6045</v>
      </c>
      <c r="F7" s="5">
        <v>6368</v>
      </c>
      <c r="G7" s="79">
        <v>10988</v>
      </c>
    </row>
    <row r="8" spans="1:7" x14ac:dyDescent="0.4">
      <c r="A8" t="s">
        <v>43</v>
      </c>
      <c r="B8" s="5"/>
      <c r="C8" s="5">
        <v>2792</v>
      </c>
      <c r="D8" s="5">
        <v>2976</v>
      </c>
      <c r="E8" s="5">
        <v>3258</v>
      </c>
      <c r="F8" s="5">
        <v>3911</v>
      </c>
      <c r="G8" s="80" t="s">
        <v>461</v>
      </c>
    </row>
    <row r="9" spans="1:7" x14ac:dyDescent="0.4">
      <c r="A9" t="s">
        <v>33</v>
      </c>
      <c r="B9" s="9"/>
      <c r="C9" s="9"/>
      <c r="D9" s="9"/>
      <c r="E9" s="5">
        <v>2868</v>
      </c>
      <c r="F9" s="5">
        <v>2963.5</v>
      </c>
      <c r="G9" s="5">
        <v>2964</v>
      </c>
    </row>
    <row r="10" spans="1:7" x14ac:dyDescent="0.4">
      <c r="A10" t="s">
        <v>41</v>
      </c>
      <c r="B10" s="5">
        <v>3500</v>
      </c>
      <c r="C10" s="5">
        <v>13385</v>
      </c>
      <c r="D10" s="5">
        <v>15280</v>
      </c>
      <c r="E10" s="5">
        <v>19746</v>
      </c>
      <c r="F10" s="8"/>
      <c r="G10" s="8"/>
    </row>
    <row r="11" spans="1:7" x14ac:dyDescent="0.4">
      <c r="A11" t="s">
        <v>34</v>
      </c>
      <c r="B11" s="9"/>
      <c r="C11" s="9"/>
      <c r="D11" s="9"/>
      <c r="E11" s="9"/>
      <c r="F11" s="5">
        <v>49044.31</v>
      </c>
      <c r="G11" s="5">
        <v>46839</v>
      </c>
    </row>
    <row r="13" spans="1:7" x14ac:dyDescent="0.4">
      <c r="A13" t="s">
        <v>32</v>
      </c>
      <c r="B13" s="5">
        <v>15100</v>
      </c>
      <c r="C13" s="5">
        <v>20647</v>
      </c>
      <c r="D13" s="5">
        <v>11524</v>
      </c>
      <c r="E13" s="5">
        <v>10846</v>
      </c>
      <c r="F13" s="5">
        <v>13523</v>
      </c>
      <c r="G13" s="5">
        <v>13671</v>
      </c>
    </row>
    <row r="14" spans="1:7" s="7" customFormat="1" x14ac:dyDescent="0.4">
      <c r="A14" s="7" t="s">
        <v>45</v>
      </c>
      <c r="B14" s="5"/>
      <c r="C14" s="5">
        <v>4220</v>
      </c>
      <c r="D14" s="5">
        <v>4668</v>
      </c>
      <c r="E14"/>
      <c r="F14"/>
      <c r="G14"/>
    </row>
    <row r="17" spans="1:7" x14ac:dyDescent="0.4">
      <c r="A17" s="4" t="s">
        <v>39</v>
      </c>
      <c r="B17" s="6">
        <f t="shared" ref="B17:G17" si="0">SUM(B5:B16)</f>
        <v>57200</v>
      </c>
      <c r="C17" s="6">
        <f t="shared" si="0"/>
        <v>103658</v>
      </c>
      <c r="D17" s="6">
        <f t="shared" si="0"/>
        <v>102871</v>
      </c>
      <c r="E17" s="6">
        <f t="shared" si="0"/>
        <v>127831</v>
      </c>
      <c r="F17" s="6">
        <f t="shared" si="0"/>
        <v>254942.41</v>
      </c>
      <c r="G17" s="6">
        <f t="shared" si="0"/>
        <v>253020</v>
      </c>
    </row>
    <row r="18" spans="1:7" x14ac:dyDescent="0.4">
      <c r="C18" s="10">
        <f>C17/B17-1</f>
        <v>0.8122027972027972</v>
      </c>
      <c r="D18" s="10"/>
      <c r="E18" s="10">
        <f>E17/D17-1</f>
        <v>0.24263397847789947</v>
      </c>
      <c r="F18" s="10">
        <f t="shared" ref="F18:G18" si="1">F17/E17-1</f>
        <v>0.99437077078329983</v>
      </c>
      <c r="G18" s="10">
        <f t="shared" si="1"/>
        <v>-7.5405657301191864E-3</v>
      </c>
    </row>
    <row r="20" spans="1:7" x14ac:dyDescent="0.4">
      <c r="A20" t="s">
        <v>41</v>
      </c>
      <c r="B20" s="5"/>
      <c r="C20" s="5"/>
      <c r="D20" s="5"/>
      <c r="E20" s="5"/>
      <c r="F20" s="5">
        <v>80007</v>
      </c>
    </row>
    <row r="21" spans="1:7" x14ac:dyDescent="0.4">
      <c r="F21" s="7" t="s">
        <v>48</v>
      </c>
    </row>
    <row r="22" spans="1:7" x14ac:dyDescent="0.4">
      <c r="F22" s="7" t="s">
        <v>47</v>
      </c>
    </row>
    <row r="24" spans="1:7" x14ac:dyDescent="0.4">
      <c r="B24" s="7" t="s">
        <v>458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DEC88-E381-4ECA-A7B0-C25F8DE2C00B}">
  <dimension ref="A1:P24"/>
  <sheetViews>
    <sheetView workbookViewId="0">
      <selection sqref="A1:C1"/>
    </sheetView>
  </sheetViews>
  <sheetFormatPr defaultRowHeight="14.6" x14ac:dyDescent="0.4"/>
  <cols>
    <col min="1" max="3" width="3.15234375" customWidth="1"/>
    <col min="4" max="4" width="3.3828125" customWidth="1"/>
    <col min="5" max="5" width="36.3828125" customWidth="1"/>
  </cols>
  <sheetData>
    <row r="1" spans="1:15" ht="18.45" x14ac:dyDescent="0.5">
      <c r="A1" s="82" t="s">
        <v>459</v>
      </c>
      <c r="B1" s="85"/>
      <c r="C1" s="85"/>
      <c r="F1" s="36"/>
      <c r="G1" s="38"/>
      <c r="H1" s="36"/>
      <c r="I1" s="38"/>
      <c r="J1" s="39"/>
      <c r="K1" t="s">
        <v>402</v>
      </c>
    </row>
    <row r="2" spans="1:15" ht="15" thickBot="1" x14ac:dyDescent="0.45">
      <c r="F2" s="36"/>
      <c r="G2" s="38"/>
      <c r="H2" s="36"/>
      <c r="I2" s="38"/>
      <c r="J2" s="39"/>
    </row>
    <row r="3" spans="1:15" ht="15.45" thickTop="1" thickBot="1" x14ac:dyDescent="0.45">
      <c r="F3" s="40" t="s">
        <v>98</v>
      </c>
      <c r="G3" s="41"/>
      <c r="H3" s="40" t="s">
        <v>99</v>
      </c>
      <c r="I3" s="41"/>
      <c r="J3" s="40" t="s">
        <v>100</v>
      </c>
      <c r="K3" s="3"/>
      <c r="L3" s="40" t="s">
        <v>101</v>
      </c>
      <c r="M3" s="3"/>
      <c r="N3" s="40" t="s">
        <v>102</v>
      </c>
    </row>
    <row r="4" spans="1:15" ht="15" thickTop="1" x14ac:dyDescent="0.4">
      <c r="A4" s="33"/>
      <c r="B4" s="33"/>
      <c r="C4" s="33"/>
      <c r="D4" s="33" t="s">
        <v>163</v>
      </c>
      <c r="E4" s="33"/>
      <c r="F4" s="34"/>
      <c r="G4" s="42"/>
      <c r="H4" s="34"/>
      <c r="I4" s="42"/>
      <c r="J4" s="34"/>
      <c r="L4" s="34"/>
      <c r="N4" s="34"/>
      <c r="O4" s="34"/>
    </row>
    <row r="5" spans="1:15" x14ac:dyDescent="0.4">
      <c r="A5" s="33"/>
      <c r="B5" s="33"/>
      <c r="C5" s="33"/>
      <c r="D5" s="33"/>
      <c r="E5" s="33" t="s">
        <v>164</v>
      </c>
      <c r="F5" s="34">
        <f>4313.15+1981.75</f>
        <v>6294.9</v>
      </c>
      <c r="G5" s="42"/>
      <c r="H5" s="34">
        <f>7819.97+2050.2</f>
        <v>9870.17</v>
      </c>
      <c r="I5" s="42"/>
      <c r="J5" s="34">
        <f>7442.18+2371.53</f>
        <v>9813.7100000000009</v>
      </c>
      <c r="L5" s="34">
        <f>6687.45+2414.75</f>
        <v>9102.2000000000007</v>
      </c>
      <c r="N5" s="34">
        <f>6692.25+2414.75</f>
        <v>9107</v>
      </c>
      <c r="O5" s="34"/>
    </row>
    <row r="6" spans="1:15" x14ac:dyDescent="0.4">
      <c r="A6" s="33"/>
      <c r="B6" s="33"/>
      <c r="C6" s="33"/>
      <c r="D6" s="33"/>
      <c r="E6" s="33" t="s">
        <v>165</v>
      </c>
      <c r="F6" s="34">
        <f>7039.44+71176.56</f>
        <v>78216</v>
      </c>
      <c r="G6" s="42"/>
      <c r="H6" s="34">
        <f>60701.6+1058.4</f>
        <v>61760</v>
      </c>
      <c r="I6" s="42"/>
      <c r="J6" s="34">
        <f>72659+2241</f>
        <v>74900</v>
      </c>
      <c r="L6" s="34">
        <f>73332.75+992.25</f>
        <v>74325</v>
      </c>
      <c r="N6" s="34">
        <f>71424.25+1275.75</f>
        <v>72700</v>
      </c>
      <c r="O6" s="34"/>
    </row>
    <row r="7" spans="1:15" x14ac:dyDescent="0.4">
      <c r="A7" s="33"/>
      <c r="B7" s="33"/>
      <c r="C7" s="33"/>
      <c r="D7" s="33"/>
      <c r="E7" s="33" t="s">
        <v>166</v>
      </c>
      <c r="F7" s="34">
        <f>6006+571.5</f>
        <v>6577.5</v>
      </c>
      <c r="G7" s="42"/>
      <c r="H7" s="34">
        <f>5016.38+496.12</f>
        <v>5512.5</v>
      </c>
      <c r="I7" s="42"/>
      <c r="J7" s="34">
        <f>36900.65+2587.2</f>
        <v>39487.85</v>
      </c>
      <c r="L7" s="34">
        <f>66723.08+6537.74</f>
        <v>73260.820000000007</v>
      </c>
      <c r="N7" s="34">
        <f>35221.77+2583.63</f>
        <v>37805.399999999994</v>
      </c>
      <c r="O7" s="34"/>
    </row>
    <row r="8" spans="1:15" x14ac:dyDescent="0.4">
      <c r="A8" s="33"/>
      <c r="B8" s="33"/>
      <c r="C8" s="33"/>
      <c r="D8" s="33"/>
      <c r="E8" s="33" t="s">
        <v>167</v>
      </c>
      <c r="F8" s="34">
        <v>4176.72</v>
      </c>
      <c r="G8" s="42"/>
      <c r="H8" s="34">
        <v>0</v>
      </c>
      <c r="I8" s="42"/>
      <c r="J8" s="34">
        <v>0</v>
      </c>
      <c r="L8" s="34"/>
      <c r="N8" s="34"/>
      <c r="O8" s="34"/>
    </row>
    <row r="9" spans="1:15" x14ac:dyDescent="0.4">
      <c r="A9" s="33"/>
      <c r="B9" s="33"/>
      <c r="C9" s="33"/>
      <c r="D9" s="33"/>
      <c r="E9" s="33" t="s">
        <v>168</v>
      </c>
      <c r="F9" s="34">
        <v>57548.25</v>
      </c>
      <c r="G9" s="42"/>
      <c r="H9" s="34">
        <v>79631.5</v>
      </c>
      <c r="I9" s="42"/>
      <c r="J9" s="34">
        <v>72619.5</v>
      </c>
      <c r="L9" s="34">
        <v>50654.25</v>
      </c>
      <c r="N9" s="34">
        <f>48778.39+5172.86</f>
        <v>53951.25</v>
      </c>
      <c r="O9" s="34"/>
    </row>
    <row r="10" spans="1:15" ht="15" thickBot="1" x14ac:dyDescent="0.45">
      <c r="A10" s="33"/>
      <c r="B10" s="33"/>
      <c r="C10" s="33"/>
      <c r="D10" s="33"/>
      <c r="E10" s="33" t="s">
        <v>169</v>
      </c>
      <c r="F10" s="35"/>
      <c r="G10" s="42"/>
      <c r="H10" s="35"/>
      <c r="I10" s="42"/>
      <c r="J10" s="35"/>
      <c r="L10" s="35">
        <v>-619.27</v>
      </c>
      <c r="N10" s="35">
        <v>-189.67</v>
      </c>
      <c r="O10" s="34"/>
    </row>
    <row r="11" spans="1:15" x14ac:dyDescent="0.4">
      <c r="A11" s="33"/>
      <c r="B11" s="33"/>
      <c r="C11" s="33"/>
      <c r="D11" s="33" t="s">
        <v>170</v>
      </c>
      <c r="E11" s="33"/>
      <c r="F11" s="34">
        <f>ROUND(SUM(F4:F10),5)</f>
        <v>152813.37</v>
      </c>
      <c r="G11" s="42"/>
      <c r="H11" s="34">
        <f>ROUND(SUM(H4:H10),5)</f>
        <v>156774.17000000001</v>
      </c>
      <c r="I11" s="42"/>
      <c r="J11" s="34">
        <f>ROUND(SUM(J4:J10),5)</f>
        <v>196821.06</v>
      </c>
      <c r="L11" s="34">
        <f>ROUND(SUM(L4:L10),5)</f>
        <v>206723</v>
      </c>
      <c r="N11" s="34">
        <f>ROUND(SUM(N4:N10),5)</f>
        <v>173373.98</v>
      </c>
      <c r="O11" s="34"/>
    </row>
    <row r="13" spans="1:15" x14ac:dyDescent="0.4">
      <c r="A13" s="33"/>
      <c r="B13" s="33"/>
      <c r="C13" s="33"/>
      <c r="D13" s="33" t="s">
        <v>182</v>
      </c>
      <c r="E13" s="33"/>
      <c r="F13" s="34">
        <f>202968.58+11397.22</f>
        <v>214365.8</v>
      </c>
      <c r="G13" s="42"/>
      <c r="H13" s="34">
        <f>232295.13+14676.55</f>
        <v>246971.68</v>
      </c>
      <c r="I13" s="42"/>
      <c r="J13" s="34">
        <f>240735.69+12763.02</f>
        <v>253498.71</v>
      </c>
      <c r="L13" s="34">
        <f>250056.03+10305.08</f>
        <v>260361.11</v>
      </c>
      <c r="N13" s="34">
        <f>275718.33+13510.28</f>
        <v>289228.61000000004</v>
      </c>
      <c r="O13" s="34"/>
    </row>
    <row r="15" spans="1:15" x14ac:dyDescent="0.4">
      <c r="A15" s="33"/>
      <c r="B15" s="33" t="s">
        <v>193</v>
      </c>
      <c r="C15" s="33"/>
      <c r="D15" s="33"/>
      <c r="E15" s="33"/>
      <c r="F15" s="34"/>
      <c r="G15" s="42"/>
      <c r="H15" s="34"/>
      <c r="I15" s="42"/>
      <c r="J15" s="34"/>
      <c r="L15" s="34"/>
      <c r="N15" s="34"/>
    </row>
    <row r="16" spans="1:15" x14ac:dyDescent="0.4">
      <c r="A16" s="33"/>
      <c r="B16" s="33"/>
      <c r="C16" s="33" t="s">
        <v>194</v>
      </c>
      <c r="D16" s="33"/>
      <c r="E16" s="33"/>
      <c r="F16" s="34">
        <v>264.2</v>
      </c>
      <c r="G16" s="42"/>
      <c r="H16" s="34">
        <v>182.83</v>
      </c>
      <c r="I16" s="42"/>
      <c r="J16" s="34">
        <v>0</v>
      </c>
      <c r="L16" s="34"/>
      <c r="N16" s="34"/>
    </row>
    <row r="17" spans="1:16" x14ac:dyDescent="0.4">
      <c r="A17" s="33"/>
      <c r="B17" s="33"/>
      <c r="C17" s="33" t="s">
        <v>195</v>
      </c>
      <c r="D17" s="33"/>
      <c r="E17" s="33"/>
      <c r="F17" s="34">
        <v>668239.53</v>
      </c>
      <c r="G17" s="42"/>
      <c r="H17" s="34">
        <v>661616.36</v>
      </c>
      <c r="I17" s="42"/>
      <c r="J17" s="34">
        <v>695644.54</v>
      </c>
      <c r="L17" s="34">
        <v>740851.63</v>
      </c>
      <c r="N17" s="34">
        <v>712972.6</v>
      </c>
    </row>
    <row r="18" spans="1:16" x14ac:dyDescent="0.4">
      <c r="A18" s="33"/>
      <c r="B18" s="33"/>
      <c r="C18" s="33" t="s">
        <v>196</v>
      </c>
      <c r="D18" s="33"/>
      <c r="E18" s="33"/>
      <c r="F18" s="34">
        <v>42686.92</v>
      </c>
      <c r="G18" s="42"/>
      <c r="H18" s="34">
        <v>42315.15</v>
      </c>
      <c r="I18" s="42"/>
      <c r="J18" s="34">
        <v>44052.81</v>
      </c>
      <c r="L18" s="34">
        <v>47510.13</v>
      </c>
      <c r="N18" s="34">
        <v>46343.69</v>
      </c>
    </row>
    <row r="19" spans="1:16" x14ac:dyDescent="0.4">
      <c r="A19" s="33"/>
      <c r="B19" s="33"/>
      <c r="C19" s="33" t="s">
        <v>197</v>
      </c>
      <c r="D19" s="33"/>
      <c r="E19" s="33"/>
      <c r="F19" s="34">
        <v>9983.69</v>
      </c>
      <c r="G19" s="42"/>
      <c r="H19" s="34">
        <v>9889.5</v>
      </c>
      <c r="I19" s="42"/>
      <c r="J19" s="34">
        <v>10302.950000000001</v>
      </c>
      <c r="L19" s="34">
        <v>11080.12</v>
      </c>
      <c r="N19" s="34">
        <v>10814.62</v>
      </c>
    </row>
    <row r="20" spans="1:16" x14ac:dyDescent="0.4">
      <c r="A20" s="33"/>
      <c r="B20" s="33"/>
      <c r="C20" s="33" t="s">
        <v>198</v>
      </c>
      <c r="D20" s="33"/>
      <c r="E20" s="33"/>
      <c r="F20" s="34">
        <v>797.96</v>
      </c>
      <c r="G20" s="42"/>
      <c r="H20" s="34">
        <v>787.78</v>
      </c>
      <c r="I20" s="42"/>
      <c r="J20" s="34">
        <v>759.02</v>
      </c>
      <c r="L20" s="34">
        <v>713.99</v>
      </c>
      <c r="N20" s="34">
        <v>408.65</v>
      </c>
    </row>
    <row r="21" spans="1:16" x14ac:dyDescent="0.4">
      <c r="A21" s="33"/>
      <c r="B21" s="33"/>
      <c r="C21" s="33" t="s">
        <v>199</v>
      </c>
      <c r="D21" s="33"/>
      <c r="E21" s="33"/>
      <c r="F21" s="34">
        <v>2870.84</v>
      </c>
      <c r="G21" s="42"/>
      <c r="H21" s="34">
        <v>1512.61</v>
      </c>
      <c r="I21" s="42"/>
      <c r="J21" s="34">
        <v>1333.87</v>
      </c>
      <c r="L21" s="34">
        <v>566.13</v>
      </c>
      <c r="N21" s="34">
        <v>1071.44</v>
      </c>
    </row>
    <row r="22" spans="1:16" x14ac:dyDescent="0.4">
      <c r="A22" s="33"/>
      <c r="B22" s="33"/>
      <c r="C22" s="33" t="s">
        <v>200</v>
      </c>
      <c r="D22" s="33"/>
      <c r="E22" s="33"/>
      <c r="F22" s="34">
        <v>1620</v>
      </c>
      <c r="G22" s="42"/>
      <c r="H22" s="34">
        <v>60</v>
      </c>
      <c r="I22" s="42"/>
      <c r="J22" s="34">
        <v>0</v>
      </c>
      <c r="L22" s="34">
        <v>4865.5600000000004</v>
      </c>
      <c r="N22" s="34">
        <v>8023.57</v>
      </c>
    </row>
    <row r="23" spans="1:16" ht="15" thickBot="1" x14ac:dyDescent="0.45">
      <c r="A23" s="33"/>
      <c r="B23" s="33"/>
      <c r="C23" s="33" t="s">
        <v>201</v>
      </c>
      <c r="D23" s="33"/>
      <c r="E23" s="33"/>
      <c r="F23" s="35">
        <v>-112065.28</v>
      </c>
      <c r="G23" s="42"/>
      <c r="H23" s="35">
        <v>-111118.21</v>
      </c>
      <c r="I23" s="42"/>
      <c r="J23" s="35">
        <v>-88120.25</v>
      </c>
      <c r="L23" s="34">
        <v>-103889.66</v>
      </c>
      <c r="N23" s="34">
        <v>-79363.56</v>
      </c>
      <c r="P23" t="s">
        <v>462</v>
      </c>
    </row>
    <row r="24" spans="1:16" x14ac:dyDescent="0.4">
      <c r="A24" s="33"/>
      <c r="B24" s="33" t="s">
        <v>202</v>
      </c>
      <c r="C24" s="33"/>
      <c r="D24" s="33"/>
      <c r="E24" s="33"/>
      <c r="F24" s="34">
        <f>ROUND(SUM(F15:F23),5)</f>
        <v>614397.86</v>
      </c>
      <c r="G24" s="42"/>
      <c r="H24" s="34">
        <f>ROUND(SUM(H15:H23),5)</f>
        <v>605246.02</v>
      </c>
      <c r="I24" s="42"/>
      <c r="J24" s="34">
        <f>ROUND(SUM(J15:J23),5)</f>
        <v>663972.93999999994</v>
      </c>
      <c r="L24" s="44">
        <f>ROUND(SUM(L15:L23),5)</f>
        <v>701697.9</v>
      </c>
      <c r="N24" s="44">
        <f>ROUND(SUM(N15:N23),5)</f>
        <v>700271.01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7E453-B001-4DCE-9E6D-7C6B4FD1AF6E}">
  <dimension ref="A1:G35"/>
  <sheetViews>
    <sheetView topLeftCell="A16" workbookViewId="0">
      <selection sqref="A1:C1"/>
    </sheetView>
  </sheetViews>
  <sheetFormatPr defaultRowHeight="14.6" x14ac:dyDescent="0.4"/>
  <cols>
    <col min="1" max="1" width="7.69140625" customWidth="1"/>
    <col min="2" max="2" width="7.84375" customWidth="1"/>
    <col min="3" max="3" width="37.84375" customWidth="1"/>
    <col min="4" max="4" width="12.69140625" bestFit="1" customWidth="1"/>
    <col min="5" max="5" width="17" customWidth="1"/>
    <col min="7" max="7" width="14.84375" customWidth="1"/>
  </cols>
  <sheetData>
    <row r="1" spans="1:7" ht="18.45" x14ac:dyDescent="0.5">
      <c r="A1" s="82" t="s">
        <v>403</v>
      </c>
      <c r="B1" s="85"/>
      <c r="C1" s="85"/>
    </row>
    <row r="2" spans="1:7" x14ac:dyDescent="0.4">
      <c r="D2" s="70">
        <v>2024</v>
      </c>
      <c r="E2" t="s">
        <v>404</v>
      </c>
    </row>
    <row r="3" spans="1:7" x14ac:dyDescent="0.4">
      <c r="A3" s="71" t="s">
        <v>405</v>
      </c>
      <c r="D3" t="s">
        <v>406</v>
      </c>
      <c r="E3" t="s">
        <v>407</v>
      </c>
      <c r="F3" t="s">
        <v>408</v>
      </c>
      <c r="G3" t="s">
        <v>409</v>
      </c>
    </row>
    <row r="4" spans="1:7" x14ac:dyDescent="0.4">
      <c r="B4" t="s">
        <v>410</v>
      </c>
    </row>
    <row r="5" spans="1:7" x14ac:dyDescent="0.4">
      <c r="C5" t="s">
        <v>211</v>
      </c>
      <c r="D5" s="72">
        <f>'[1]Clean combined P&amp;Ls'!R19</f>
        <v>1382151.08</v>
      </c>
      <c r="E5" s="72"/>
      <c r="F5" s="72"/>
      <c r="G5" s="72">
        <f>D5+E5</f>
        <v>1382151.08</v>
      </c>
    </row>
    <row r="6" spans="1:7" x14ac:dyDescent="0.4">
      <c r="C6" t="s">
        <v>411</v>
      </c>
      <c r="D6" s="72">
        <f>'[1]Clean combined P&amp;Ls'!R28+'[1]Clean combined P&amp;Ls'!R37+'[1]Clean combined P&amp;Ls'!R42</f>
        <v>1906692.89</v>
      </c>
      <c r="E6" s="72"/>
      <c r="F6" s="72"/>
      <c r="G6" s="72">
        <f t="shared" ref="G6:G8" si="0">D6+E6</f>
        <v>1906692.89</v>
      </c>
    </row>
    <row r="7" spans="1:7" x14ac:dyDescent="0.4">
      <c r="C7" t="s">
        <v>224</v>
      </c>
      <c r="D7" s="72">
        <f>'[1]Clean combined P&amp;Ls'!R7</f>
        <v>10000</v>
      </c>
      <c r="E7" s="72"/>
      <c r="F7" s="72"/>
      <c r="G7" s="72">
        <f t="shared" si="0"/>
        <v>10000</v>
      </c>
    </row>
    <row r="8" spans="1:7" x14ac:dyDescent="0.4">
      <c r="C8" t="s">
        <v>412</v>
      </c>
      <c r="D8" s="73"/>
      <c r="E8" s="73"/>
      <c r="F8" s="73"/>
      <c r="G8" s="72">
        <f t="shared" si="0"/>
        <v>0</v>
      </c>
    </row>
    <row r="9" spans="1:7" x14ac:dyDescent="0.4">
      <c r="B9" t="s">
        <v>413</v>
      </c>
      <c r="D9" s="72">
        <f>SUM(D4:D8)</f>
        <v>3298843.9699999997</v>
      </c>
      <c r="E9" s="72">
        <f t="shared" ref="E9:G9" si="1">SUM(E4:E8)</f>
        <v>0</v>
      </c>
      <c r="F9" s="72">
        <f t="shared" si="1"/>
        <v>0</v>
      </c>
      <c r="G9" s="72">
        <f t="shared" si="1"/>
        <v>3298843.9699999997</v>
      </c>
    </row>
    <row r="10" spans="1:7" x14ac:dyDescent="0.4">
      <c r="B10" t="s">
        <v>414</v>
      </c>
      <c r="D10" s="72"/>
      <c r="E10" s="72"/>
      <c r="F10" s="72"/>
      <c r="G10" s="72">
        <f>D10+E10</f>
        <v>0</v>
      </c>
    </row>
    <row r="11" spans="1:7" x14ac:dyDescent="0.4">
      <c r="C11" t="s">
        <v>415</v>
      </c>
      <c r="D11" s="72">
        <f>'[1]Clean combined P&amp;Ls'!R45</f>
        <v>73284.03</v>
      </c>
      <c r="E11" s="72"/>
      <c r="F11" s="72"/>
      <c r="G11" s="72">
        <f t="shared" ref="G11:G14" si="2">D11+E11</f>
        <v>73284.03</v>
      </c>
    </row>
    <row r="12" spans="1:7" x14ac:dyDescent="0.4">
      <c r="C12" t="s">
        <v>416</v>
      </c>
      <c r="D12" s="72">
        <f>'[1]Clean combined P&amp;Ls'!R55</f>
        <v>42397</v>
      </c>
      <c r="E12" s="72"/>
      <c r="F12" s="72"/>
      <c r="G12" s="72">
        <f t="shared" si="2"/>
        <v>42397</v>
      </c>
    </row>
    <row r="13" spans="1:7" x14ac:dyDescent="0.4">
      <c r="C13" t="s">
        <v>417</v>
      </c>
      <c r="D13" s="72"/>
      <c r="E13" s="72"/>
      <c r="F13" s="72"/>
      <c r="G13" s="72">
        <f t="shared" si="2"/>
        <v>0</v>
      </c>
    </row>
    <row r="14" spans="1:7" x14ac:dyDescent="0.4">
      <c r="C14" t="s">
        <v>226</v>
      </c>
      <c r="D14" s="73">
        <f>'[1]Clean combined P&amp;Ls'!R56+'[1]Clean combined P&amp;Ls'!R57+'[1]Clean combined P&amp;Ls'!R58+'[1]Clean combined P&amp;Ls'!R8</f>
        <v>748910.21</v>
      </c>
      <c r="E14" s="73"/>
      <c r="F14" s="73"/>
      <c r="G14" s="72">
        <f t="shared" si="2"/>
        <v>748910.21</v>
      </c>
    </row>
    <row r="15" spans="1:7" x14ac:dyDescent="0.4">
      <c r="A15" s="4" t="s">
        <v>418</v>
      </c>
      <c r="D15" s="72">
        <f>SUM(D9:D14)</f>
        <v>4163435.2099999995</v>
      </c>
      <c r="E15" s="72">
        <f t="shared" ref="E15:G15" si="3">SUM(E9:E14)</f>
        <v>0</v>
      </c>
      <c r="F15" s="72">
        <f t="shared" si="3"/>
        <v>0</v>
      </c>
      <c r="G15" s="72">
        <f t="shared" si="3"/>
        <v>4163435.2099999995</v>
      </c>
    </row>
    <row r="16" spans="1:7" x14ac:dyDescent="0.4">
      <c r="D16" s="72"/>
      <c r="E16" s="72"/>
      <c r="F16" s="72"/>
      <c r="G16" s="72"/>
    </row>
    <row r="17" spans="1:7" x14ac:dyDescent="0.4">
      <c r="A17" s="71" t="s">
        <v>419</v>
      </c>
      <c r="D17" s="72"/>
      <c r="E17" s="72"/>
      <c r="F17" s="72"/>
      <c r="G17" s="72">
        <f>D17+E17</f>
        <v>0</v>
      </c>
    </row>
    <row r="18" spans="1:7" x14ac:dyDescent="0.4">
      <c r="B18" t="s">
        <v>419</v>
      </c>
      <c r="D18" s="72"/>
      <c r="E18" s="72"/>
      <c r="F18" s="72"/>
      <c r="G18" s="72">
        <f t="shared" ref="G18:G28" si="4">D18+E18</f>
        <v>0</v>
      </c>
    </row>
    <row r="19" spans="1:7" x14ac:dyDescent="0.4">
      <c r="C19" t="s">
        <v>420</v>
      </c>
      <c r="D19" s="72"/>
      <c r="E19" s="72"/>
      <c r="F19" s="72"/>
      <c r="G19" s="72">
        <f t="shared" si="4"/>
        <v>0</v>
      </c>
    </row>
    <row r="20" spans="1:7" x14ac:dyDescent="0.4">
      <c r="C20" t="s">
        <v>421</v>
      </c>
      <c r="D20" s="72"/>
      <c r="E20" s="72"/>
      <c r="F20" s="72"/>
      <c r="G20" s="72">
        <f t="shared" si="4"/>
        <v>0</v>
      </c>
    </row>
    <row r="21" spans="1:7" x14ac:dyDescent="0.4">
      <c r="C21" t="s">
        <v>422</v>
      </c>
      <c r="D21" s="72"/>
      <c r="E21" s="72"/>
      <c r="F21" s="72"/>
      <c r="G21" s="72">
        <f t="shared" si="4"/>
        <v>0</v>
      </c>
    </row>
    <row r="22" spans="1:7" x14ac:dyDescent="0.4">
      <c r="C22" t="s">
        <v>423</v>
      </c>
      <c r="D22" s="72"/>
      <c r="E22" s="72"/>
      <c r="F22" s="72"/>
      <c r="G22" s="72">
        <f t="shared" si="4"/>
        <v>0</v>
      </c>
    </row>
    <row r="23" spans="1:7" x14ac:dyDescent="0.4">
      <c r="C23" t="s">
        <v>266</v>
      </c>
      <c r="D23" s="72">
        <f>'[1]Clean combined P&amp;Ls'!R86</f>
        <v>2233755.38</v>
      </c>
      <c r="E23" s="72"/>
      <c r="F23" s="72"/>
      <c r="G23" s="72">
        <f t="shared" si="4"/>
        <v>2233755.38</v>
      </c>
    </row>
    <row r="24" spans="1:7" x14ac:dyDescent="0.4">
      <c r="C24" t="s">
        <v>424</v>
      </c>
      <c r="D24" s="72">
        <f>'[1]Clean combined P&amp;Ls'!R148</f>
        <v>3723.71</v>
      </c>
      <c r="E24" s="72"/>
      <c r="F24" s="72"/>
      <c r="G24" s="72">
        <f t="shared" si="4"/>
        <v>3723.71</v>
      </c>
    </row>
    <row r="25" spans="1:7" x14ac:dyDescent="0.4">
      <c r="C25" t="s">
        <v>425</v>
      </c>
      <c r="D25" s="72">
        <f>'[1]Clean combined P&amp;Ls'!R274+'[1]Clean combined P&amp;Ls'!R271+'[1]Clean combined P&amp;Ls'!R270+'[1]Clean combined P&amp;Ls'!R254+'[1]Clean combined P&amp;Ls'!R175+'[1]Clean combined P&amp;Ls'!R245</f>
        <v>178320.45</v>
      </c>
      <c r="E25" s="72">
        <f>'[1]Known and measurable changes'!E15</f>
        <v>3000</v>
      </c>
      <c r="F25" s="72"/>
      <c r="G25" s="72">
        <f t="shared" si="4"/>
        <v>181320.45</v>
      </c>
    </row>
    <row r="26" spans="1:7" x14ac:dyDescent="0.4">
      <c r="C26" t="s">
        <v>426</v>
      </c>
      <c r="D26" s="72">
        <f>'[1]Clean combined P&amp;Ls'!R185+'[1]Clean combined P&amp;Ls'!R275</f>
        <v>88510.15</v>
      </c>
      <c r="E26" s="72"/>
      <c r="F26" s="72"/>
      <c r="G26" s="72">
        <f t="shared" si="4"/>
        <v>88510.15</v>
      </c>
    </row>
    <row r="27" spans="1:7" x14ac:dyDescent="0.4">
      <c r="C27" t="s">
        <v>427</v>
      </c>
      <c r="D27" s="72">
        <f>'[1]Clean combined P&amp;Ls'!R195</f>
        <v>16051.61</v>
      </c>
      <c r="E27" s="72"/>
      <c r="F27" s="72"/>
      <c r="G27" s="72">
        <f t="shared" si="4"/>
        <v>16051.61</v>
      </c>
    </row>
    <row r="28" spans="1:7" x14ac:dyDescent="0.4">
      <c r="C28" t="s">
        <v>115</v>
      </c>
      <c r="D28" s="73">
        <f>'[1]Clean combined P&amp;Ls'!R134+'[1]Clean combined P&amp;Ls'!R135+'[1]Clean combined P&amp;Ls'!R136+'[1]Clean combined P&amp;Ls'!R243+'[1]Clean combined P&amp;Ls'!R285</f>
        <v>1829718.06</v>
      </c>
      <c r="E28" s="73">
        <f>'[1]Known and measurable changes'!H3+'[1]Known and measurable changes'!H5+'[1]Known and measurable changes'!H7+'[1]Known and measurable changes'!H13+'[1]Known and measurable changes'!H9+'[1]Known and measurable changes'!H17</f>
        <v>313700</v>
      </c>
      <c r="F28" s="73"/>
      <c r="G28" s="72">
        <f t="shared" si="4"/>
        <v>2143418.06</v>
      </c>
    </row>
    <row r="29" spans="1:7" x14ac:dyDescent="0.4">
      <c r="B29" t="s">
        <v>428</v>
      </c>
      <c r="D29" s="72">
        <f>SUM(D17:D28)</f>
        <v>4350079.3599999994</v>
      </c>
      <c r="E29" s="72">
        <f t="shared" ref="E29:G29" si="5">SUM(E17:E28)</f>
        <v>316700</v>
      </c>
      <c r="F29" s="72">
        <f t="shared" si="5"/>
        <v>0</v>
      </c>
      <c r="G29" s="72">
        <f t="shared" si="5"/>
        <v>4666779.3599999994</v>
      </c>
    </row>
    <row r="30" spans="1:7" x14ac:dyDescent="0.4">
      <c r="B30" t="s">
        <v>382</v>
      </c>
      <c r="D30" s="72">
        <f>'[1]Clean combined P&amp;Ls'!R269</f>
        <v>257288</v>
      </c>
      <c r="E30" s="72"/>
      <c r="F30" s="72"/>
      <c r="G30" s="72">
        <f>D30+E30</f>
        <v>257288</v>
      </c>
    </row>
    <row r="31" spans="1:7" x14ac:dyDescent="0.4">
      <c r="B31" t="s">
        <v>386</v>
      </c>
      <c r="D31" s="72">
        <f>'[1]Clean combined P&amp;Ls'!R272</f>
        <v>4808</v>
      </c>
      <c r="E31" s="72"/>
      <c r="F31" s="72"/>
      <c r="G31" s="72">
        <f t="shared" ref="G31:G33" si="6">D31+E31</f>
        <v>4808</v>
      </c>
    </row>
    <row r="32" spans="1:7" x14ac:dyDescent="0.4">
      <c r="B32" t="s">
        <v>429</v>
      </c>
      <c r="D32" s="72">
        <f>'[1]Clean combined P&amp;Ls'!R102</f>
        <v>44903.86</v>
      </c>
      <c r="E32" s="72">
        <f>'[1]Known and measurable changes'!E11</f>
        <v>68500</v>
      </c>
      <c r="F32" s="72"/>
      <c r="G32" s="72">
        <f t="shared" si="6"/>
        <v>113403.86</v>
      </c>
    </row>
    <row r="33" spans="1:7" x14ac:dyDescent="0.4">
      <c r="B33" t="s">
        <v>430</v>
      </c>
      <c r="D33" s="72">
        <f>'[1]Clean combined P&amp;Ls'!R108</f>
        <v>30673</v>
      </c>
      <c r="E33" s="72"/>
      <c r="F33" s="72"/>
      <c r="G33" s="72">
        <f t="shared" si="6"/>
        <v>30673</v>
      </c>
    </row>
    <row r="34" spans="1:7" x14ac:dyDescent="0.4">
      <c r="A34" s="4" t="s">
        <v>431</v>
      </c>
      <c r="D34" s="73">
        <f>SUM(D29:D33)</f>
        <v>4687752.22</v>
      </c>
      <c r="E34" s="73">
        <f>SUM(E29:E33)</f>
        <v>385200</v>
      </c>
      <c r="F34" s="73">
        <f t="shared" ref="F34:G34" si="7">SUM(F29:F33)</f>
        <v>0</v>
      </c>
      <c r="G34" s="73">
        <f t="shared" si="7"/>
        <v>5072952.22</v>
      </c>
    </row>
    <row r="35" spans="1:7" x14ac:dyDescent="0.4">
      <c r="A35" s="4" t="s">
        <v>432</v>
      </c>
      <c r="D35" s="74">
        <f>D15-D34</f>
        <v>-524317.01000000024</v>
      </c>
      <c r="E35" s="74">
        <f t="shared" ref="E35:G35" si="8">E15-E34</f>
        <v>-385200</v>
      </c>
      <c r="F35" s="74">
        <f t="shared" si="8"/>
        <v>0</v>
      </c>
      <c r="G35" s="74">
        <f t="shared" si="8"/>
        <v>-909517.01000000024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39661C-EC56-4F79-A91B-6438F9C43DFA}">
  <dimension ref="A1:E21"/>
  <sheetViews>
    <sheetView workbookViewId="0">
      <selection activeCell="F14" sqref="F14"/>
    </sheetView>
  </sheetViews>
  <sheetFormatPr defaultRowHeight="14.6" x14ac:dyDescent="0.4"/>
  <cols>
    <col min="1" max="1" width="6.84375" customWidth="1"/>
    <col min="2" max="2" width="45.69140625" customWidth="1"/>
    <col min="3" max="3" width="13.53515625" bestFit="1" customWidth="1"/>
  </cols>
  <sheetData>
    <row r="1" spans="1:3" ht="18.45" x14ac:dyDescent="0.5">
      <c r="A1" s="82" t="s">
        <v>509</v>
      </c>
      <c r="B1" s="85"/>
    </row>
    <row r="4" spans="1:3" x14ac:dyDescent="0.4">
      <c r="A4" t="s">
        <v>433</v>
      </c>
      <c r="C4" s="72">
        <v>2700041.06</v>
      </c>
    </row>
    <row r="5" spans="1:3" x14ac:dyDescent="0.4">
      <c r="A5" t="s">
        <v>434</v>
      </c>
      <c r="C5" s="75">
        <v>0.88</v>
      </c>
    </row>
    <row r="6" spans="1:3" x14ac:dyDescent="0.4">
      <c r="A6" t="s">
        <v>435</v>
      </c>
      <c r="C6" s="72">
        <f>C4/C5</f>
        <v>3068228.4772727275</v>
      </c>
    </row>
    <row r="7" spans="1:3" x14ac:dyDescent="0.4">
      <c r="A7" t="s">
        <v>436</v>
      </c>
      <c r="B7" t="s">
        <v>433</v>
      </c>
      <c r="C7" s="72">
        <f>-C4</f>
        <v>-2700041.06</v>
      </c>
    </row>
    <row r="8" spans="1:3" x14ac:dyDescent="0.4">
      <c r="A8" t="s">
        <v>437</v>
      </c>
      <c r="C8" s="72">
        <f>C6+C7</f>
        <v>368187.41727272747</v>
      </c>
    </row>
    <row r="9" spans="1:3" x14ac:dyDescent="0.4">
      <c r="A9" t="s">
        <v>438</v>
      </c>
      <c r="B9" t="s">
        <v>439</v>
      </c>
      <c r="C9" s="72">
        <v>30673</v>
      </c>
    </row>
    <row r="10" spans="1:3" x14ac:dyDescent="0.4">
      <c r="B10" t="s">
        <v>440</v>
      </c>
      <c r="C10" s="72">
        <v>108482.78</v>
      </c>
    </row>
    <row r="11" spans="1:3" x14ac:dyDescent="0.4">
      <c r="B11" t="s">
        <v>441</v>
      </c>
      <c r="C11" s="72">
        <f>C4</f>
        <v>2700041.06</v>
      </c>
    </row>
    <row r="12" spans="1:3" x14ac:dyDescent="0.4">
      <c r="B12" t="s">
        <v>442</v>
      </c>
      <c r="C12" s="72">
        <v>2233755.38</v>
      </c>
    </row>
    <row r="13" spans="1:3" x14ac:dyDescent="0.4">
      <c r="A13" t="s">
        <v>443</v>
      </c>
      <c r="C13" s="72">
        <f>SUM(C8:C12)</f>
        <v>5441139.6372727277</v>
      </c>
    </row>
    <row r="14" spans="1:3" x14ac:dyDescent="0.4">
      <c r="A14" t="s">
        <v>444</v>
      </c>
      <c r="B14" t="s">
        <v>445</v>
      </c>
      <c r="C14" s="72">
        <v>115680</v>
      </c>
    </row>
    <row r="15" spans="1:3" x14ac:dyDescent="0.4">
      <c r="B15" t="s">
        <v>446</v>
      </c>
      <c r="C15" s="72"/>
    </row>
    <row r="16" spans="1:3" x14ac:dyDescent="0.4">
      <c r="B16" t="s">
        <v>447</v>
      </c>
      <c r="C16" s="72"/>
    </row>
    <row r="17" spans="1:5" x14ac:dyDescent="0.4">
      <c r="A17" t="s">
        <v>448</v>
      </c>
      <c r="C17" s="72">
        <f>C13-C14-C15-C16</f>
        <v>5325459.6372727277</v>
      </c>
    </row>
    <row r="18" spans="1:5" x14ac:dyDescent="0.4">
      <c r="A18" t="s">
        <v>436</v>
      </c>
      <c r="B18" t="s">
        <v>449</v>
      </c>
      <c r="C18" s="72">
        <v>4163435.21</v>
      </c>
    </row>
    <row r="19" spans="1:5" x14ac:dyDescent="0.4">
      <c r="A19" t="s">
        <v>450</v>
      </c>
      <c r="C19" s="72">
        <f>C17-C18</f>
        <v>1162024.4272727277</v>
      </c>
    </row>
    <row r="21" spans="1:5" x14ac:dyDescent="0.4">
      <c r="A21" t="s">
        <v>451</v>
      </c>
      <c r="E21" s="76">
        <f>C19/C18</f>
        <v>0.27910232023827453</v>
      </c>
    </row>
  </sheetData>
  <pageMargins left="0.7" right="0.7" top="0.75" bottom="0.75" header="0.3" footer="0.3"/>
  <pageSetup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D03E7-5527-4EE2-87ED-47E7EAC47621}">
  <dimension ref="A1:P13"/>
  <sheetViews>
    <sheetView workbookViewId="0"/>
  </sheetViews>
  <sheetFormatPr defaultRowHeight="18" customHeight="1" x14ac:dyDescent="0.45"/>
  <cols>
    <col min="1" max="1" width="27.15234375" style="23" customWidth="1"/>
    <col min="2" max="2" width="10" style="23" customWidth="1"/>
    <col min="3" max="3" width="12.84375" style="23" customWidth="1"/>
    <col min="4" max="4" width="4.921875" style="23" customWidth="1"/>
    <col min="5" max="5" width="12.4609375" style="23" customWidth="1"/>
    <col min="6" max="16384" width="9.23046875" style="23"/>
  </cols>
  <sheetData>
    <row r="1" spans="1:16" ht="18" customHeight="1" x14ac:dyDescent="0.5">
      <c r="A1" s="82" t="s">
        <v>429</v>
      </c>
      <c r="B1" s="45"/>
    </row>
    <row r="2" spans="1:16" ht="18" customHeight="1" x14ac:dyDescent="0.45">
      <c r="A2" s="26"/>
      <c r="D2"/>
      <c r="E2"/>
      <c r="F2"/>
      <c r="G2"/>
      <c r="H2"/>
      <c r="I2"/>
    </row>
    <row r="3" spans="1:16" ht="18" customHeight="1" x14ac:dyDescent="0.45">
      <c r="C3" s="22">
        <v>2024</v>
      </c>
      <c r="D3"/>
      <c r="E3" s="22">
        <v>2023</v>
      </c>
      <c r="F3"/>
      <c r="G3"/>
      <c r="H3" s="4"/>
      <c r="I3"/>
      <c r="J3"/>
      <c r="K3"/>
      <c r="L3"/>
      <c r="M3"/>
      <c r="N3"/>
      <c r="O3"/>
      <c r="P3"/>
    </row>
    <row r="4" spans="1:16" ht="18" customHeight="1" x14ac:dyDescent="0.45">
      <c r="A4" s="23" t="s">
        <v>489</v>
      </c>
      <c r="B4" s="29"/>
      <c r="C4" s="28"/>
      <c r="E4" s="81">
        <v>69.8</v>
      </c>
      <c r="G4"/>
      <c r="H4"/>
      <c r="I4"/>
      <c r="J4"/>
      <c r="K4"/>
      <c r="L4"/>
      <c r="M4"/>
      <c r="N4"/>
      <c r="O4"/>
      <c r="P4"/>
    </row>
    <row r="5" spans="1:16" ht="18" customHeight="1" x14ac:dyDescent="0.45">
      <c r="A5" s="23" t="s">
        <v>490</v>
      </c>
      <c r="B5"/>
      <c r="C5" s="81">
        <v>9305.14</v>
      </c>
      <c r="E5" s="81">
        <v>111944.5</v>
      </c>
      <c r="G5"/>
      <c r="H5"/>
      <c r="I5"/>
      <c r="J5"/>
      <c r="K5" s="4"/>
      <c r="L5"/>
      <c r="M5"/>
      <c r="N5"/>
      <c r="O5"/>
      <c r="P5" s="4"/>
    </row>
    <row r="6" spans="1:16" ht="18" customHeight="1" x14ac:dyDescent="0.45">
      <c r="A6" s="23" t="s">
        <v>491</v>
      </c>
      <c r="B6"/>
      <c r="C6" s="81">
        <v>8352.93</v>
      </c>
      <c r="E6" s="81">
        <v>8273.7199999999993</v>
      </c>
      <c r="G6"/>
      <c r="H6"/>
      <c r="I6"/>
      <c r="J6"/>
      <c r="K6"/>
      <c r="L6"/>
      <c r="M6"/>
      <c r="N6"/>
      <c r="O6"/>
      <c r="P6"/>
    </row>
    <row r="7" spans="1:16" ht="18" customHeight="1" x14ac:dyDescent="0.45">
      <c r="A7" s="23" t="s">
        <v>492</v>
      </c>
      <c r="B7"/>
      <c r="C7" s="81">
        <v>22888.66</v>
      </c>
      <c r="E7" s="81">
        <v>19500</v>
      </c>
      <c r="G7"/>
      <c r="H7"/>
      <c r="I7"/>
      <c r="J7"/>
      <c r="K7"/>
      <c r="L7"/>
      <c r="M7"/>
      <c r="N7"/>
      <c r="O7"/>
      <c r="P7"/>
    </row>
    <row r="8" spans="1:16" ht="18" customHeight="1" x14ac:dyDescent="0.45">
      <c r="A8" s="23" t="s">
        <v>493</v>
      </c>
      <c r="B8"/>
      <c r="C8" s="81">
        <v>30</v>
      </c>
      <c r="E8" s="81">
        <v>30</v>
      </c>
      <c r="G8"/>
      <c r="H8"/>
      <c r="I8"/>
      <c r="J8"/>
      <c r="K8"/>
      <c r="L8"/>
      <c r="M8"/>
      <c r="N8"/>
      <c r="O8"/>
      <c r="P8"/>
    </row>
    <row r="9" spans="1:16" ht="18" customHeight="1" x14ac:dyDescent="0.45">
      <c r="A9" s="23" t="s">
        <v>494</v>
      </c>
      <c r="C9" s="81">
        <v>858.5</v>
      </c>
      <c r="E9" s="81">
        <v>231.51</v>
      </c>
      <c r="G9"/>
      <c r="H9"/>
      <c r="I9"/>
      <c r="J9"/>
      <c r="K9"/>
      <c r="L9"/>
      <c r="M9"/>
      <c r="N9"/>
      <c r="O9"/>
      <c r="P9"/>
    </row>
    <row r="10" spans="1:16" ht="18" customHeight="1" x14ac:dyDescent="0.45">
      <c r="A10" s="23" t="s">
        <v>495</v>
      </c>
      <c r="C10" s="81">
        <v>100</v>
      </c>
      <c r="E10" s="81"/>
      <c r="G10"/>
      <c r="H10"/>
      <c r="I10"/>
      <c r="J10"/>
      <c r="K10"/>
      <c r="L10"/>
      <c r="M10"/>
      <c r="N10"/>
      <c r="O10"/>
      <c r="P10"/>
    </row>
    <row r="11" spans="1:16" ht="18" customHeight="1" x14ac:dyDescent="0.45">
      <c r="A11" s="23" t="s">
        <v>496</v>
      </c>
      <c r="B11"/>
      <c r="C11" s="81">
        <v>73.430000000000007</v>
      </c>
      <c r="E11" s="81"/>
      <c r="G11"/>
      <c r="H11"/>
      <c r="I11"/>
      <c r="J11"/>
      <c r="K11"/>
      <c r="L11"/>
      <c r="M11"/>
      <c r="N11"/>
      <c r="O11"/>
      <c r="P11"/>
    </row>
    <row r="12" spans="1:16" ht="18" customHeight="1" x14ac:dyDescent="0.45">
      <c r="A12" s="24"/>
      <c r="G12"/>
      <c r="H12"/>
      <c r="I12"/>
      <c r="J12" s="4"/>
      <c r="K12"/>
      <c r="L12"/>
      <c r="M12"/>
      <c r="N12"/>
      <c r="O12"/>
      <c r="P12"/>
    </row>
    <row r="13" spans="1:16" ht="18" customHeight="1" x14ac:dyDescent="0.45">
      <c r="A13" s="84" t="s">
        <v>476</v>
      </c>
      <c r="C13" s="83">
        <f>SUM(C5:C12)</f>
        <v>41608.659999999996</v>
      </c>
      <c r="D13"/>
      <c r="E13" s="83">
        <f>SUM(E5:E12)</f>
        <v>139979.73000000001</v>
      </c>
      <c r="G13"/>
      <c r="H13"/>
      <c r="I13"/>
      <c r="J13" s="4"/>
    </row>
  </sheetData>
  <pageMargins left="0.7" right="0.7" top="0.75" bottom="0.75" header="0.3" footer="0.3"/>
  <pageSetup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E8627B-4950-4594-944F-71AFFAD268FC}">
  <dimension ref="A1:G13"/>
  <sheetViews>
    <sheetView workbookViewId="0">
      <selection activeCell="D1" sqref="D1"/>
    </sheetView>
  </sheetViews>
  <sheetFormatPr defaultRowHeight="14.6" x14ac:dyDescent="0.4"/>
  <cols>
    <col min="2" max="2" width="12.69140625" bestFit="1" customWidth="1"/>
    <col min="3" max="5" width="12.3046875" style="18" bestFit="1" customWidth="1"/>
    <col min="6" max="7" width="11.3046875" style="18" bestFit="1" customWidth="1"/>
  </cols>
  <sheetData>
    <row r="1" spans="1:7" ht="18.45" x14ac:dyDescent="0.5">
      <c r="A1" s="82" t="s">
        <v>460</v>
      </c>
      <c r="B1" s="45"/>
      <c r="C1" s="78"/>
      <c r="D1" s="78"/>
    </row>
    <row r="3" spans="1:7" ht="15" thickBot="1" x14ac:dyDescent="0.45">
      <c r="A3" s="11" t="s">
        <v>27</v>
      </c>
      <c r="B3" s="11" t="s">
        <v>49</v>
      </c>
      <c r="C3" s="12" t="s">
        <v>50</v>
      </c>
      <c r="D3" s="12" t="s">
        <v>51</v>
      </c>
      <c r="E3" s="12" t="s">
        <v>52</v>
      </c>
      <c r="F3" s="12" t="s">
        <v>53</v>
      </c>
      <c r="G3" s="12" t="s">
        <v>54</v>
      </c>
    </row>
    <row r="4" spans="1:7" x14ac:dyDescent="0.4">
      <c r="A4" s="13"/>
      <c r="B4" s="14"/>
      <c r="C4" s="15"/>
      <c r="D4" s="15"/>
      <c r="E4" s="15"/>
      <c r="F4" s="15"/>
      <c r="G4" s="15"/>
    </row>
    <row r="5" spans="1:7" x14ac:dyDescent="0.4">
      <c r="A5" s="13">
        <v>2020</v>
      </c>
      <c r="B5" s="14">
        <v>118</v>
      </c>
      <c r="C5" s="15">
        <v>-17137.099999999991</v>
      </c>
      <c r="D5" s="15">
        <v>-7298.1900000000051</v>
      </c>
      <c r="E5" s="15">
        <v>-2554.0099999999998</v>
      </c>
      <c r="F5" s="15">
        <v>-193.9199999999999</v>
      </c>
      <c r="G5" s="15">
        <v>-924.91000000000031</v>
      </c>
    </row>
    <row r="6" spans="1:7" x14ac:dyDescent="0.4">
      <c r="A6" s="13">
        <v>2021</v>
      </c>
      <c r="B6" s="14">
        <v>128</v>
      </c>
      <c r="C6" s="15">
        <v>-19132.089999999997</v>
      </c>
      <c r="D6" s="15">
        <v>-8689.57</v>
      </c>
      <c r="E6" s="15">
        <v>-4008.22</v>
      </c>
      <c r="F6" s="15">
        <v>-314.36000000000007</v>
      </c>
      <c r="G6" s="15">
        <v>-1471.7</v>
      </c>
    </row>
    <row r="7" spans="1:7" x14ac:dyDescent="0.4">
      <c r="A7" s="13">
        <v>2022</v>
      </c>
      <c r="B7" s="14">
        <v>71</v>
      </c>
      <c r="C7" s="15">
        <v>-12364.4</v>
      </c>
      <c r="D7" s="15">
        <v>-6876.3600000000015</v>
      </c>
      <c r="E7" s="15">
        <v>-1360.37</v>
      </c>
      <c r="F7" s="15">
        <v>-105.16999999999996</v>
      </c>
      <c r="G7" s="15">
        <v>-510.08000000000004</v>
      </c>
    </row>
    <row r="8" spans="1:7" x14ac:dyDescent="0.4">
      <c r="A8" s="13">
        <v>2023</v>
      </c>
      <c r="B8" s="14">
        <v>74</v>
      </c>
      <c r="C8" s="15">
        <v>-25860.420000000002</v>
      </c>
      <c r="D8" s="15">
        <v>-15894.780000000004</v>
      </c>
      <c r="E8" s="15">
        <v>-3072.35</v>
      </c>
      <c r="F8" s="15">
        <v>-234.68</v>
      </c>
      <c r="G8" s="15">
        <v>-1171.6599999999999</v>
      </c>
    </row>
    <row r="9" spans="1:7" x14ac:dyDescent="0.4">
      <c r="A9" s="13">
        <v>2024</v>
      </c>
      <c r="B9" s="14">
        <v>105</v>
      </c>
      <c r="C9" s="15">
        <v>-19484.980000000003</v>
      </c>
      <c r="D9" s="15">
        <v>-8862.7900000000009</v>
      </c>
      <c r="E9" s="15">
        <v>-2673.3999999999987</v>
      </c>
      <c r="F9" s="15">
        <v>-205.84999999999997</v>
      </c>
      <c r="G9" s="15">
        <v>-997.41</v>
      </c>
    </row>
    <row r="10" spans="1:7" x14ac:dyDescent="0.4">
      <c r="A10" s="13"/>
      <c r="B10" s="14"/>
      <c r="C10" s="15"/>
      <c r="D10" s="15"/>
      <c r="E10" s="15"/>
      <c r="F10" s="15"/>
      <c r="G10" s="15"/>
    </row>
    <row r="11" spans="1:7" ht="15" thickBot="1" x14ac:dyDescent="0.45">
      <c r="A11" s="16" t="s">
        <v>50</v>
      </c>
      <c r="B11" s="16">
        <f>SUM(B5:B9)</f>
        <v>496</v>
      </c>
      <c r="C11" s="17">
        <f>SUM(C5:C9)</f>
        <v>-93978.989999999991</v>
      </c>
      <c r="D11" s="17">
        <f t="shared" ref="D11:G11" si="0">SUM(D5:D9)</f>
        <v>-47621.69000000001</v>
      </c>
      <c r="E11" s="17">
        <f t="shared" si="0"/>
        <v>-13668.349999999999</v>
      </c>
      <c r="F11" s="17">
        <f t="shared" si="0"/>
        <v>-1053.9799999999998</v>
      </c>
      <c r="G11" s="17">
        <f t="shared" si="0"/>
        <v>-5075.76</v>
      </c>
    </row>
    <row r="12" spans="1:7" ht="15" thickTop="1" x14ac:dyDescent="0.4"/>
    <row r="13" spans="1:7" x14ac:dyDescent="0.4">
      <c r="A13" s="7" t="s">
        <v>55</v>
      </c>
      <c r="B13" s="19">
        <f>AVERAGE(B4:B10)</f>
        <v>99.2</v>
      </c>
      <c r="C13" s="20">
        <f>AVERAGE(C4:C10)</f>
        <v>-18795.797999999999</v>
      </c>
      <c r="D13" s="20">
        <f t="shared" ref="D13:E13" si="1">AVERAGE(D4:D10)</f>
        <v>-9524.3380000000016</v>
      </c>
      <c r="E13" s="20">
        <f t="shared" si="1"/>
        <v>-2733.6699999999996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27710-02DD-4AB7-A33D-62EF980BFE6A}">
  <dimension ref="A1:R95"/>
  <sheetViews>
    <sheetView workbookViewId="0">
      <pane xSplit="7" ySplit="2" topLeftCell="H15" activePane="bottomRight" state="frozen"/>
      <selection pane="topRight" activeCell="H1" sqref="H1"/>
      <selection pane="bottomLeft" activeCell="A3" sqref="A3"/>
      <selection pane="bottomRight" sqref="A1:F1"/>
    </sheetView>
  </sheetViews>
  <sheetFormatPr defaultRowHeight="14.6" x14ac:dyDescent="0.4"/>
  <cols>
    <col min="1" max="6" width="4" customWidth="1"/>
    <col min="7" max="7" width="26.61328125" customWidth="1"/>
    <col min="16" max="16" width="12.3828125" bestFit="1" customWidth="1"/>
  </cols>
  <sheetData>
    <row r="1" spans="1:17" ht="18.899999999999999" thickBot="1" x14ac:dyDescent="0.55000000000000004">
      <c r="A1" s="82" t="s">
        <v>453</v>
      </c>
      <c r="B1" s="85"/>
      <c r="C1" s="85"/>
      <c r="D1" s="85"/>
      <c r="E1" s="85"/>
      <c r="F1" s="85"/>
      <c r="G1" s="45"/>
      <c r="H1" s="36"/>
      <c r="I1" s="38"/>
      <c r="J1" s="36"/>
      <c r="K1" s="38"/>
      <c r="L1" s="39"/>
    </row>
    <row r="2" spans="1:17" ht="15.45" thickTop="1" thickBot="1" x14ac:dyDescent="0.45">
      <c r="H2" s="40" t="s">
        <v>98</v>
      </c>
      <c r="I2" s="41"/>
      <c r="J2" s="40" t="s">
        <v>99</v>
      </c>
      <c r="K2" s="41"/>
      <c r="L2" s="40" t="s">
        <v>100</v>
      </c>
      <c r="M2" s="3"/>
      <c r="N2" s="40" t="s">
        <v>101</v>
      </c>
      <c r="O2" s="3"/>
      <c r="P2" s="40" t="s">
        <v>102</v>
      </c>
    </row>
    <row r="3" spans="1:17" ht="15" thickTop="1" x14ac:dyDescent="0.4">
      <c r="A3" s="33"/>
      <c r="B3" s="33"/>
      <c r="C3" s="33"/>
      <c r="D3" s="33" t="s">
        <v>116</v>
      </c>
      <c r="E3" s="33"/>
      <c r="F3" s="33"/>
      <c r="G3" s="33"/>
      <c r="H3" s="34"/>
      <c r="I3" s="42"/>
      <c r="J3" s="34"/>
      <c r="K3" s="42"/>
      <c r="L3" s="34"/>
      <c r="N3" s="34"/>
      <c r="P3" s="34"/>
      <c r="Q3" s="34"/>
    </row>
    <row r="4" spans="1:17" x14ac:dyDescent="0.4">
      <c r="A4" s="33"/>
      <c r="B4" s="33"/>
      <c r="C4" s="33"/>
      <c r="D4" s="33"/>
      <c r="E4" s="33" t="s">
        <v>117</v>
      </c>
      <c r="F4" s="33"/>
      <c r="G4" s="33"/>
      <c r="H4" s="34">
        <v>0</v>
      </c>
      <c r="I4" s="42"/>
      <c r="J4" s="34">
        <v>0</v>
      </c>
      <c r="K4" s="42"/>
      <c r="L4" s="34"/>
      <c r="N4" s="34"/>
      <c r="P4" s="34"/>
      <c r="Q4" s="34"/>
    </row>
    <row r="5" spans="1:17" x14ac:dyDescent="0.4">
      <c r="A5" s="33"/>
      <c r="B5" s="33"/>
      <c r="C5" s="33"/>
      <c r="D5" s="33"/>
      <c r="E5" s="33" t="s">
        <v>118</v>
      </c>
      <c r="F5" s="33"/>
      <c r="G5" s="33"/>
      <c r="H5" s="34">
        <v>0</v>
      </c>
      <c r="I5" s="42"/>
      <c r="J5" s="34">
        <v>0</v>
      </c>
      <c r="K5" s="42"/>
      <c r="L5" s="34"/>
      <c r="N5" s="34"/>
      <c r="P5" s="34"/>
      <c r="Q5" s="34"/>
    </row>
    <row r="6" spans="1:17" x14ac:dyDescent="0.4">
      <c r="A6" s="33"/>
      <c r="B6" s="33"/>
      <c r="C6" s="33"/>
      <c r="D6" s="33"/>
      <c r="E6" s="33" t="s">
        <v>119</v>
      </c>
      <c r="F6" s="33"/>
      <c r="G6" s="33"/>
      <c r="H6" s="34">
        <v>0</v>
      </c>
      <c r="I6" s="42"/>
      <c r="J6" s="34">
        <v>0</v>
      </c>
      <c r="K6" s="42"/>
      <c r="L6" s="34"/>
      <c r="N6" s="34"/>
      <c r="P6" s="34"/>
      <c r="Q6" s="34"/>
    </row>
    <row r="7" spans="1:17" x14ac:dyDescent="0.4">
      <c r="A7" s="33"/>
      <c r="B7" s="33"/>
      <c r="C7" s="33"/>
      <c r="D7" s="33"/>
      <c r="E7" s="33" t="s">
        <v>120</v>
      </c>
      <c r="F7" s="33"/>
      <c r="G7" s="33"/>
      <c r="H7" s="34">
        <v>60790.400000000001</v>
      </c>
      <c r="I7" s="42"/>
      <c r="J7" s="34">
        <v>38814.36</v>
      </c>
      <c r="K7" s="42"/>
      <c r="L7" s="34">
        <v>56123.41</v>
      </c>
      <c r="N7" s="34">
        <v>99996.58</v>
      </c>
      <c r="P7" s="34">
        <v>79936.12</v>
      </c>
      <c r="Q7" s="34"/>
    </row>
    <row r="8" spans="1:17" x14ac:dyDescent="0.4">
      <c r="A8" s="33"/>
      <c r="B8" s="33"/>
      <c r="C8" s="33"/>
      <c r="D8" s="33"/>
      <c r="E8" s="33" t="s">
        <v>121</v>
      </c>
      <c r="F8" s="33"/>
      <c r="G8" s="33"/>
      <c r="H8" s="34">
        <v>6.41</v>
      </c>
      <c r="I8" s="42"/>
      <c r="J8" s="34">
        <v>0.95</v>
      </c>
      <c r="K8" s="42"/>
      <c r="L8" s="34">
        <v>0</v>
      </c>
      <c r="N8" s="34"/>
      <c r="P8" s="34"/>
      <c r="Q8" s="34"/>
    </row>
    <row r="9" spans="1:17" x14ac:dyDescent="0.4">
      <c r="A9" s="33"/>
      <c r="B9" s="33"/>
      <c r="C9" s="33"/>
      <c r="D9" s="33"/>
      <c r="E9" s="33" t="s">
        <v>122</v>
      </c>
      <c r="F9" s="33"/>
      <c r="G9" s="33"/>
      <c r="H9" s="34">
        <v>158.71</v>
      </c>
      <c r="I9" s="42"/>
      <c r="J9" s="34">
        <v>62.02</v>
      </c>
      <c r="K9" s="42"/>
      <c r="L9" s="34">
        <v>0</v>
      </c>
      <c r="N9" s="34"/>
      <c r="P9" s="34"/>
      <c r="Q9" s="34"/>
    </row>
    <row r="10" spans="1:17" x14ac:dyDescent="0.4">
      <c r="A10" s="33"/>
      <c r="B10" s="33"/>
      <c r="C10" s="33"/>
      <c r="D10" s="33"/>
      <c r="E10" s="33" t="s">
        <v>123</v>
      </c>
      <c r="F10" s="33"/>
      <c r="G10" s="33"/>
      <c r="H10" s="34">
        <v>859.1</v>
      </c>
      <c r="I10" s="42"/>
      <c r="J10" s="34">
        <v>584.28</v>
      </c>
      <c r="K10" s="42"/>
      <c r="L10" s="34">
        <v>339.08</v>
      </c>
      <c r="N10" s="34">
        <v>40.340000000000003</v>
      </c>
      <c r="P10" s="34"/>
      <c r="Q10" s="34"/>
    </row>
    <row r="11" spans="1:17" x14ac:dyDescent="0.4">
      <c r="A11" s="33"/>
      <c r="B11" s="33"/>
      <c r="C11" s="33"/>
      <c r="D11" s="33"/>
      <c r="E11" s="33" t="s">
        <v>124</v>
      </c>
      <c r="F11" s="33"/>
      <c r="G11" s="33"/>
      <c r="H11" s="34">
        <v>442.93</v>
      </c>
      <c r="I11" s="42"/>
      <c r="J11" s="34">
        <v>153.24</v>
      </c>
      <c r="K11" s="42"/>
      <c r="L11" s="34">
        <v>112.32</v>
      </c>
      <c r="N11" s="34">
        <v>749.9</v>
      </c>
      <c r="P11" s="34">
        <v>18.059999999999999</v>
      </c>
      <c r="Q11" s="34"/>
    </row>
    <row r="12" spans="1:17" x14ac:dyDescent="0.4">
      <c r="A12" s="33"/>
      <c r="B12" s="33"/>
      <c r="C12" s="33"/>
      <c r="D12" s="33"/>
      <c r="E12" s="33" t="s">
        <v>125</v>
      </c>
      <c r="F12" s="33"/>
      <c r="G12" s="33"/>
      <c r="H12" s="34">
        <v>248.91</v>
      </c>
      <c r="I12" s="42"/>
      <c r="J12" s="34">
        <v>203.73</v>
      </c>
      <c r="K12" s="42"/>
      <c r="L12" s="34">
        <v>129.61000000000001</v>
      </c>
      <c r="N12" s="34">
        <v>686.37</v>
      </c>
      <c r="P12" s="34"/>
      <c r="Q12" s="34"/>
    </row>
    <row r="13" spans="1:17" x14ac:dyDescent="0.4">
      <c r="A13" s="33"/>
      <c r="B13" s="33"/>
      <c r="C13" s="33"/>
      <c r="D13" s="33"/>
      <c r="E13" s="33" t="s">
        <v>126</v>
      </c>
      <c r="F13" s="33"/>
      <c r="G13" s="33"/>
      <c r="H13" s="34">
        <v>0</v>
      </c>
      <c r="I13" s="42"/>
      <c r="J13" s="34">
        <v>642.55999999999995</v>
      </c>
      <c r="K13" s="42"/>
      <c r="L13" s="34">
        <v>615.04</v>
      </c>
      <c r="N13" s="34">
        <v>0</v>
      </c>
      <c r="P13" s="34">
        <v>1201.74</v>
      </c>
      <c r="Q13" s="34"/>
    </row>
    <row r="14" spans="1:17" x14ac:dyDescent="0.4">
      <c r="A14" s="33"/>
      <c r="B14" s="33"/>
      <c r="C14" s="33"/>
      <c r="D14" s="33"/>
      <c r="E14" s="33" t="s">
        <v>127</v>
      </c>
      <c r="F14" s="33"/>
      <c r="G14" s="33"/>
      <c r="H14" s="34">
        <v>1696.73</v>
      </c>
      <c r="I14" s="42"/>
      <c r="J14" s="34">
        <v>1176.8900000000001</v>
      </c>
      <c r="K14" s="42"/>
      <c r="L14" s="34">
        <v>871.07</v>
      </c>
      <c r="N14" s="34">
        <v>550.89</v>
      </c>
      <c r="P14" s="34">
        <v>202.18</v>
      </c>
      <c r="Q14" s="34"/>
    </row>
    <row r="15" spans="1:17" x14ac:dyDescent="0.4">
      <c r="A15" s="33"/>
      <c r="B15" s="33"/>
      <c r="C15" s="33"/>
      <c r="D15" s="33"/>
      <c r="E15" s="33" t="s">
        <v>128</v>
      </c>
      <c r="F15" s="33"/>
      <c r="G15" s="33"/>
      <c r="H15" s="34">
        <v>1698.27</v>
      </c>
      <c r="I15" s="42"/>
      <c r="J15" s="34">
        <v>1178.18</v>
      </c>
      <c r="K15" s="42"/>
      <c r="L15" s="34">
        <v>872.03</v>
      </c>
      <c r="N15" s="34">
        <v>494.4</v>
      </c>
      <c r="P15" s="34">
        <v>-430.72</v>
      </c>
      <c r="Q15" s="34"/>
    </row>
    <row r="16" spans="1:17" x14ac:dyDescent="0.4">
      <c r="A16" s="33"/>
      <c r="B16" s="33"/>
      <c r="C16" s="33"/>
      <c r="D16" s="33"/>
      <c r="E16" s="33" t="s">
        <v>129</v>
      </c>
      <c r="F16" s="33"/>
      <c r="G16" s="33"/>
      <c r="H16" s="34">
        <v>1786.28</v>
      </c>
      <c r="I16" s="42"/>
      <c r="J16" s="34">
        <v>1569.3</v>
      </c>
      <c r="K16" s="42"/>
      <c r="L16" s="34">
        <v>956.81</v>
      </c>
      <c r="N16" s="34">
        <v>359.11</v>
      </c>
      <c r="P16" s="34">
        <v>2.2400000000000002</v>
      </c>
      <c r="Q16" s="34"/>
    </row>
    <row r="17" spans="1:18" x14ac:dyDescent="0.4">
      <c r="A17" s="33"/>
      <c r="B17" s="33"/>
      <c r="C17" s="33"/>
      <c r="D17" s="33"/>
      <c r="E17" s="33" t="s">
        <v>130</v>
      </c>
      <c r="F17" s="33"/>
      <c r="G17" s="33"/>
      <c r="H17" s="34">
        <v>368.57</v>
      </c>
      <c r="I17" s="42"/>
      <c r="J17" s="34">
        <v>1140.8800000000001</v>
      </c>
      <c r="K17" s="42"/>
      <c r="L17" s="34">
        <v>870.43</v>
      </c>
      <c r="N17" s="34">
        <v>588.07000000000005</v>
      </c>
      <c r="P17" s="34">
        <v>273.29000000000002</v>
      </c>
      <c r="Q17" s="34"/>
    </row>
    <row r="18" spans="1:18" x14ac:dyDescent="0.4">
      <c r="A18" s="33"/>
      <c r="B18" s="33"/>
      <c r="C18" s="33"/>
      <c r="D18" s="33"/>
      <c r="E18" s="33" t="s">
        <v>131</v>
      </c>
      <c r="F18" s="33"/>
      <c r="G18" s="33"/>
      <c r="H18" s="34">
        <v>0</v>
      </c>
      <c r="I18" s="42"/>
      <c r="J18" s="34">
        <v>1372.19</v>
      </c>
      <c r="K18" s="42"/>
      <c r="L18" s="34">
        <v>1098.74</v>
      </c>
      <c r="N18" s="34">
        <v>751.47</v>
      </c>
      <c r="P18" s="34">
        <v>456.33</v>
      </c>
      <c r="Q18" s="34"/>
    </row>
    <row r="19" spans="1:18" x14ac:dyDescent="0.4">
      <c r="A19" s="33"/>
      <c r="B19" s="33"/>
      <c r="C19" s="33"/>
      <c r="D19" s="33"/>
      <c r="E19" s="33" t="s">
        <v>132</v>
      </c>
      <c r="F19" s="33"/>
      <c r="G19" s="33"/>
      <c r="H19" s="34">
        <v>0</v>
      </c>
      <c r="I19" s="42"/>
      <c r="J19" s="34">
        <v>1042.3900000000001</v>
      </c>
      <c r="K19" s="42"/>
      <c r="L19" s="34">
        <v>1140.6300000000001</v>
      </c>
      <c r="N19" s="34">
        <v>798.23</v>
      </c>
      <c r="P19" s="34">
        <v>539.74</v>
      </c>
      <c r="Q19" s="34"/>
    </row>
    <row r="20" spans="1:18" x14ac:dyDescent="0.4">
      <c r="A20" s="33"/>
      <c r="B20" s="33"/>
      <c r="C20" s="33"/>
      <c r="D20" s="33"/>
      <c r="E20" s="33" t="s">
        <v>133</v>
      </c>
      <c r="F20" s="33"/>
      <c r="G20" s="33"/>
      <c r="H20" s="34">
        <v>0</v>
      </c>
      <c r="I20" s="42"/>
      <c r="J20" s="34">
        <v>0</v>
      </c>
      <c r="K20" s="42"/>
      <c r="L20" s="34">
        <v>1182.8900000000001</v>
      </c>
      <c r="N20" s="34">
        <v>823.14</v>
      </c>
      <c r="P20" s="34">
        <v>526.30999999999995</v>
      </c>
      <c r="Q20" s="34"/>
    </row>
    <row r="21" spans="1:18" x14ac:dyDescent="0.4">
      <c r="A21" s="33"/>
      <c r="B21" s="33"/>
      <c r="C21" s="33"/>
      <c r="D21" s="33"/>
      <c r="E21" s="33" t="s">
        <v>134</v>
      </c>
      <c r="F21" s="33"/>
      <c r="G21" s="33"/>
      <c r="H21" s="34">
        <v>4596.7</v>
      </c>
      <c r="I21" s="42"/>
      <c r="J21" s="34">
        <v>3696.85</v>
      </c>
      <c r="K21" s="42"/>
      <c r="L21" s="34">
        <v>2835.95</v>
      </c>
      <c r="N21" s="34">
        <v>2503.38</v>
      </c>
      <c r="P21" s="34">
        <v>1308.78</v>
      </c>
      <c r="Q21" s="34"/>
    </row>
    <row r="22" spans="1:18" x14ac:dyDescent="0.4">
      <c r="A22" s="33"/>
      <c r="B22" s="33"/>
      <c r="C22" s="33"/>
      <c r="D22" s="33"/>
      <c r="E22" s="33" t="s">
        <v>135</v>
      </c>
      <c r="F22" s="33"/>
      <c r="G22" s="33"/>
      <c r="H22" s="34">
        <v>0</v>
      </c>
      <c r="I22" s="42"/>
      <c r="J22" s="34">
        <v>0</v>
      </c>
      <c r="K22" s="42"/>
      <c r="L22" s="34">
        <v>841.37</v>
      </c>
      <c r="N22" s="34">
        <v>1221.32</v>
      </c>
      <c r="P22" s="34">
        <v>1023.7</v>
      </c>
      <c r="Q22" s="34"/>
    </row>
    <row r="23" spans="1:18" x14ac:dyDescent="0.4">
      <c r="A23" s="33"/>
      <c r="B23" s="33"/>
      <c r="C23" s="33"/>
      <c r="D23" s="33"/>
      <c r="E23" s="33" t="s">
        <v>136</v>
      </c>
      <c r="F23" s="33"/>
      <c r="G23" s="33"/>
      <c r="H23" s="34"/>
      <c r="I23" s="42"/>
      <c r="J23" s="34"/>
      <c r="K23" s="42"/>
      <c r="L23" s="34"/>
      <c r="N23" s="34">
        <v>1923.49</v>
      </c>
      <c r="P23" s="34">
        <v>2876.79</v>
      </c>
      <c r="Q23" s="34"/>
    </row>
    <row r="24" spans="1:18" x14ac:dyDescent="0.4">
      <c r="A24" s="33"/>
      <c r="B24" s="33"/>
      <c r="C24" s="33"/>
      <c r="D24" s="33"/>
      <c r="E24" s="33" t="s">
        <v>137</v>
      </c>
      <c r="F24" s="33"/>
      <c r="G24" s="33"/>
      <c r="H24" s="34">
        <v>7486.28</v>
      </c>
      <c r="I24" s="42"/>
      <c r="J24" s="34">
        <v>6027.3</v>
      </c>
      <c r="K24" s="42"/>
      <c r="L24" s="34">
        <v>6556.95</v>
      </c>
      <c r="N24" s="34">
        <v>8590.43</v>
      </c>
      <c r="P24" s="34">
        <v>6517.51</v>
      </c>
      <c r="Q24" s="34"/>
    </row>
    <row r="25" spans="1:18" x14ac:dyDescent="0.4">
      <c r="A25" s="33"/>
      <c r="B25" s="33"/>
      <c r="C25" s="33"/>
      <c r="D25" s="33"/>
      <c r="E25" s="33" t="s">
        <v>138</v>
      </c>
      <c r="F25" s="33"/>
      <c r="G25" s="33"/>
      <c r="H25" s="34">
        <v>0</v>
      </c>
      <c r="I25" s="42"/>
      <c r="J25" s="34">
        <v>0</v>
      </c>
      <c r="K25" s="42"/>
      <c r="L25" s="34"/>
      <c r="N25" s="34"/>
      <c r="P25" s="34">
        <v>2340.66</v>
      </c>
      <c r="Q25" s="34"/>
    </row>
    <row r="26" spans="1:18" ht="15" thickBot="1" x14ac:dyDescent="0.45">
      <c r="A26" s="33"/>
      <c r="B26" s="33"/>
      <c r="C26" s="33"/>
      <c r="D26" s="33"/>
      <c r="E26" s="33" t="s">
        <v>139</v>
      </c>
      <c r="F26" s="33"/>
      <c r="G26" s="33"/>
      <c r="H26" s="35">
        <v>43880.33</v>
      </c>
      <c r="I26" s="42"/>
      <c r="J26" s="35">
        <f>-575.55+33281.79</f>
        <v>32706.240000000002</v>
      </c>
      <c r="K26" s="42"/>
      <c r="L26" s="35">
        <v>25538.43</v>
      </c>
      <c r="N26" s="35">
        <f>305.66+22533.18</f>
        <v>22838.84</v>
      </c>
      <c r="P26" s="35">
        <f>725.42+10558.25</f>
        <v>11283.67</v>
      </c>
      <c r="Q26" s="34"/>
    </row>
    <row r="27" spans="1:18" x14ac:dyDescent="0.4">
      <c r="A27" s="33"/>
      <c r="B27" s="33"/>
      <c r="C27" s="33"/>
      <c r="D27" s="33" t="s">
        <v>140</v>
      </c>
      <c r="E27" s="33"/>
      <c r="F27" s="33"/>
      <c r="G27" s="33"/>
      <c r="H27" s="34">
        <f>ROUND(SUM(H3:H26),5)</f>
        <v>124019.62</v>
      </c>
      <c r="I27" s="42"/>
      <c r="J27" s="34">
        <f>ROUND(SUM(J3:J26),5)</f>
        <v>90371.36</v>
      </c>
      <c r="K27" s="42"/>
      <c r="L27" s="34">
        <f>ROUND(SUM(L3:L26),5)</f>
        <v>100084.76</v>
      </c>
      <c r="N27" s="34">
        <f>ROUND(SUM(N3:N26),5)</f>
        <v>142915.96</v>
      </c>
      <c r="P27" s="34">
        <f>ROUND(SUM(P3:P26),5)</f>
        <v>108076.4</v>
      </c>
      <c r="Q27" s="34"/>
      <c r="R27" t="s">
        <v>141</v>
      </c>
    </row>
    <row r="28" spans="1:18" x14ac:dyDescent="0.4">
      <c r="A28" s="33"/>
      <c r="B28" s="33"/>
      <c r="C28" s="33"/>
      <c r="D28" s="33" t="s">
        <v>142</v>
      </c>
      <c r="E28" s="33"/>
      <c r="F28" s="33"/>
      <c r="G28" s="33"/>
      <c r="H28" s="34"/>
      <c r="I28" s="42"/>
      <c r="J28" s="34"/>
      <c r="K28" s="42"/>
      <c r="L28" s="34"/>
      <c r="N28" s="34">
        <f>334.62+960.38</f>
        <v>1295</v>
      </c>
      <c r="P28" s="34">
        <f>395.68+10.7</f>
        <v>406.38</v>
      </c>
      <c r="Q28" s="34"/>
      <c r="R28" t="s">
        <v>141</v>
      </c>
    </row>
    <row r="29" spans="1:18" x14ac:dyDescent="0.4">
      <c r="A29" s="33"/>
      <c r="B29" s="33"/>
      <c r="C29" s="33"/>
      <c r="D29" s="33" t="s">
        <v>143</v>
      </c>
      <c r="E29" s="33"/>
      <c r="F29" s="33"/>
      <c r="G29" s="33"/>
      <c r="H29" s="34">
        <f>1960.4+39.6</f>
        <v>2000</v>
      </c>
      <c r="I29" s="42"/>
      <c r="J29" s="34">
        <v>1820</v>
      </c>
      <c r="K29" s="42"/>
      <c r="L29" s="34">
        <v>1495</v>
      </c>
      <c r="N29" s="34">
        <v>28451.5</v>
      </c>
      <c r="P29" s="34">
        <f>53791.3+4.5</f>
        <v>53795.8</v>
      </c>
      <c r="Q29" s="34"/>
      <c r="R29" t="s">
        <v>141</v>
      </c>
    </row>
    <row r="31" spans="1:18" x14ac:dyDescent="0.4">
      <c r="A31" s="33"/>
      <c r="B31" s="33"/>
      <c r="C31" s="33"/>
      <c r="D31" s="33" t="s">
        <v>144</v>
      </c>
      <c r="E31" s="33"/>
      <c r="F31" s="33"/>
      <c r="G31" s="33"/>
      <c r="H31" s="34"/>
      <c r="I31" s="42"/>
      <c r="J31" s="34"/>
      <c r="K31" s="42"/>
      <c r="L31" s="34"/>
      <c r="N31" s="34"/>
      <c r="P31" s="34"/>
      <c r="Q31" s="34"/>
    </row>
    <row r="32" spans="1:18" x14ac:dyDescent="0.4">
      <c r="A32" s="33"/>
      <c r="B32" s="33"/>
      <c r="C32" s="33"/>
      <c r="D32" s="33"/>
      <c r="E32" s="33" t="s">
        <v>145</v>
      </c>
      <c r="F32" s="33"/>
      <c r="G32" s="33"/>
      <c r="H32" s="34"/>
      <c r="I32" s="42"/>
      <c r="J32" s="34"/>
      <c r="K32" s="42"/>
      <c r="L32" s="34"/>
      <c r="N32" s="34"/>
      <c r="P32" s="34"/>
      <c r="Q32" s="34"/>
    </row>
    <row r="33" spans="1:17" x14ac:dyDescent="0.4">
      <c r="A33" s="33"/>
      <c r="B33" s="33"/>
      <c r="C33" s="33"/>
      <c r="D33" s="33"/>
      <c r="E33" s="33"/>
      <c r="F33" s="33" t="s">
        <v>146</v>
      </c>
      <c r="G33" s="33"/>
      <c r="H33" s="34"/>
      <c r="I33" s="42"/>
      <c r="J33" s="34"/>
      <c r="K33" s="42"/>
      <c r="L33" s="34"/>
      <c r="N33" s="34"/>
      <c r="P33" s="34"/>
      <c r="Q33" s="34"/>
    </row>
    <row r="34" spans="1:17" ht="15" thickBot="1" x14ac:dyDescent="0.45">
      <c r="A34" s="33"/>
      <c r="B34" s="33"/>
      <c r="C34" s="33"/>
      <c r="D34" s="33"/>
      <c r="E34" s="33"/>
      <c r="F34" s="33"/>
      <c r="G34" s="33" t="s">
        <v>147</v>
      </c>
      <c r="H34" s="35">
        <v>5942.58</v>
      </c>
      <c r="I34" s="42"/>
      <c r="J34" s="35">
        <v>7158.48</v>
      </c>
      <c r="K34" s="42"/>
      <c r="L34" s="35">
        <v>6128.19</v>
      </c>
      <c r="N34" s="35">
        <v>6384.14</v>
      </c>
      <c r="P34" s="35">
        <v>8430.27</v>
      </c>
      <c r="Q34" s="34"/>
    </row>
    <row r="35" spans="1:17" x14ac:dyDescent="0.4">
      <c r="A35" s="33"/>
      <c r="B35" s="33"/>
      <c r="C35" s="33"/>
      <c r="D35" s="33"/>
      <c r="E35" s="33"/>
      <c r="F35" s="33" t="s">
        <v>148</v>
      </c>
      <c r="G35" s="33"/>
      <c r="H35" s="34">
        <f>ROUND(SUM(H33:H34),5)</f>
        <v>5942.58</v>
      </c>
      <c r="I35" s="42"/>
      <c r="J35" s="34">
        <f>ROUND(SUM(J33:J34),5)</f>
        <v>7158.48</v>
      </c>
      <c r="K35" s="42"/>
      <c r="L35" s="34">
        <f>ROUND(SUM(L33:L34),5)</f>
        <v>6128.19</v>
      </c>
      <c r="N35" s="34">
        <f>ROUND(SUM(N33:N34),5)</f>
        <v>6384.14</v>
      </c>
      <c r="P35" s="34">
        <f>ROUND(SUM(P33:P34),5)</f>
        <v>8430.27</v>
      </c>
      <c r="Q35" s="34"/>
    </row>
    <row r="36" spans="1:17" x14ac:dyDescent="0.4">
      <c r="A36" s="33"/>
      <c r="B36" s="33"/>
      <c r="C36" s="33"/>
      <c r="D36" s="33"/>
      <c r="E36" s="33"/>
      <c r="F36" s="33" t="s">
        <v>149</v>
      </c>
      <c r="G36" s="33"/>
      <c r="H36" s="34"/>
      <c r="I36" s="42"/>
      <c r="J36" s="34"/>
      <c r="K36" s="42"/>
      <c r="L36" s="34"/>
      <c r="N36" s="34"/>
      <c r="P36" s="34"/>
      <c r="Q36" s="34"/>
    </row>
    <row r="37" spans="1:17" x14ac:dyDescent="0.4">
      <c r="A37" s="33"/>
      <c r="B37" s="33"/>
      <c r="C37" s="33"/>
      <c r="D37" s="33"/>
      <c r="E37" s="33"/>
      <c r="F37" s="33"/>
      <c r="G37" s="33" t="s">
        <v>150</v>
      </c>
      <c r="H37" s="34">
        <v>0</v>
      </c>
      <c r="I37" s="42"/>
      <c r="J37" s="34">
        <v>405.07</v>
      </c>
      <c r="K37" s="42"/>
      <c r="L37" s="34">
        <v>0</v>
      </c>
      <c r="N37" s="34"/>
      <c r="P37" s="34"/>
      <c r="Q37" s="34"/>
    </row>
    <row r="38" spans="1:17" x14ac:dyDescent="0.4">
      <c r="A38" s="33"/>
      <c r="B38" s="33"/>
      <c r="C38" s="33"/>
      <c r="D38" s="33"/>
      <c r="E38" s="33"/>
      <c r="F38" s="33"/>
      <c r="G38" s="33" t="s">
        <v>151</v>
      </c>
      <c r="H38" s="34">
        <v>0</v>
      </c>
      <c r="I38" s="42"/>
      <c r="J38" s="34">
        <f>253.32+25.05</f>
        <v>278.37</v>
      </c>
      <c r="K38" s="42"/>
      <c r="L38" s="34">
        <v>1038.79</v>
      </c>
      <c r="N38" s="34"/>
      <c r="P38" s="34"/>
      <c r="Q38" s="34"/>
    </row>
    <row r="39" spans="1:17" x14ac:dyDescent="0.4">
      <c r="A39" s="33"/>
      <c r="B39" s="33"/>
      <c r="C39" s="33"/>
      <c r="D39" s="33"/>
      <c r="E39" s="33"/>
      <c r="F39" s="33"/>
      <c r="G39" s="33" t="s">
        <v>152</v>
      </c>
      <c r="H39" s="34">
        <f>8700.12+707.82</f>
        <v>9407.94</v>
      </c>
      <c r="I39" s="42"/>
      <c r="J39" s="34">
        <f>1787.21+785.5</f>
        <v>2572.71</v>
      </c>
      <c r="K39" s="42"/>
      <c r="L39" s="34">
        <f>1424.78+517.77</f>
        <v>1942.55</v>
      </c>
      <c r="N39" s="34">
        <f>1825.34+390.1</f>
        <v>2215.44</v>
      </c>
      <c r="P39" s="34">
        <f>69.14+211.18</f>
        <v>280.32</v>
      </c>
      <c r="Q39" s="34"/>
    </row>
    <row r="40" spans="1:17" x14ac:dyDescent="0.4">
      <c r="A40" s="33"/>
      <c r="B40" s="33"/>
      <c r="C40" s="33"/>
      <c r="D40" s="33"/>
      <c r="E40" s="33"/>
      <c r="F40" s="33"/>
      <c r="G40" s="33" t="s">
        <v>153</v>
      </c>
      <c r="H40" s="34">
        <f>24605.77+2423.25</f>
        <v>27029.02</v>
      </c>
      <c r="I40" s="42"/>
      <c r="J40" s="34">
        <f>28844.24+2835.74</f>
        <v>31679.980000000003</v>
      </c>
      <c r="K40" s="42"/>
      <c r="L40" s="34">
        <f>35229.12+3291.03</f>
        <v>38520.15</v>
      </c>
      <c r="N40" s="34">
        <f>36149.06+3562.06</f>
        <v>39711.119999999995</v>
      </c>
      <c r="P40" s="34">
        <f>37729.17+3730.47</f>
        <v>41459.64</v>
      </c>
      <c r="Q40" s="34"/>
    </row>
    <row r="41" spans="1:17" x14ac:dyDescent="0.4">
      <c r="A41" s="33"/>
      <c r="B41" s="33"/>
      <c r="C41" s="33"/>
      <c r="D41" s="33"/>
      <c r="E41" s="33"/>
      <c r="F41" s="33"/>
      <c r="G41" s="33" t="s">
        <v>154</v>
      </c>
      <c r="H41" s="34">
        <v>23369.39</v>
      </c>
      <c r="I41" s="42"/>
      <c r="J41" s="34">
        <v>22084.94</v>
      </c>
      <c r="K41" s="42"/>
      <c r="L41" s="34">
        <f>24154.75+6343.08</f>
        <v>30497.83</v>
      </c>
      <c r="N41" s="34">
        <f>28890.21+7517.29</f>
        <v>36407.5</v>
      </c>
      <c r="P41" s="34">
        <f>21753.34+6893.76</f>
        <v>28647.1</v>
      </c>
      <c r="Q41" s="34"/>
    </row>
    <row r="42" spans="1:17" x14ac:dyDescent="0.4">
      <c r="A42" s="33"/>
      <c r="B42" s="33"/>
      <c r="C42" s="33"/>
      <c r="D42" s="33"/>
      <c r="E42" s="33"/>
      <c r="F42" s="33"/>
      <c r="G42" s="33" t="s">
        <v>155</v>
      </c>
      <c r="H42" s="34">
        <f>184+83.73</f>
        <v>267.73</v>
      </c>
      <c r="I42" s="42"/>
      <c r="J42" s="34">
        <f>200+21.3</f>
        <v>221.3</v>
      </c>
      <c r="K42" s="42"/>
      <c r="L42" s="34">
        <f>107.55+40.3</f>
        <v>147.85</v>
      </c>
      <c r="N42" s="34">
        <f>47+3.18</f>
        <v>50.18</v>
      </c>
      <c r="P42" s="34">
        <v>110</v>
      </c>
      <c r="Q42" s="34"/>
    </row>
    <row r="43" spans="1:17" x14ac:dyDescent="0.4">
      <c r="A43" s="33"/>
      <c r="B43" s="33"/>
      <c r="C43" s="33"/>
      <c r="D43" s="33"/>
      <c r="E43" s="33"/>
      <c r="F43" s="33"/>
      <c r="G43" s="33" t="s">
        <v>156</v>
      </c>
      <c r="H43" s="34">
        <v>41356.15</v>
      </c>
      <c r="I43" s="42"/>
      <c r="J43" s="34">
        <v>38564.26</v>
      </c>
      <c r="K43" s="42"/>
      <c r="L43" s="34">
        <v>43116.42</v>
      </c>
      <c r="N43" s="34">
        <v>43625.47</v>
      </c>
      <c r="P43" s="34">
        <v>55221.95</v>
      </c>
      <c r="Q43" s="34"/>
    </row>
    <row r="44" spans="1:17" x14ac:dyDescent="0.4">
      <c r="A44" s="33"/>
      <c r="B44" s="33"/>
      <c r="C44" s="33"/>
      <c r="D44" s="33"/>
      <c r="E44" s="33"/>
      <c r="F44" s="33"/>
      <c r="G44" s="33" t="s">
        <v>157</v>
      </c>
      <c r="H44" s="34"/>
      <c r="I44" s="42"/>
      <c r="J44" s="34"/>
      <c r="K44" s="42"/>
      <c r="L44" s="34"/>
      <c r="N44" s="34">
        <f>690+65</f>
        <v>755</v>
      </c>
      <c r="P44" s="34">
        <v>585</v>
      </c>
      <c r="Q44" s="34"/>
    </row>
    <row r="45" spans="1:17" x14ac:dyDescent="0.4">
      <c r="A45" s="33"/>
      <c r="B45" s="33"/>
      <c r="C45" s="33"/>
      <c r="D45" s="33"/>
      <c r="E45" s="33"/>
      <c r="F45" s="33"/>
      <c r="G45" s="33" t="s">
        <v>158</v>
      </c>
      <c r="H45" s="34">
        <f>555.97+42.58</f>
        <v>598.55000000000007</v>
      </c>
      <c r="I45" s="42"/>
      <c r="J45" s="34">
        <f>303.94+30.06</f>
        <v>334</v>
      </c>
      <c r="K45" s="42"/>
      <c r="L45" s="34">
        <f>909.09+89.91</f>
        <v>999</v>
      </c>
      <c r="N45" s="34">
        <f>-226.91+133.19</f>
        <v>-93.72</v>
      </c>
      <c r="P45" s="34"/>
      <c r="Q45" s="34"/>
    </row>
    <row r="46" spans="1:17" x14ac:dyDescent="0.4">
      <c r="A46" s="33"/>
      <c r="B46" s="33"/>
      <c r="C46" s="33"/>
      <c r="D46" s="33"/>
      <c r="E46" s="33"/>
      <c r="F46" s="33"/>
      <c r="G46" s="33" t="s">
        <v>159</v>
      </c>
      <c r="H46" s="34">
        <f>39098.99+4462.06</f>
        <v>43561.049999999996</v>
      </c>
      <c r="I46" s="42"/>
      <c r="J46" s="34">
        <f>40340.29+3961.17</f>
        <v>44301.46</v>
      </c>
      <c r="K46" s="42"/>
      <c r="L46" s="34">
        <f>41463.03+4059.91</f>
        <v>45522.94</v>
      </c>
      <c r="N46" s="34">
        <f>46167.04+4566.04</f>
        <v>50733.08</v>
      </c>
      <c r="P46" s="34">
        <f>39729.64+4032.23</f>
        <v>43761.87</v>
      </c>
      <c r="Q46" s="34"/>
    </row>
    <row r="47" spans="1:17" x14ac:dyDescent="0.4">
      <c r="A47" s="33"/>
      <c r="B47" s="33"/>
      <c r="C47" s="33"/>
      <c r="D47" s="33"/>
      <c r="E47" s="33"/>
      <c r="F47" s="33"/>
      <c r="G47" s="33" t="s">
        <v>160</v>
      </c>
      <c r="H47" s="34">
        <v>8357.1</v>
      </c>
      <c r="I47" s="42"/>
      <c r="J47" s="34">
        <v>7376.49</v>
      </c>
      <c r="K47" s="42"/>
      <c r="L47" s="34">
        <v>8070.77</v>
      </c>
      <c r="N47" s="34">
        <v>8168.29</v>
      </c>
      <c r="P47" s="34">
        <v>6747.83</v>
      </c>
      <c r="Q47" s="34"/>
    </row>
    <row r="48" spans="1:17" ht="15" thickBot="1" x14ac:dyDescent="0.45">
      <c r="A48" s="33"/>
      <c r="B48" s="33"/>
      <c r="C48" s="33"/>
      <c r="D48" s="33"/>
      <c r="E48" s="33"/>
      <c r="F48" s="33"/>
      <c r="G48" s="33" t="s">
        <v>161</v>
      </c>
      <c r="H48" s="35">
        <f>201.93+7105.94+34.92</f>
        <v>7342.79</v>
      </c>
      <c r="I48" s="42"/>
      <c r="J48" s="35">
        <v>6563.52</v>
      </c>
      <c r="K48" s="42"/>
      <c r="L48" s="35">
        <f>832.89+105.28</f>
        <v>938.17</v>
      </c>
      <c r="N48" s="35">
        <v>25.28</v>
      </c>
      <c r="P48" s="35">
        <v>482.63</v>
      </c>
      <c r="Q48" s="34"/>
    </row>
    <row r="49" spans="1:17" x14ac:dyDescent="0.4">
      <c r="A49" s="33"/>
      <c r="B49" s="33"/>
      <c r="C49" s="33"/>
      <c r="D49" s="33"/>
      <c r="E49" s="33"/>
      <c r="F49" s="33" t="s">
        <v>162</v>
      </c>
      <c r="G49" s="33"/>
      <c r="H49" s="34">
        <f>ROUND(SUM(H36:H48),5)</f>
        <v>161289.72</v>
      </c>
      <c r="I49" s="42"/>
      <c r="J49" s="34">
        <f>ROUND(SUM(J36:J48),5)</f>
        <v>154382.1</v>
      </c>
      <c r="K49" s="42"/>
      <c r="L49" s="34">
        <f>ROUND(SUM(L36:L48),5)</f>
        <v>170794.47</v>
      </c>
      <c r="N49" s="34">
        <f>ROUND(SUM(N36:N48),5)</f>
        <v>181597.64</v>
      </c>
      <c r="P49" s="34">
        <f>ROUND(SUM(P36:P48),5)</f>
        <v>177296.34</v>
      </c>
      <c r="Q49" s="34"/>
    </row>
    <row r="50" spans="1:17" x14ac:dyDescent="0.4">
      <c r="A50" s="33"/>
      <c r="B50" s="33"/>
      <c r="C50" s="33"/>
      <c r="D50" s="33"/>
      <c r="E50" s="33"/>
      <c r="F50" s="33" t="s">
        <v>163</v>
      </c>
      <c r="G50" s="33"/>
      <c r="H50" s="34"/>
      <c r="I50" s="42"/>
      <c r="J50" s="34"/>
      <c r="K50" s="42"/>
      <c r="L50" s="34"/>
      <c r="N50" s="34"/>
      <c r="P50" s="34"/>
      <c r="Q50" s="34"/>
    </row>
    <row r="51" spans="1:17" x14ac:dyDescent="0.4">
      <c r="A51" s="33"/>
      <c r="B51" s="33"/>
      <c r="C51" s="33"/>
      <c r="D51" s="33"/>
      <c r="E51" s="33"/>
      <c r="F51" s="33"/>
      <c r="G51" s="33" t="s">
        <v>164</v>
      </c>
      <c r="H51" s="34">
        <f>4313.15+1981.75</f>
        <v>6294.9</v>
      </c>
      <c r="I51" s="42"/>
      <c r="J51" s="34">
        <f>7819.97+2050.2</f>
        <v>9870.17</v>
      </c>
      <c r="K51" s="42"/>
      <c r="L51" s="34">
        <f>7442.18+2371.53</f>
        <v>9813.7100000000009</v>
      </c>
      <c r="N51" s="34">
        <f>6687.45+2414.75</f>
        <v>9102.2000000000007</v>
      </c>
      <c r="P51" s="34">
        <f>6692.25+2414.75</f>
        <v>9107</v>
      </c>
      <c r="Q51" s="34"/>
    </row>
    <row r="52" spans="1:17" x14ac:dyDescent="0.4">
      <c r="A52" s="33"/>
      <c r="B52" s="33"/>
      <c r="C52" s="33"/>
      <c r="D52" s="33"/>
      <c r="E52" s="33"/>
      <c r="F52" s="33"/>
      <c r="G52" s="33" t="s">
        <v>165</v>
      </c>
      <c r="H52" s="34">
        <f>7039.44+71176.56</f>
        <v>78216</v>
      </c>
      <c r="I52" s="42"/>
      <c r="J52" s="34">
        <f>60701.6+1058.4</f>
        <v>61760</v>
      </c>
      <c r="K52" s="42"/>
      <c r="L52" s="34">
        <f>72659+2241</f>
        <v>74900</v>
      </c>
      <c r="N52" s="34">
        <f>73332.75+992.25</f>
        <v>74325</v>
      </c>
      <c r="P52" s="34">
        <f>71424.25+1275.75</f>
        <v>72700</v>
      </c>
      <c r="Q52" s="34"/>
    </row>
    <row r="53" spans="1:17" x14ac:dyDescent="0.4">
      <c r="A53" s="33"/>
      <c r="B53" s="33"/>
      <c r="C53" s="33"/>
      <c r="D53" s="33"/>
      <c r="E53" s="33"/>
      <c r="F53" s="33"/>
      <c r="G53" s="33" t="s">
        <v>166</v>
      </c>
      <c r="H53" s="34">
        <f>6006+571.5</f>
        <v>6577.5</v>
      </c>
      <c r="I53" s="42"/>
      <c r="J53" s="34">
        <f>5016.38+496.12</f>
        <v>5512.5</v>
      </c>
      <c r="K53" s="42"/>
      <c r="L53" s="34">
        <f>36900.65+2587.2</f>
        <v>39487.85</v>
      </c>
      <c r="N53" s="34">
        <f>66723.08+6537.74</f>
        <v>73260.820000000007</v>
      </c>
      <c r="P53" s="34">
        <f>35221.77+2583.63</f>
        <v>37805.399999999994</v>
      </c>
      <c r="Q53" s="34"/>
    </row>
    <row r="54" spans="1:17" x14ac:dyDescent="0.4">
      <c r="A54" s="33"/>
      <c r="B54" s="33"/>
      <c r="C54" s="33"/>
      <c r="D54" s="33"/>
      <c r="E54" s="33"/>
      <c r="F54" s="33"/>
      <c r="G54" s="33" t="s">
        <v>167</v>
      </c>
      <c r="H54" s="34">
        <v>4176.72</v>
      </c>
      <c r="I54" s="42"/>
      <c r="J54" s="34">
        <v>0</v>
      </c>
      <c r="K54" s="42"/>
      <c r="L54" s="34">
        <v>0</v>
      </c>
      <c r="N54" s="34"/>
      <c r="P54" s="34"/>
      <c r="Q54" s="34"/>
    </row>
    <row r="55" spans="1:17" x14ac:dyDescent="0.4">
      <c r="A55" s="33"/>
      <c r="B55" s="33"/>
      <c r="C55" s="33"/>
      <c r="D55" s="33"/>
      <c r="E55" s="33"/>
      <c r="F55" s="33"/>
      <c r="G55" s="33" t="s">
        <v>168</v>
      </c>
      <c r="H55" s="34">
        <v>57548.25</v>
      </c>
      <c r="I55" s="42"/>
      <c r="J55" s="34">
        <v>79631.5</v>
      </c>
      <c r="K55" s="42"/>
      <c r="L55" s="34">
        <v>72619.5</v>
      </c>
      <c r="N55" s="34">
        <v>50654.25</v>
      </c>
      <c r="P55" s="34">
        <f>48778.39+5172.86</f>
        <v>53951.25</v>
      </c>
      <c r="Q55" s="34"/>
    </row>
    <row r="56" spans="1:17" ht="15" thickBot="1" x14ac:dyDescent="0.45">
      <c r="A56" s="33"/>
      <c r="B56" s="33"/>
      <c r="C56" s="33"/>
      <c r="D56" s="33"/>
      <c r="E56" s="33"/>
      <c r="F56" s="33"/>
      <c r="G56" s="33" t="s">
        <v>169</v>
      </c>
      <c r="H56" s="35"/>
      <c r="I56" s="42"/>
      <c r="J56" s="35"/>
      <c r="K56" s="42"/>
      <c r="L56" s="35"/>
      <c r="N56" s="35">
        <v>-619.27</v>
      </c>
      <c r="P56" s="35">
        <v>-189.67</v>
      </c>
      <c r="Q56" s="34"/>
    </row>
    <row r="57" spans="1:17" x14ac:dyDescent="0.4">
      <c r="A57" s="33"/>
      <c r="B57" s="33"/>
      <c r="C57" s="33"/>
      <c r="D57" s="33"/>
      <c r="E57" s="33"/>
      <c r="F57" s="33" t="s">
        <v>170</v>
      </c>
      <c r="G57" s="33"/>
      <c r="H57" s="34">
        <f>ROUND(SUM(H50:H56),5)</f>
        <v>152813.37</v>
      </c>
      <c r="I57" s="42"/>
      <c r="J57" s="34">
        <f>ROUND(SUM(J50:J56),5)</f>
        <v>156774.17000000001</v>
      </c>
      <c r="K57" s="42"/>
      <c r="L57" s="34">
        <f>ROUND(SUM(L50:L56),5)</f>
        <v>196821.06</v>
      </c>
      <c r="N57" s="34">
        <f>ROUND(SUM(N50:N56),5)</f>
        <v>206723</v>
      </c>
      <c r="P57" s="34">
        <f>ROUND(SUM(P50:P56),5)</f>
        <v>173373.98</v>
      </c>
      <c r="Q57" s="34"/>
    </row>
    <row r="58" spans="1:17" x14ac:dyDescent="0.4">
      <c r="A58" s="33"/>
      <c r="B58" s="33"/>
      <c r="C58" s="33"/>
      <c r="D58" s="33"/>
      <c r="E58" s="33"/>
      <c r="F58" s="33" t="s">
        <v>171</v>
      </c>
      <c r="G58" s="33"/>
      <c r="H58" s="34"/>
      <c r="I58" s="42"/>
      <c r="J58" s="34"/>
      <c r="K58" s="42"/>
      <c r="L58" s="34"/>
      <c r="N58" s="34"/>
      <c r="P58" s="34"/>
      <c r="Q58" s="34"/>
    </row>
    <row r="59" spans="1:17" x14ac:dyDescent="0.4">
      <c r="A59" s="33"/>
      <c r="B59" s="33"/>
      <c r="C59" s="33"/>
      <c r="D59" s="33"/>
      <c r="E59" s="33"/>
      <c r="F59" s="33"/>
      <c r="G59" s="33" t="s">
        <v>172</v>
      </c>
      <c r="H59" s="34">
        <f>46787.42+4627.33</f>
        <v>51414.75</v>
      </c>
      <c r="I59" s="42"/>
      <c r="J59" s="34">
        <f>3022.08+44535.86</f>
        <v>47557.94</v>
      </c>
      <c r="K59" s="42"/>
      <c r="L59" s="34">
        <f>54199.37+5360.37</f>
        <v>59559.740000000005</v>
      </c>
      <c r="N59" s="34">
        <f>44441.67+4395.33</f>
        <v>48837</v>
      </c>
      <c r="P59" s="34">
        <f>89270.34+8828.93</f>
        <v>98099.26999999999</v>
      </c>
      <c r="Q59" s="34"/>
    </row>
    <row r="60" spans="1:17" x14ac:dyDescent="0.4">
      <c r="A60" s="33"/>
      <c r="B60" s="33"/>
      <c r="C60" s="33"/>
      <c r="D60" s="33"/>
      <c r="E60" s="33"/>
      <c r="F60" s="33"/>
      <c r="G60" s="33" t="s">
        <v>173</v>
      </c>
      <c r="H60" s="34"/>
      <c r="I60" s="42"/>
      <c r="J60" s="34"/>
      <c r="K60" s="42"/>
      <c r="L60" s="34"/>
      <c r="N60" s="34"/>
      <c r="P60" s="34">
        <f>16705.07+1652.15</f>
        <v>18357.22</v>
      </c>
      <c r="Q60" s="34"/>
    </row>
    <row r="61" spans="1:17" x14ac:dyDescent="0.4">
      <c r="A61" s="33"/>
      <c r="B61" s="33"/>
      <c r="C61" s="33"/>
      <c r="D61" s="33"/>
      <c r="E61" s="33"/>
      <c r="F61" s="33"/>
      <c r="G61" s="33" t="s">
        <v>174</v>
      </c>
      <c r="H61" s="34">
        <f>13776.67+1239.9</f>
        <v>15016.57</v>
      </c>
      <c r="I61" s="42"/>
      <c r="J61" s="34">
        <f>4176+413.01</f>
        <v>4589.01</v>
      </c>
      <c r="K61" s="42"/>
      <c r="L61" s="34">
        <f>59552.47+5795.91</f>
        <v>65348.380000000005</v>
      </c>
      <c r="N61" s="34"/>
      <c r="P61" s="34">
        <f>71593.3+7080.66</f>
        <v>78673.960000000006</v>
      </c>
      <c r="Q61" s="34"/>
    </row>
    <row r="62" spans="1:17" x14ac:dyDescent="0.4">
      <c r="A62" s="33"/>
      <c r="B62" s="33"/>
      <c r="C62" s="33"/>
      <c r="D62" s="33"/>
      <c r="E62" s="33"/>
      <c r="F62" s="33"/>
      <c r="G62" s="33" t="s">
        <v>175</v>
      </c>
      <c r="H62" s="34">
        <v>3005.17</v>
      </c>
      <c r="I62" s="42"/>
      <c r="J62" s="34">
        <v>3337.87</v>
      </c>
      <c r="K62" s="42"/>
      <c r="L62" s="34">
        <v>3709.83</v>
      </c>
      <c r="N62" s="34">
        <v>4121.1499999999996</v>
      </c>
      <c r="P62" s="34">
        <v>4567.66</v>
      </c>
      <c r="Q62" s="34"/>
    </row>
    <row r="63" spans="1:17" x14ac:dyDescent="0.4">
      <c r="A63" s="33"/>
      <c r="B63" s="33"/>
      <c r="C63" s="33"/>
      <c r="D63" s="33"/>
      <c r="E63" s="33"/>
      <c r="F63" s="33"/>
      <c r="G63" s="33" t="s">
        <v>176</v>
      </c>
      <c r="H63" s="34">
        <f>4816+476.31</f>
        <v>5292.31</v>
      </c>
      <c r="I63" s="42"/>
      <c r="J63" s="34">
        <f>5559.04+549.8</f>
        <v>6108.84</v>
      </c>
      <c r="K63" s="42"/>
      <c r="L63" s="34">
        <f>10138.8+1002.74</f>
        <v>11141.539999999999</v>
      </c>
      <c r="N63" s="34">
        <f>7689.12+760.46</f>
        <v>8449.58</v>
      </c>
      <c r="P63" s="34">
        <f>50115.37+4956.47</f>
        <v>55071.840000000004</v>
      </c>
      <c r="Q63" s="34"/>
    </row>
    <row r="64" spans="1:17" x14ac:dyDescent="0.4">
      <c r="A64" s="33"/>
      <c r="B64" s="33"/>
      <c r="C64" s="33"/>
      <c r="D64" s="33"/>
      <c r="E64" s="33"/>
      <c r="F64" s="33"/>
      <c r="G64" s="33" t="s">
        <v>177</v>
      </c>
      <c r="H64" s="34">
        <f>29329.76+2900.74</f>
        <v>32230.5</v>
      </c>
      <c r="I64" s="42"/>
      <c r="J64" s="34">
        <f>20155.75+1528.74</f>
        <v>21684.49</v>
      </c>
      <c r="K64" s="42"/>
      <c r="L64" s="34">
        <f>12183.54+1204.97</f>
        <v>13388.51</v>
      </c>
      <c r="N64" s="34">
        <f>7103.07+787.05</f>
        <v>7890.12</v>
      </c>
      <c r="P64" s="34">
        <f>12774.88+1263.45</f>
        <v>14038.33</v>
      </c>
      <c r="Q64" s="34"/>
    </row>
    <row r="65" spans="1:18" x14ac:dyDescent="0.4">
      <c r="A65" s="33"/>
      <c r="B65" s="33"/>
      <c r="C65" s="33"/>
      <c r="D65" s="33"/>
      <c r="E65" s="33"/>
      <c r="F65" s="33"/>
      <c r="G65" s="33" t="s">
        <v>178</v>
      </c>
      <c r="H65" s="34"/>
      <c r="I65" s="42"/>
      <c r="J65" s="34"/>
      <c r="K65" s="42"/>
      <c r="L65" s="34"/>
      <c r="N65" s="34">
        <v>3137</v>
      </c>
      <c r="P65" s="34">
        <f>2564.63+253.64</f>
        <v>2818.27</v>
      </c>
      <c r="Q65" s="34"/>
    </row>
    <row r="66" spans="1:18" x14ac:dyDescent="0.4">
      <c r="A66" s="33"/>
      <c r="B66" s="33"/>
      <c r="C66" s="33"/>
      <c r="D66" s="33"/>
      <c r="E66" s="33"/>
      <c r="F66" s="33"/>
      <c r="G66" s="33" t="s">
        <v>179</v>
      </c>
      <c r="H66" s="34">
        <f>13522.82+1337.42</f>
        <v>14860.24</v>
      </c>
      <c r="I66" s="42"/>
      <c r="J66" s="34">
        <f>3552.56+351.35</f>
        <v>3903.91</v>
      </c>
      <c r="K66" s="42"/>
      <c r="L66" s="34">
        <v>0</v>
      </c>
      <c r="N66" s="34"/>
      <c r="P66" s="34"/>
      <c r="Q66" s="34"/>
    </row>
    <row r="67" spans="1:18" ht="15" thickBot="1" x14ac:dyDescent="0.45">
      <c r="A67" s="33"/>
      <c r="B67" s="33"/>
      <c r="C67" s="33"/>
      <c r="D67" s="33"/>
      <c r="E67" s="33"/>
      <c r="F67" s="33"/>
      <c r="G67" s="33" t="s">
        <v>180</v>
      </c>
      <c r="H67" s="35">
        <v>-1239.9000000000001</v>
      </c>
      <c r="I67" s="42"/>
      <c r="J67" s="35">
        <v>0</v>
      </c>
      <c r="K67" s="42"/>
      <c r="L67" s="35"/>
      <c r="N67" s="35"/>
      <c r="P67" s="35"/>
      <c r="Q67" s="34"/>
    </row>
    <row r="68" spans="1:18" x14ac:dyDescent="0.4">
      <c r="A68" s="33"/>
      <c r="B68" s="33"/>
      <c r="C68" s="33"/>
      <c r="D68" s="33"/>
      <c r="E68" s="33"/>
      <c r="F68" s="33" t="s">
        <v>181</v>
      </c>
      <c r="G68" s="33"/>
      <c r="H68" s="34">
        <f>ROUND(SUM(H58:H67),5)</f>
        <v>120579.64</v>
      </c>
      <c r="I68" s="42"/>
      <c r="J68" s="34">
        <f>ROUND(SUM(J58:J67),5)</f>
        <v>87182.06</v>
      </c>
      <c r="K68" s="42"/>
      <c r="L68" s="34">
        <f>ROUND(SUM(L58:L67),5)</f>
        <v>153148</v>
      </c>
      <c r="N68" s="34">
        <f>ROUND(SUM(N58:N67),5)</f>
        <v>72434.850000000006</v>
      </c>
      <c r="P68" s="34">
        <f>ROUND(SUM(P58:P67),5)</f>
        <v>271626.55</v>
      </c>
      <c r="Q68" s="34"/>
    </row>
    <row r="69" spans="1:18" x14ac:dyDescent="0.4">
      <c r="A69" s="33"/>
      <c r="B69" s="33"/>
      <c r="C69" s="33"/>
      <c r="D69" s="33"/>
      <c r="E69" s="33"/>
      <c r="F69" s="33" t="s">
        <v>182</v>
      </c>
      <c r="G69" s="33"/>
      <c r="H69" s="34">
        <f>202968.58+11397.22</f>
        <v>214365.8</v>
      </c>
      <c r="I69" s="42"/>
      <c r="J69" s="34">
        <f>232295.13+14676.55</f>
        <v>246971.68</v>
      </c>
      <c r="K69" s="42"/>
      <c r="L69" s="34">
        <f>240735.69+12763.02</f>
        <v>253498.71</v>
      </c>
      <c r="N69" s="34">
        <f>250056.03+10305.08</f>
        <v>260361.11</v>
      </c>
      <c r="P69" s="34">
        <f>275718.33+13510.28</f>
        <v>289228.61000000004</v>
      </c>
      <c r="Q69" s="34"/>
    </row>
    <row r="70" spans="1:18" x14ac:dyDescent="0.4">
      <c r="A70" s="33"/>
      <c r="B70" s="33"/>
      <c r="C70" s="33"/>
      <c r="D70" s="33"/>
      <c r="E70" s="33"/>
      <c r="F70" s="33" t="s">
        <v>183</v>
      </c>
      <c r="G70" s="33"/>
      <c r="H70" s="34"/>
      <c r="I70" s="42"/>
      <c r="J70" s="34"/>
      <c r="K70" s="42"/>
      <c r="L70" s="34"/>
      <c r="N70" s="34"/>
      <c r="P70" s="34">
        <f>2700.45+113.33</f>
        <v>2813.7799999999997</v>
      </c>
      <c r="Q70" s="34"/>
    </row>
    <row r="71" spans="1:18" x14ac:dyDescent="0.4">
      <c r="A71" s="33"/>
      <c r="B71" s="33"/>
      <c r="C71" s="33"/>
      <c r="D71" s="33"/>
      <c r="E71" s="33"/>
      <c r="F71" s="33"/>
      <c r="G71" s="33" t="s">
        <v>184</v>
      </c>
      <c r="H71" s="34">
        <v>0</v>
      </c>
      <c r="I71" s="42"/>
      <c r="J71" s="34">
        <v>0</v>
      </c>
      <c r="K71" s="42"/>
      <c r="L71" s="34">
        <v>0</v>
      </c>
      <c r="N71" s="34">
        <v>-2059.91</v>
      </c>
      <c r="P71" s="34"/>
      <c r="Q71" s="34"/>
    </row>
    <row r="72" spans="1:18" ht="15" thickBot="1" x14ac:dyDescent="0.45">
      <c r="A72" s="33"/>
      <c r="B72" s="33"/>
      <c r="C72" s="33"/>
      <c r="D72" s="33"/>
      <c r="E72" s="33"/>
      <c r="F72" s="33"/>
      <c r="G72" s="33" t="s">
        <v>185</v>
      </c>
      <c r="H72" s="35">
        <v>915.59</v>
      </c>
      <c r="I72" s="42"/>
      <c r="J72" s="35">
        <v>2615.1</v>
      </c>
      <c r="K72" s="42"/>
      <c r="L72" s="35">
        <f>2832.96+181.91</f>
        <v>3014.87</v>
      </c>
      <c r="N72" s="35">
        <f>-684.43+116</f>
        <v>-568.42999999999995</v>
      </c>
      <c r="P72" s="35"/>
      <c r="Q72" s="34"/>
    </row>
    <row r="73" spans="1:18" x14ac:dyDescent="0.4">
      <c r="A73" s="33"/>
      <c r="B73" s="33"/>
      <c r="C73" s="33"/>
      <c r="D73" s="33"/>
      <c r="E73" s="33"/>
      <c r="F73" s="33" t="s">
        <v>186</v>
      </c>
      <c r="G73" s="33"/>
      <c r="H73" s="34">
        <f>ROUND(SUM(H70:H72),5)</f>
        <v>915.59</v>
      </c>
      <c r="I73" s="42"/>
      <c r="J73" s="34">
        <f>ROUND(SUM(J70:J72),5)</f>
        <v>2615.1</v>
      </c>
      <c r="K73" s="42"/>
      <c r="L73" s="34">
        <f>ROUND(SUM(L70:L72),5)</f>
        <v>3014.87</v>
      </c>
      <c r="N73" s="34">
        <f>ROUND(SUM(N70:N72),5)</f>
        <v>-2628.34</v>
      </c>
      <c r="P73" s="34">
        <f>ROUND(SUM(P70:P72),5)</f>
        <v>2813.78</v>
      </c>
      <c r="Q73" s="34"/>
    </row>
    <row r="74" spans="1:18" x14ac:dyDescent="0.4">
      <c r="A74" s="33"/>
      <c r="B74" s="33"/>
      <c r="C74" s="33"/>
      <c r="D74" s="33"/>
      <c r="E74" s="33"/>
      <c r="F74" s="33" t="s">
        <v>187</v>
      </c>
      <c r="G74" s="33"/>
      <c r="H74" s="34">
        <f>32760+3240+2443.65</f>
        <v>38443.65</v>
      </c>
      <c r="I74" s="42"/>
      <c r="J74" s="34">
        <f>32760+3240+2533.31</f>
        <v>38533.31</v>
      </c>
      <c r="K74" s="42"/>
      <c r="L74" s="34">
        <f>38083.5+2689.06+3766.5</f>
        <v>44539.06</v>
      </c>
      <c r="N74" s="34">
        <f>37984.5+3142.09+3726</f>
        <v>44852.59</v>
      </c>
      <c r="P74" s="34">
        <f>38274+2398.94+3726</f>
        <v>44398.94</v>
      </c>
      <c r="Q74" s="34"/>
    </row>
    <row r="75" spans="1:18" ht="15" thickBot="1" x14ac:dyDescent="0.45">
      <c r="A75" s="33"/>
      <c r="B75" s="33"/>
      <c r="C75" s="33"/>
      <c r="D75" s="33"/>
      <c r="E75" s="33"/>
      <c r="F75" s="33" t="s">
        <v>188</v>
      </c>
      <c r="G75" s="33"/>
      <c r="H75" s="35">
        <v>0</v>
      </c>
      <c r="I75" s="42"/>
      <c r="J75" s="35">
        <v>0</v>
      </c>
      <c r="K75" s="42"/>
      <c r="L75" s="34">
        <v>34.21</v>
      </c>
      <c r="N75" s="35">
        <v>-2070.0700000000002</v>
      </c>
      <c r="P75" s="35"/>
      <c r="Q75" s="34"/>
    </row>
    <row r="76" spans="1:18" x14ac:dyDescent="0.4">
      <c r="A76" s="33"/>
      <c r="B76" s="33"/>
      <c r="C76" s="33"/>
      <c r="D76" s="33"/>
      <c r="E76" s="33" t="s">
        <v>189</v>
      </c>
      <c r="F76" s="33"/>
      <c r="G76" s="33"/>
      <c r="H76" s="34">
        <f>ROUND(H32+H35+H49+H57+SUM(H68:H69)+SUM(H73:H75),5)</f>
        <v>694350.35</v>
      </c>
      <c r="I76" s="42"/>
      <c r="J76" s="34">
        <f>ROUND(J32+J35+J49+J57+SUM(J68:J69)+SUM(J73:J75),5)</f>
        <v>693616.9</v>
      </c>
      <c r="K76" s="42"/>
      <c r="L76" s="44">
        <f>ROUND(L32+L35+L49+L57+SUM(L68:L69)+SUM(L73:L75),5)</f>
        <v>827978.57</v>
      </c>
      <c r="N76" s="34">
        <f>ROUND(N32+N35+N49+N57+SUM(N68:N69)+SUM(N73:N75),5)</f>
        <v>767654.92</v>
      </c>
      <c r="P76" s="34">
        <f>ROUND(P32+P35+P49+P57+SUM(P68:P69)+SUM(P73:P75),5)</f>
        <v>967168.47</v>
      </c>
      <c r="Q76" s="34"/>
    </row>
    <row r="77" spans="1:18" ht="15" thickBot="1" x14ac:dyDescent="0.45">
      <c r="A77" s="33"/>
      <c r="B77" s="33"/>
      <c r="C77" s="33"/>
      <c r="D77" s="33"/>
      <c r="E77" s="33" t="s">
        <v>190</v>
      </c>
      <c r="F77" s="33"/>
      <c r="G77" s="33"/>
      <c r="H77" s="35">
        <v>0</v>
      </c>
      <c r="I77" s="42"/>
      <c r="J77" s="35">
        <v>0</v>
      </c>
      <c r="K77" s="42"/>
      <c r="L77" s="35"/>
      <c r="N77" s="35">
        <v>9244.8700000000008</v>
      </c>
      <c r="P77" s="35"/>
      <c r="Q77" s="34"/>
    </row>
    <row r="78" spans="1:18" x14ac:dyDescent="0.4">
      <c r="A78" s="33"/>
      <c r="B78" s="33"/>
      <c r="C78" s="33"/>
      <c r="D78" s="33" t="s">
        <v>191</v>
      </c>
      <c r="E78" s="33"/>
      <c r="F78" s="33"/>
      <c r="G78" s="33"/>
      <c r="H78" s="34">
        <f>ROUND(H31+SUM(H76:H77),5)</f>
        <v>694350.35</v>
      </c>
      <c r="I78" s="42"/>
      <c r="J78" s="34">
        <f>ROUND(J31+SUM(J76:J77),5)</f>
        <v>693616.9</v>
      </c>
      <c r="K78" s="42"/>
      <c r="L78" s="34" cm="1">
        <f t="array" ref="L78:L79">ROUND(L31+L76:L77,5)</f>
        <v>827978.57</v>
      </c>
      <c r="N78" s="34">
        <f>ROUND(N31+SUM(N76:N77),5)</f>
        <v>776899.79</v>
      </c>
      <c r="P78" s="34">
        <f>ROUND(P31+SUM(P76:P77),5)</f>
        <v>967168.47</v>
      </c>
      <c r="Q78" s="34"/>
      <c r="R78" t="s">
        <v>192</v>
      </c>
    </row>
    <row r="79" spans="1:18" x14ac:dyDescent="0.4">
      <c r="L79">
        <v>0</v>
      </c>
    </row>
    <row r="80" spans="1:18" x14ac:dyDescent="0.4">
      <c r="A80" s="33"/>
      <c r="B80" s="33"/>
      <c r="C80" s="33"/>
      <c r="D80" s="33" t="s">
        <v>193</v>
      </c>
      <c r="E80" s="33"/>
      <c r="F80" s="33"/>
      <c r="G80" s="33"/>
      <c r="H80" s="34"/>
      <c r="I80" s="42"/>
      <c r="J80" s="34"/>
      <c r="K80" s="42"/>
      <c r="L80" s="34"/>
      <c r="N80" s="34"/>
      <c r="P80" s="34"/>
      <c r="Q80" s="34"/>
    </row>
    <row r="81" spans="1:18" x14ac:dyDescent="0.4">
      <c r="A81" s="33"/>
      <c r="B81" s="33"/>
      <c r="C81" s="33"/>
      <c r="D81" s="33"/>
      <c r="E81" s="33" t="s">
        <v>194</v>
      </c>
      <c r="F81" s="33"/>
      <c r="G81" s="33"/>
      <c r="H81" s="34">
        <v>264.2</v>
      </c>
      <c r="I81" s="42"/>
      <c r="J81" s="34">
        <v>182.83</v>
      </c>
      <c r="K81" s="42"/>
      <c r="L81" s="34">
        <v>0</v>
      </c>
      <c r="N81" s="34"/>
      <c r="P81" s="34"/>
      <c r="Q81" s="34"/>
    </row>
    <row r="82" spans="1:18" x14ac:dyDescent="0.4">
      <c r="A82" s="33"/>
      <c r="B82" s="33"/>
      <c r="C82" s="33"/>
      <c r="D82" s="33"/>
      <c r="E82" s="33" t="s">
        <v>195</v>
      </c>
      <c r="F82" s="33"/>
      <c r="G82" s="33"/>
      <c r="H82" s="34">
        <v>668239.53</v>
      </c>
      <c r="I82" s="42"/>
      <c r="J82" s="34">
        <v>661616.36</v>
      </c>
      <c r="K82" s="42"/>
      <c r="L82" s="34">
        <v>695644.54</v>
      </c>
      <c r="N82" s="34">
        <v>740851.63</v>
      </c>
      <c r="P82" s="34">
        <v>712972.6</v>
      </c>
      <c r="Q82" s="34"/>
    </row>
    <row r="83" spans="1:18" x14ac:dyDescent="0.4">
      <c r="A83" s="33"/>
      <c r="B83" s="33"/>
      <c r="C83" s="33"/>
      <c r="D83" s="33"/>
      <c r="E83" s="33" t="s">
        <v>196</v>
      </c>
      <c r="F83" s="33"/>
      <c r="G83" s="33"/>
      <c r="H83" s="34">
        <v>42686.92</v>
      </c>
      <c r="I83" s="42"/>
      <c r="J83" s="34">
        <v>42315.15</v>
      </c>
      <c r="K83" s="42"/>
      <c r="L83" s="34">
        <v>44052.81</v>
      </c>
      <c r="N83" s="34">
        <v>47510.13</v>
      </c>
      <c r="P83" s="34">
        <v>46343.69</v>
      </c>
      <c r="Q83" s="34"/>
    </row>
    <row r="84" spans="1:18" x14ac:dyDescent="0.4">
      <c r="A84" s="33"/>
      <c r="B84" s="33"/>
      <c r="C84" s="33"/>
      <c r="D84" s="33"/>
      <c r="E84" s="33" t="s">
        <v>197</v>
      </c>
      <c r="F84" s="33"/>
      <c r="G84" s="33"/>
      <c r="H84" s="34">
        <v>9983.69</v>
      </c>
      <c r="I84" s="42"/>
      <c r="J84" s="34">
        <v>9889.5</v>
      </c>
      <c r="K84" s="42"/>
      <c r="L84" s="34">
        <v>10302.950000000001</v>
      </c>
      <c r="N84" s="34">
        <v>11080.12</v>
      </c>
      <c r="P84" s="34">
        <v>10814.62</v>
      </c>
      <c r="Q84" s="34"/>
    </row>
    <row r="85" spans="1:18" x14ac:dyDescent="0.4">
      <c r="A85" s="33"/>
      <c r="B85" s="33"/>
      <c r="C85" s="33"/>
      <c r="D85" s="33"/>
      <c r="E85" s="33" t="s">
        <v>198</v>
      </c>
      <c r="F85" s="33"/>
      <c r="G85" s="33"/>
      <c r="H85" s="34">
        <v>797.96</v>
      </c>
      <c r="I85" s="42"/>
      <c r="J85" s="34">
        <v>787.78</v>
      </c>
      <c r="K85" s="42"/>
      <c r="L85" s="34">
        <v>759.02</v>
      </c>
      <c r="N85" s="34">
        <v>713.99</v>
      </c>
      <c r="P85" s="34">
        <v>408.65</v>
      </c>
      <c r="Q85" s="34"/>
    </row>
    <row r="86" spans="1:18" x14ac:dyDescent="0.4">
      <c r="A86" s="33"/>
      <c r="B86" s="33"/>
      <c r="C86" s="33"/>
      <c r="D86" s="33"/>
      <c r="E86" s="33" t="s">
        <v>199</v>
      </c>
      <c r="F86" s="33"/>
      <c r="G86" s="33"/>
      <c r="H86" s="34">
        <v>2870.84</v>
      </c>
      <c r="I86" s="42"/>
      <c r="J86" s="34">
        <v>1512.61</v>
      </c>
      <c r="K86" s="42"/>
      <c r="L86" s="34">
        <v>1333.87</v>
      </c>
      <c r="N86" s="34">
        <v>566.13</v>
      </c>
      <c r="P86" s="34">
        <v>1071.44</v>
      </c>
      <c r="Q86" s="34"/>
    </row>
    <row r="87" spans="1:18" x14ac:dyDescent="0.4">
      <c r="A87" s="33"/>
      <c r="B87" s="33"/>
      <c r="C87" s="33"/>
      <c r="D87" s="33"/>
      <c r="E87" s="33" t="s">
        <v>200</v>
      </c>
      <c r="F87" s="33"/>
      <c r="G87" s="33"/>
      <c r="H87" s="34">
        <v>1620</v>
      </c>
      <c r="I87" s="42"/>
      <c r="J87" s="34">
        <v>60</v>
      </c>
      <c r="K87" s="42"/>
      <c r="L87" s="34">
        <v>0</v>
      </c>
      <c r="N87" s="34">
        <v>4865.5600000000004</v>
      </c>
      <c r="P87" s="34">
        <v>8023.57</v>
      </c>
      <c r="Q87" s="34"/>
    </row>
    <row r="88" spans="1:18" ht="15" thickBot="1" x14ac:dyDescent="0.45">
      <c r="A88" s="33"/>
      <c r="B88" s="33"/>
      <c r="C88" s="33"/>
      <c r="D88" s="33"/>
      <c r="E88" s="33" t="s">
        <v>201</v>
      </c>
      <c r="F88" s="33"/>
      <c r="G88" s="33"/>
      <c r="H88" s="35">
        <v>-112065.28</v>
      </c>
      <c r="I88" s="42"/>
      <c r="J88" s="35">
        <v>-111118.21</v>
      </c>
      <c r="K88" s="42"/>
      <c r="L88" s="35">
        <v>-88120.25</v>
      </c>
      <c r="N88" s="34">
        <v>-103889.66</v>
      </c>
      <c r="P88" s="34">
        <v>-79363.56</v>
      </c>
      <c r="Q88" s="34"/>
    </row>
    <row r="89" spans="1:18" x14ac:dyDescent="0.4">
      <c r="A89" s="33"/>
      <c r="B89" s="33"/>
      <c r="C89" s="33"/>
      <c r="D89" s="33" t="s">
        <v>202</v>
      </c>
      <c r="E89" s="33"/>
      <c r="F89" s="33"/>
      <c r="G89" s="33"/>
      <c r="H89" s="34">
        <f>ROUND(SUM(H80:H88),5)</f>
        <v>614397.86</v>
      </c>
      <c r="I89" s="42"/>
      <c r="J89" s="34">
        <f>ROUND(SUM(J80:J88),5)</f>
        <v>605246.02</v>
      </c>
      <c r="K89" s="42"/>
      <c r="L89" s="34">
        <f>ROUND(SUM(L80:L88),5)</f>
        <v>663972.93999999994</v>
      </c>
      <c r="N89" s="44">
        <f>ROUND(SUM(N80:N88),5)</f>
        <v>701697.9</v>
      </c>
      <c r="P89" s="44">
        <f>ROUND(SUM(P80:P88),5)</f>
        <v>700271.01</v>
      </c>
      <c r="Q89" s="34"/>
      <c r="R89" t="s">
        <v>203</v>
      </c>
    </row>
    <row r="94" spans="1:18" x14ac:dyDescent="0.4">
      <c r="P94" t="s">
        <v>204</v>
      </c>
    </row>
    <row r="95" spans="1:18" x14ac:dyDescent="0.4">
      <c r="P95" s="43">
        <f>+P89+P78+P29+P28+P27</f>
        <v>1829718.0599999998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5E9F8-2E3E-4D0D-BE0F-1CFD15D8A90A}">
  <dimension ref="A1:J47"/>
  <sheetViews>
    <sheetView workbookViewId="0"/>
  </sheetViews>
  <sheetFormatPr defaultRowHeight="18" customHeight="1" x14ac:dyDescent="0.45"/>
  <cols>
    <col min="1" max="1" width="27.15234375" style="23" customWidth="1"/>
    <col min="2" max="2" width="10" style="23" customWidth="1"/>
    <col min="3" max="3" width="12.84375" style="23" customWidth="1"/>
    <col min="4" max="16384" width="9.23046875" style="23"/>
  </cols>
  <sheetData>
    <row r="1" spans="1:10" ht="18" customHeight="1" x14ac:dyDescent="0.5">
      <c r="A1" s="82" t="s">
        <v>477</v>
      </c>
      <c r="B1" s="45"/>
    </row>
    <row r="2" spans="1:10" ht="18" customHeight="1" x14ac:dyDescent="0.45">
      <c r="A2" s="26" t="s">
        <v>488</v>
      </c>
      <c r="D2"/>
      <c r="E2"/>
      <c r="F2"/>
      <c r="G2"/>
      <c r="H2"/>
      <c r="I2"/>
    </row>
    <row r="3" spans="1:10" ht="18" customHeight="1" x14ac:dyDescent="0.45">
      <c r="C3" s="22">
        <v>2024</v>
      </c>
      <c r="D3"/>
      <c r="E3"/>
      <c r="F3"/>
      <c r="G3"/>
      <c r="H3"/>
      <c r="I3"/>
      <c r="J3"/>
    </row>
    <row r="4" spans="1:10" ht="18" customHeight="1" x14ac:dyDescent="0.45">
      <c r="A4" s="24" t="s">
        <v>484</v>
      </c>
      <c r="B4" s="29"/>
      <c r="C4" s="28"/>
      <c r="G4"/>
    </row>
    <row r="5" spans="1:10" ht="18" customHeight="1" x14ac:dyDescent="0.45">
      <c r="A5" s="23" t="s">
        <v>468</v>
      </c>
      <c r="B5"/>
      <c r="C5" s="81">
        <v>700</v>
      </c>
      <c r="G5"/>
    </row>
    <row r="6" spans="1:10" ht="18" customHeight="1" x14ac:dyDescent="0.45">
      <c r="A6" s="23" t="s">
        <v>507</v>
      </c>
      <c r="B6"/>
      <c r="C6" s="81">
        <v>2696</v>
      </c>
      <c r="G6"/>
    </row>
    <row r="7" spans="1:10" ht="18" customHeight="1" x14ac:dyDescent="0.45">
      <c r="A7" s="23" t="s">
        <v>506</v>
      </c>
      <c r="B7"/>
      <c r="C7" s="81">
        <v>1463</v>
      </c>
      <c r="G7"/>
    </row>
    <row r="8" spans="1:10" ht="18" customHeight="1" x14ac:dyDescent="0.45">
      <c r="A8" s="23" t="s">
        <v>478</v>
      </c>
      <c r="B8"/>
      <c r="C8" s="81">
        <v>1698</v>
      </c>
      <c r="G8"/>
    </row>
    <row r="9" spans="1:10" ht="18" customHeight="1" x14ac:dyDescent="0.45">
      <c r="G9"/>
    </row>
    <row r="10" spans="1:10" ht="18" customHeight="1" x14ac:dyDescent="0.45">
      <c r="A10" s="24" t="s">
        <v>53</v>
      </c>
      <c r="G10"/>
    </row>
    <row r="11" spans="1:10" ht="18" customHeight="1" x14ac:dyDescent="0.45">
      <c r="A11" s="23" t="s">
        <v>508</v>
      </c>
      <c r="B11"/>
      <c r="C11" s="81">
        <v>19845</v>
      </c>
      <c r="G11"/>
    </row>
    <row r="12" spans="1:10" ht="18" customHeight="1" x14ac:dyDescent="0.45">
      <c r="A12" s="23" t="s">
        <v>479</v>
      </c>
      <c r="B12"/>
      <c r="C12" s="81">
        <v>2852</v>
      </c>
      <c r="G12"/>
    </row>
    <row r="13" spans="1:10" ht="18" customHeight="1" x14ac:dyDescent="0.45">
      <c r="A13" s="23" t="s">
        <v>463</v>
      </c>
      <c r="B13"/>
      <c r="C13" s="81">
        <v>1166</v>
      </c>
      <c r="G13"/>
    </row>
    <row r="14" spans="1:10" ht="18" customHeight="1" x14ac:dyDescent="0.45">
      <c r="A14" s="23" t="s">
        <v>516</v>
      </c>
      <c r="B14"/>
      <c r="C14" s="81">
        <v>9211.41</v>
      </c>
      <c r="G14"/>
    </row>
    <row r="15" spans="1:10" ht="18" customHeight="1" x14ac:dyDescent="0.45">
      <c r="A15" s="23" t="s">
        <v>517</v>
      </c>
      <c r="B15"/>
      <c r="C15" s="81">
        <v>1193.9000000000001</v>
      </c>
      <c r="G15"/>
    </row>
    <row r="16" spans="1:10" ht="18" customHeight="1" x14ac:dyDescent="0.45">
      <c r="G16"/>
      <c r="H16"/>
      <c r="I16"/>
      <c r="J16"/>
    </row>
    <row r="17" spans="1:10" ht="18" customHeight="1" x14ac:dyDescent="0.45">
      <c r="A17" s="24" t="s">
        <v>480</v>
      </c>
      <c r="G17"/>
    </row>
    <row r="18" spans="1:10" ht="18" customHeight="1" x14ac:dyDescent="0.45">
      <c r="A18" s="23" t="s">
        <v>481</v>
      </c>
      <c r="B18"/>
      <c r="C18" s="81">
        <v>1696</v>
      </c>
      <c r="G18"/>
      <c r="H18"/>
      <c r="I18"/>
      <c r="J18"/>
    </row>
    <row r="19" spans="1:10" ht="18" customHeight="1" x14ac:dyDescent="0.45">
      <c r="A19" s="23" t="s">
        <v>482</v>
      </c>
      <c r="B19"/>
      <c r="C19" s="81">
        <v>2183</v>
      </c>
      <c r="G19"/>
      <c r="H19"/>
      <c r="I19"/>
      <c r="J19"/>
    </row>
    <row r="20" spans="1:10" ht="18" customHeight="1" x14ac:dyDescent="0.45">
      <c r="A20" s="23" t="s">
        <v>483</v>
      </c>
      <c r="B20"/>
      <c r="C20" s="81">
        <v>9095</v>
      </c>
      <c r="G20"/>
      <c r="H20"/>
      <c r="I20"/>
      <c r="J20"/>
    </row>
    <row r="21" spans="1:10" ht="18" customHeight="1" x14ac:dyDescent="0.45">
      <c r="D21"/>
      <c r="E21"/>
      <c r="F21"/>
      <c r="G21"/>
      <c r="H21"/>
      <c r="I21"/>
      <c r="J21"/>
    </row>
    <row r="22" spans="1:10" ht="18" customHeight="1" x14ac:dyDescent="0.45">
      <c r="A22" s="84" t="s">
        <v>476</v>
      </c>
      <c r="C22" s="83">
        <f>SUM(C5:C21)</f>
        <v>53799.310000000005</v>
      </c>
      <c r="D22"/>
      <c r="E22"/>
      <c r="G22"/>
      <c r="H22"/>
      <c r="I22"/>
      <c r="J22" s="4"/>
    </row>
    <row r="25" spans="1:10" ht="18" customHeight="1" x14ac:dyDescent="0.45">
      <c r="C25" s="22">
        <v>2023</v>
      </c>
    </row>
    <row r="26" spans="1:10" ht="18" customHeight="1" x14ac:dyDescent="0.45">
      <c r="A26" s="24" t="s">
        <v>484</v>
      </c>
    </row>
    <row r="27" spans="1:10" ht="18" customHeight="1" x14ac:dyDescent="0.45">
      <c r="A27" s="23" t="s">
        <v>485</v>
      </c>
      <c r="C27" s="81">
        <v>3685</v>
      </c>
    </row>
    <row r="28" spans="1:10" ht="18" customHeight="1" x14ac:dyDescent="0.45">
      <c r="A28" s="23" t="s">
        <v>515</v>
      </c>
      <c r="C28" s="81">
        <v>632</v>
      </c>
    </row>
    <row r="29" spans="1:10" ht="18" customHeight="1" x14ac:dyDescent="0.45">
      <c r="A29" s="23" t="s">
        <v>465</v>
      </c>
      <c r="C29" s="81">
        <v>4352</v>
      </c>
    </row>
    <row r="30" spans="1:10" ht="18" customHeight="1" x14ac:dyDescent="0.45">
      <c r="A30" s="23" t="s">
        <v>474</v>
      </c>
      <c r="C30" s="81">
        <v>1678</v>
      </c>
    </row>
    <row r="31" spans="1:10" ht="18" customHeight="1" x14ac:dyDescent="0.45">
      <c r="A31" s="23" t="s">
        <v>475</v>
      </c>
      <c r="C31" s="81">
        <v>873</v>
      </c>
    </row>
    <row r="32" spans="1:10" ht="18" customHeight="1" x14ac:dyDescent="0.45">
      <c r="A32" s="23" t="s">
        <v>486</v>
      </c>
      <c r="C32" s="81">
        <v>2904</v>
      </c>
    </row>
    <row r="34" spans="1:3" ht="18" customHeight="1" x14ac:dyDescent="0.45">
      <c r="A34" s="24" t="s">
        <v>53</v>
      </c>
    </row>
    <row r="35" spans="1:3" ht="18" customHeight="1" x14ac:dyDescent="0.45">
      <c r="A35" s="23" t="s">
        <v>469</v>
      </c>
      <c r="C35" s="81">
        <v>6220</v>
      </c>
    </row>
    <row r="36" spans="1:3" ht="18" customHeight="1" x14ac:dyDescent="0.45">
      <c r="A36" s="23" t="s">
        <v>466</v>
      </c>
      <c r="C36" s="81">
        <v>5859</v>
      </c>
    </row>
    <row r="37" spans="1:3" ht="18" customHeight="1" x14ac:dyDescent="0.45">
      <c r="A37" s="23" t="s">
        <v>467</v>
      </c>
      <c r="C37" s="81">
        <v>800</v>
      </c>
    </row>
    <row r="38" spans="1:3" ht="18" customHeight="1" x14ac:dyDescent="0.45">
      <c r="A38" s="23" t="s">
        <v>464</v>
      </c>
      <c r="C38" s="81">
        <v>2485</v>
      </c>
    </row>
    <row r="39" spans="1:3" ht="18" customHeight="1" x14ac:dyDescent="0.45">
      <c r="A39" s="23" t="s">
        <v>470</v>
      </c>
      <c r="C39" s="81">
        <v>1985</v>
      </c>
    </row>
    <row r="40" spans="1:3" ht="18" customHeight="1" x14ac:dyDescent="0.45">
      <c r="A40" s="23" t="s">
        <v>471</v>
      </c>
      <c r="C40" s="81">
        <v>3080</v>
      </c>
    </row>
    <row r="42" spans="1:3" ht="18" customHeight="1" x14ac:dyDescent="0.45">
      <c r="A42" s="24" t="s">
        <v>480</v>
      </c>
    </row>
    <row r="43" spans="1:3" ht="18" customHeight="1" x14ac:dyDescent="0.45">
      <c r="A43" s="23" t="s">
        <v>472</v>
      </c>
      <c r="C43" s="81">
        <v>49607</v>
      </c>
    </row>
    <row r="44" spans="1:3" ht="18" customHeight="1" x14ac:dyDescent="0.45">
      <c r="A44" s="23" t="s">
        <v>473</v>
      </c>
      <c r="C44" s="81">
        <v>39094</v>
      </c>
    </row>
    <row r="45" spans="1:3" ht="18" customHeight="1" x14ac:dyDescent="0.45">
      <c r="A45" s="23" t="s">
        <v>487</v>
      </c>
      <c r="C45" s="81">
        <v>3148</v>
      </c>
    </row>
    <row r="47" spans="1:3" ht="18" customHeight="1" x14ac:dyDescent="0.45">
      <c r="A47" s="84" t="s">
        <v>476</v>
      </c>
      <c r="C47" s="83">
        <f>SUM(C27:C46)</f>
        <v>126402</v>
      </c>
    </row>
  </sheetData>
  <pageMargins left="0.7" right="0.7" top="0.75" bottom="0.75" header="0.3" footer="0.3"/>
  <pageSetup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1CF6-6592-4F75-BCEF-1EAFC8D0DCAD}">
  <dimension ref="A1:R12"/>
  <sheetViews>
    <sheetView workbookViewId="0"/>
  </sheetViews>
  <sheetFormatPr defaultRowHeight="18" customHeight="1" x14ac:dyDescent="0.45"/>
  <cols>
    <col min="1" max="1" width="21.3046875" style="23" customWidth="1"/>
    <col min="2" max="8" width="13.69140625" style="23" customWidth="1"/>
    <col min="9" max="10" width="9.23046875" style="23"/>
    <col min="11" max="11" width="11.15234375" style="23" bestFit="1" customWidth="1"/>
    <col min="12" max="16384" width="9.23046875" style="23"/>
  </cols>
  <sheetData>
    <row r="1" spans="1:18" ht="18" customHeight="1" x14ac:dyDescent="0.5">
      <c r="A1" s="82" t="s">
        <v>510</v>
      </c>
      <c r="C1" s="26" t="s">
        <v>60</v>
      </c>
    </row>
    <row r="3" spans="1:18" ht="18" customHeight="1" x14ac:dyDescent="0.45">
      <c r="B3" s="22">
        <v>2024</v>
      </c>
      <c r="C3" s="22">
        <v>2023</v>
      </c>
      <c r="D3" s="22">
        <v>2022</v>
      </c>
      <c r="E3" s="22">
        <v>2021</v>
      </c>
      <c r="F3" s="22">
        <v>2020</v>
      </c>
      <c r="G3" s="22">
        <v>2019</v>
      </c>
      <c r="H3" s="22">
        <v>2018</v>
      </c>
    </row>
    <row r="5" spans="1:18" ht="18" customHeight="1" x14ac:dyDescent="0.45">
      <c r="A5" s="24" t="s">
        <v>61</v>
      </c>
      <c r="B5" s="29">
        <v>-2029748.45</v>
      </c>
      <c r="C5" s="29">
        <v>-1999557.61</v>
      </c>
      <c r="D5" s="29">
        <v>-3475781.78</v>
      </c>
      <c r="E5" s="29">
        <v>-2691853.5300000003</v>
      </c>
      <c r="F5" s="29">
        <v>-1616061</v>
      </c>
      <c r="G5" s="29">
        <v>-1854189</v>
      </c>
      <c r="H5" s="29">
        <v>-2254121</v>
      </c>
      <c r="I5" s="28"/>
      <c r="J5" s="28"/>
      <c r="K5" s="29"/>
      <c r="L5" s="29"/>
      <c r="M5" s="29"/>
      <c r="N5" s="29"/>
      <c r="O5" s="29"/>
      <c r="P5" s="29"/>
      <c r="Q5" s="29"/>
      <c r="R5" s="29"/>
    </row>
    <row r="6" spans="1:18" ht="18" customHeight="1" x14ac:dyDescent="0.45">
      <c r="A6" s="24" t="s">
        <v>62</v>
      </c>
      <c r="B6" s="29">
        <v>1668905.27</v>
      </c>
      <c r="C6" s="29">
        <v>2743673.5</v>
      </c>
      <c r="D6" s="29">
        <v>3533894.15</v>
      </c>
      <c r="E6" s="29">
        <v>2246485.1800000002</v>
      </c>
      <c r="F6" s="29">
        <v>1608660.77</v>
      </c>
      <c r="G6" s="29">
        <v>1877640.97</v>
      </c>
      <c r="H6" s="29">
        <v>2189722.4900000002</v>
      </c>
      <c r="K6" s="29"/>
      <c r="L6" s="29"/>
      <c r="M6" s="29"/>
      <c r="N6" s="29"/>
      <c r="O6" s="29"/>
      <c r="P6" s="29"/>
      <c r="Q6" s="29"/>
      <c r="R6" s="29"/>
    </row>
    <row r="7" spans="1:18" ht="18" customHeight="1" x14ac:dyDescent="0.45">
      <c r="A7" s="90" t="s">
        <v>513</v>
      </c>
      <c r="B7" s="29">
        <v>-67608.759999999995</v>
      </c>
      <c r="C7" s="29"/>
      <c r="D7" s="29"/>
      <c r="E7" s="29"/>
      <c r="F7" s="29"/>
      <c r="G7" s="29"/>
      <c r="H7" s="29"/>
    </row>
    <row r="8" spans="1:18" ht="18" customHeight="1" x14ac:dyDescent="0.45">
      <c r="A8" s="24"/>
      <c r="B8" s="29"/>
      <c r="C8" s="29"/>
      <c r="D8" s="29"/>
      <c r="E8" s="29"/>
      <c r="F8" s="29"/>
      <c r="G8" s="29"/>
      <c r="H8" s="29"/>
    </row>
    <row r="9" spans="1:18" ht="18" customHeight="1" x14ac:dyDescent="0.45">
      <c r="A9" s="24" t="s">
        <v>63</v>
      </c>
      <c r="B9" s="29">
        <f>SUM(B5:B8)</f>
        <v>-428451.93999999994</v>
      </c>
      <c r="C9" s="29">
        <f t="shared" ref="C9:H9" si="0">SUM(C5:C8)</f>
        <v>744115.8899999999</v>
      </c>
      <c r="D9" s="29">
        <f t="shared" si="0"/>
        <v>58112.370000000112</v>
      </c>
      <c r="E9" s="29">
        <f t="shared" si="0"/>
        <v>-445368.35000000009</v>
      </c>
      <c r="F9" s="29">
        <f t="shared" si="0"/>
        <v>-7400.2299999999814</v>
      </c>
      <c r="G9" s="29">
        <f t="shared" si="0"/>
        <v>23451.969999999972</v>
      </c>
      <c r="H9" s="29">
        <f t="shared" si="0"/>
        <v>-64398.509999999776</v>
      </c>
      <c r="I9" s="29"/>
    </row>
    <row r="10" spans="1:18" ht="18" customHeight="1" x14ac:dyDescent="0.45">
      <c r="B10" s="27"/>
      <c r="C10" s="27"/>
      <c r="D10" s="27"/>
      <c r="E10" s="27"/>
      <c r="F10" s="27"/>
      <c r="G10" s="27"/>
      <c r="H10" s="27"/>
    </row>
    <row r="12" spans="1:18" ht="18" customHeight="1" x14ac:dyDescent="0.45">
      <c r="B12" s="26" t="s">
        <v>514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51319-9744-4341-AF09-55C973CA632D}">
  <dimension ref="A1:H12"/>
  <sheetViews>
    <sheetView workbookViewId="0"/>
  </sheetViews>
  <sheetFormatPr defaultRowHeight="18" customHeight="1" x14ac:dyDescent="0.45"/>
  <cols>
    <col min="1" max="1" width="21.3046875" style="23" customWidth="1"/>
    <col min="2" max="16384" width="9.23046875" style="23"/>
  </cols>
  <sheetData>
    <row r="1" spans="1:8" ht="18" customHeight="1" x14ac:dyDescent="0.5">
      <c r="A1" s="82" t="s">
        <v>512</v>
      </c>
      <c r="B1" s="86"/>
    </row>
    <row r="3" spans="1:8" ht="18" customHeight="1" x14ac:dyDescent="0.45">
      <c r="A3" s="21" t="s">
        <v>58</v>
      </c>
      <c r="B3" s="22">
        <v>2024</v>
      </c>
      <c r="C3" s="22">
        <v>2023</v>
      </c>
      <c r="D3" s="22">
        <v>2022</v>
      </c>
      <c r="E3" s="22">
        <v>2021</v>
      </c>
      <c r="F3" s="22">
        <v>2020</v>
      </c>
      <c r="G3" s="22">
        <v>2019</v>
      </c>
      <c r="H3" s="22">
        <v>2018</v>
      </c>
    </row>
    <row r="5" spans="1:8" ht="18" customHeight="1" x14ac:dyDescent="0.45">
      <c r="A5" s="24" t="s">
        <v>56</v>
      </c>
      <c r="B5" s="25">
        <v>377994</v>
      </c>
      <c r="C5" s="25">
        <v>367626</v>
      </c>
      <c r="D5" s="25">
        <v>417736</v>
      </c>
      <c r="E5" s="25">
        <v>404331</v>
      </c>
      <c r="F5" s="25">
        <v>394076</v>
      </c>
      <c r="G5" s="25">
        <v>380150</v>
      </c>
      <c r="H5" s="25">
        <v>431226</v>
      </c>
    </row>
    <row r="6" spans="1:8" ht="18" customHeight="1" x14ac:dyDescent="0.45">
      <c r="A6" s="24" t="s">
        <v>57</v>
      </c>
      <c r="B6" s="25">
        <v>352890</v>
      </c>
      <c r="C6" s="25">
        <v>341654</v>
      </c>
      <c r="D6" s="25">
        <v>390765</v>
      </c>
      <c r="E6" s="25">
        <v>374179</v>
      </c>
      <c r="F6" s="25">
        <v>351004</v>
      </c>
      <c r="G6" s="25">
        <v>356566</v>
      </c>
      <c r="H6" s="25">
        <v>401999</v>
      </c>
    </row>
    <row r="7" spans="1:8" ht="18" customHeight="1" x14ac:dyDescent="0.45">
      <c r="A7" s="24"/>
      <c r="B7" s="25"/>
      <c r="C7" s="25"/>
      <c r="D7" s="25"/>
      <c r="E7" s="25"/>
      <c r="F7" s="25"/>
      <c r="H7" s="25"/>
    </row>
    <row r="8" spans="1:8" ht="18" customHeight="1" x14ac:dyDescent="0.45">
      <c r="A8" s="24" t="s">
        <v>59</v>
      </c>
      <c r="B8" s="25">
        <f>B6-B5</f>
        <v>-25104</v>
      </c>
      <c r="C8" s="25">
        <f t="shared" ref="C8:G8" si="0">C6-C5</f>
        <v>-25972</v>
      </c>
      <c r="D8" s="25">
        <f t="shared" si="0"/>
        <v>-26971</v>
      </c>
      <c r="E8" s="25">
        <f t="shared" si="0"/>
        <v>-30152</v>
      </c>
      <c r="F8" s="25">
        <f t="shared" si="0"/>
        <v>-43072</v>
      </c>
      <c r="G8" s="25">
        <f t="shared" si="0"/>
        <v>-23584</v>
      </c>
      <c r="H8" s="25">
        <f t="shared" ref="H8" si="1">H6-H5</f>
        <v>-29227</v>
      </c>
    </row>
    <row r="9" spans="1:8" ht="18" customHeight="1" x14ac:dyDescent="0.45">
      <c r="B9" s="27">
        <f>B8/B5</f>
        <v>-6.6413752599247602E-2</v>
      </c>
      <c r="C9" s="27">
        <f t="shared" ref="C9:H9" si="2">C8/C5</f>
        <v>-7.0647886710950805E-2</v>
      </c>
      <c r="D9" s="27">
        <f t="shared" si="2"/>
        <v>-6.4564701150966158E-2</v>
      </c>
      <c r="E9" s="27">
        <f t="shared" si="2"/>
        <v>-7.4572565546544789E-2</v>
      </c>
      <c r="F9" s="27">
        <f t="shared" si="2"/>
        <v>-0.10929871395365361</v>
      </c>
      <c r="G9" s="27">
        <f t="shared" si="2"/>
        <v>-6.2038668946468499E-2</v>
      </c>
      <c r="H9" s="27">
        <f t="shared" si="2"/>
        <v>-6.7776525534174653E-2</v>
      </c>
    </row>
    <row r="12" spans="1:8" ht="18" customHeight="1" x14ac:dyDescent="0.45">
      <c r="B12" s="26" t="s">
        <v>60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A16F7-C9C1-455A-9E4B-F032C5F66820}">
  <dimension ref="A1:S21"/>
  <sheetViews>
    <sheetView workbookViewId="0"/>
  </sheetViews>
  <sheetFormatPr defaultRowHeight="14.6" x14ac:dyDescent="0.4"/>
  <cols>
    <col min="1" max="5" width="4" customWidth="1"/>
    <col min="6" max="6" width="3.69140625" customWidth="1"/>
    <col min="7" max="7" width="25.53515625" customWidth="1"/>
    <col min="18" max="18" width="10.84375" bestFit="1" customWidth="1"/>
  </cols>
  <sheetData>
    <row r="1" spans="1:19" ht="18.45" x14ac:dyDescent="0.5">
      <c r="A1" s="82" t="s">
        <v>455</v>
      </c>
      <c r="B1" s="45"/>
      <c r="C1" s="45"/>
      <c r="D1" s="45"/>
      <c r="E1" s="45"/>
      <c r="F1" s="45"/>
    </row>
    <row r="2" spans="1:19" ht="15" thickBot="1" x14ac:dyDescent="0.45">
      <c r="H2" s="36"/>
      <c r="I2" s="37"/>
      <c r="J2" s="36"/>
      <c r="K2" s="38"/>
      <c r="L2" s="36"/>
      <c r="M2" s="38"/>
      <c r="N2" s="39"/>
    </row>
    <row r="3" spans="1:19" ht="15.45" thickTop="1" thickBot="1" x14ac:dyDescent="0.45">
      <c r="H3" s="40" t="s">
        <v>97</v>
      </c>
      <c r="I3" s="41"/>
      <c r="J3" s="40" t="s">
        <v>98</v>
      </c>
      <c r="K3" s="41"/>
      <c r="L3" s="40" t="s">
        <v>99</v>
      </c>
      <c r="M3" s="41"/>
      <c r="N3" s="40" t="s">
        <v>100</v>
      </c>
      <c r="O3" s="3"/>
      <c r="P3" s="40" t="s">
        <v>101</v>
      </c>
      <c r="Q3" s="3"/>
      <c r="R3" s="40" t="s">
        <v>102</v>
      </c>
    </row>
    <row r="4" spans="1:19" ht="15" thickTop="1" x14ac:dyDescent="0.4"/>
    <row r="5" spans="1:19" x14ac:dyDescent="0.4">
      <c r="A5" s="33"/>
      <c r="B5" s="33"/>
      <c r="C5" s="33"/>
      <c r="D5" s="33" t="s">
        <v>103</v>
      </c>
      <c r="E5" s="33"/>
      <c r="F5" s="33"/>
      <c r="G5" s="33"/>
      <c r="H5" s="34">
        <f>66992.42+16069.74</f>
        <v>83062.16</v>
      </c>
      <c r="I5" s="42"/>
      <c r="J5" s="34">
        <f>22256.92+8599.13</f>
        <v>30856.049999999996</v>
      </c>
      <c r="K5" s="42"/>
      <c r="L5" s="34">
        <f>36766.69+19062.26</f>
        <v>55828.95</v>
      </c>
      <c r="M5" s="42"/>
      <c r="N5" s="34">
        <f>87898.08+44017.03</f>
        <v>131915.10999999999</v>
      </c>
      <c r="P5" s="34">
        <f>93621.33+47736.07</f>
        <v>141357.4</v>
      </c>
      <c r="R5" s="34">
        <f>51208.67+22075.36</f>
        <v>73284.03</v>
      </c>
      <c r="S5" s="34"/>
    </row>
    <row r="6" spans="1:19" x14ac:dyDescent="0.4">
      <c r="A6" s="33"/>
      <c r="B6" s="33"/>
      <c r="C6" s="33"/>
      <c r="D6" s="33" t="s">
        <v>104</v>
      </c>
      <c r="E6" s="33"/>
      <c r="F6" s="33"/>
      <c r="G6" s="33"/>
      <c r="H6" s="34"/>
      <c r="I6" s="42"/>
      <c r="J6" s="34"/>
      <c r="K6" s="42"/>
      <c r="L6" s="34"/>
      <c r="M6" s="42"/>
      <c r="N6" s="34"/>
      <c r="P6" s="34"/>
      <c r="R6" s="34"/>
      <c r="S6" s="34"/>
    </row>
    <row r="7" spans="1:19" x14ac:dyDescent="0.4">
      <c r="A7" s="33"/>
      <c r="B7" s="33"/>
      <c r="C7" s="33"/>
      <c r="D7" s="33"/>
      <c r="E7" s="33" t="s">
        <v>105</v>
      </c>
      <c r="F7" s="33"/>
      <c r="G7" s="33"/>
      <c r="H7" s="34">
        <f>16157+1920</f>
        <v>18077</v>
      </c>
      <c r="I7" s="42"/>
      <c r="J7" s="34">
        <f>4446+480</f>
        <v>4926</v>
      </c>
      <c r="K7" s="42"/>
      <c r="L7" s="34">
        <f>11595+962</f>
        <v>12557</v>
      </c>
      <c r="M7" s="42"/>
      <c r="N7" s="34">
        <f>12417+1632</f>
        <v>14049</v>
      </c>
      <c r="P7" s="34">
        <f>12701+768</f>
        <v>13469</v>
      </c>
      <c r="R7" s="34">
        <f>10902+1536</f>
        <v>12438</v>
      </c>
      <c r="S7" s="34"/>
    </row>
    <row r="8" spans="1:19" x14ac:dyDescent="0.4">
      <c r="A8" s="33"/>
      <c r="B8" s="33"/>
      <c r="C8" s="33"/>
      <c r="D8" s="33"/>
      <c r="E8" s="33" t="s">
        <v>106</v>
      </c>
      <c r="F8" s="33"/>
      <c r="G8" s="33"/>
      <c r="H8" s="34">
        <f>3570+630</f>
        <v>4200</v>
      </c>
      <c r="I8" s="42"/>
      <c r="J8" s="34">
        <f>3570+1010</f>
        <v>4580</v>
      </c>
      <c r="K8" s="42"/>
      <c r="L8" s="34">
        <f>3900+240</f>
        <v>4140</v>
      </c>
      <c r="M8" s="42"/>
      <c r="N8" s="34">
        <f>4170+390</f>
        <v>4560</v>
      </c>
      <c r="P8" s="34">
        <f>3690+480</f>
        <v>4170</v>
      </c>
      <c r="R8" s="34">
        <f>2520+630</f>
        <v>3150</v>
      </c>
      <c r="S8" s="34"/>
    </row>
    <row r="9" spans="1:19" x14ac:dyDescent="0.4">
      <c r="A9" s="33"/>
      <c r="B9" s="33"/>
      <c r="C9" s="33"/>
      <c r="D9" s="33"/>
      <c r="E9" s="33" t="s">
        <v>107</v>
      </c>
      <c r="F9" s="33"/>
      <c r="G9" s="33"/>
      <c r="H9" s="34">
        <v>0</v>
      </c>
      <c r="I9" s="42"/>
      <c r="J9" s="34">
        <v>100</v>
      </c>
      <c r="K9" s="42"/>
      <c r="L9" s="34">
        <v>0</v>
      </c>
      <c r="M9" s="42"/>
      <c r="N9" s="34"/>
      <c r="P9" s="34"/>
      <c r="R9" s="34"/>
      <c r="S9" s="34"/>
    </row>
    <row r="10" spans="1:19" x14ac:dyDescent="0.4">
      <c r="A10" s="33"/>
      <c r="B10" s="33"/>
      <c r="C10" s="33"/>
      <c r="D10" s="33"/>
      <c r="E10" s="33" t="s">
        <v>108</v>
      </c>
      <c r="F10" s="33"/>
      <c r="G10" s="33"/>
      <c r="H10" s="34">
        <v>9436.2199999999993</v>
      </c>
      <c r="I10" s="42"/>
      <c r="J10" s="34">
        <v>443</v>
      </c>
      <c r="K10" s="42"/>
      <c r="L10" s="34">
        <v>100</v>
      </c>
      <c r="M10" s="42"/>
      <c r="N10" s="34">
        <v>730.68</v>
      </c>
      <c r="P10" s="34"/>
      <c r="R10" s="34"/>
      <c r="S10" s="34"/>
    </row>
    <row r="11" spans="1:19" x14ac:dyDescent="0.4">
      <c r="A11" s="33"/>
      <c r="B11" s="33"/>
      <c r="C11" s="33"/>
      <c r="D11" s="33"/>
      <c r="E11" s="33" t="s">
        <v>109</v>
      </c>
      <c r="F11" s="33"/>
      <c r="G11" s="33"/>
      <c r="H11" s="34">
        <f>16935+2500</f>
        <v>19435</v>
      </c>
      <c r="I11" s="42"/>
      <c r="J11" s="34">
        <f>7450+1100</f>
        <v>8550</v>
      </c>
      <c r="K11" s="42"/>
      <c r="L11" s="34">
        <f>16809+2450</f>
        <v>19259</v>
      </c>
      <c r="M11" s="42"/>
      <c r="N11" s="34">
        <f>19354+2600</f>
        <v>21954</v>
      </c>
      <c r="P11" s="34">
        <f>19950+2050</f>
        <v>22000</v>
      </c>
      <c r="R11" s="34">
        <f>15800+2300</f>
        <v>18100</v>
      </c>
      <c r="S11" s="34"/>
    </row>
    <row r="12" spans="1:19" x14ac:dyDescent="0.4">
      <c r="A12" s="33"/>
      <c r="B12" s="33"/>
      <c r="C12" s="33"/>
      <c r="D12" s="33"/>
      <c r="E12" s="33" t="s">
        <v>110</v>
      </c>
      <c r="F12" s="33"/>
      <c r="G12" s="33"/>
      <c r="H12" s="34">
        <f>600+800</f>
        <v>1400</v>
      </c>
      <c r="I12" s="42"/>
      <c r="J12" s="34">
        <v>1485</v>
      </c>
      <c r="K12" s="42"/>
      <c r="L12" s="34">
        <v>1218</v>
      </c>
      <c r="M12" s="42"/>
      <c r="N12" s="34">
        <v>1560</v>
      </c>
      <c r="P12" s="34">
        <v>1125</v>
      </c>
      <c r="R12" s="34">
        <f>969+300</f>
        <v>1269</v>
      </c>
      <c r="S12" s="34"/>
    </row>
    <row r="13" spans="1:19" x14ac:dyDescent="0.4">
      <c r="A13" s="33"/>
      <c r="B13" s="33"/>
      <c r="C13" s="33"/>
      <c r="D13" s="33"/>
      <c r="E13" s="33" t="s">
        <v>111</v>
      </c>
      <c r="F13" s="33"/>
      <c r="G13" s="33"/>
      <c r="H13" s="34">
        <f>1110+180</f>
        <v>1290</v>
      </c>
      <c r="I13" s="42"/>
      <c r="J13" s="34">
        <f>660+180</f>
        <v>840</v>
      </c>
      <c r="K13" s="42"/>
      <c r="L13" s="34">
        <f>1090+240</f>
        <v>1330</v>
      </c>
      <c r="M13" s="42"/>
      <c r="N13" s="34">
        <f>1950+150</f>
        <v>2100</v>
      </c>
      <c r="P13" s="34">
        <f>1380+720</f>
        <v>2100</v>
      </c>
      <c r="R13" s="34">
        <f>1470+270</f>
        <v>1740</v>
      </c>
      <c r="S13" s="34"/>
    </row>
    <row r="14" spans="1:19" ht="15" thickBot="1" x14ac:dyDescent="0.45">
      <c r="A14" s="33"/>
      <c r="B14" s="33"/>
      <c r="C14" s="33"/>
      <c r="D14" s="33"/>
      <c r="E14" s="33" t="s">
        <v>112</v>
      </c>
      <c r="F14" s="33"/>
      <c r="G14" s="33"/>
      <c r="H14" s="35">
        <v>7700</v>
      </c>
      <c r="I14" s="42"/>
      <c r="J14" s="35">
        <v>6975</v>
      </c>
      <c r="K14" s="42"/>
      <c r="L14" s="35">
        <v>9250</v>
      </c>
      <c r="M14" s="42"/>
      <c r="N14" s="35">
        <v>9025</v>
      </c>
      <c r="P14" s="35">
        <v>7800</v>
      </c>
      <c r="R14" s="35">
        <v>5700</v>
      </c>
      <c r="S14" s="34"/>
    </row>
    <row r="15" spans="1:19" x14ac:dyDescent="0.4">
      <c r="A15" s="33"/>
      <c r="B15" s="33"/>
      <c r="C15" s="33"/>
      <c r="D15" s="33" t="s">
        <v>113</v>
      </c>
      <c r="E15" s="33"/>
      <c r="F15" s="33"/>
      <c r="G15" s="33"/>
      <c r="H15" s="34">
        <f>ROUND(SUM(H6:H14),5)</f>
        <v>61538.22</v>
      </c>
      <c r="I15" s="42"/>
      <c r="J15" s="34">
        <f>ROUND(SUM(J6:J14),5)</f>
        <v>27899</v>
      </c>
      <c r="K15" s="42"/>
      <c r="L15" s="34">
        <f>ROUND(SUM(L6:L14),5)</f>
        <v>47854</v>
      </c>
      <c r="M15" s="42"/>
      <c r="N15" s="34">
        <f>ROUND(SUM(N6:N14),5)</f>
        <v>53978.68</v>
      </c>
      <c r="P15" s="34">
        <f>ROUND(SUM(P6:P14),5)</f>
        <v>50664</v>
      </c>
      <c r="R15" s="34">
        <f>ROUND(SUM(R6:R14),5)</f>
        <v>42397</v>
      </c>
      <c r="S15" s="34"/>
    </row>
    <row r="20" spans="18:18" x14ac:dyDescent="0.4">
      <c r="R20" t="s">
        <v>114</v>
      </c>
    </row>
    <row r="21" spans="18:18" x14ac:dyDescent="0.4">
      <c r="R21" s="43">
        <f>+R5+R15</f>
        <v>115681.03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19670-D386-427C-AFDE-9E77AC8609D8}">
  <dimension ref="A1:N47"/>
  <sheetViews>
    <sheetView workbookViewId="0">
      <selection activeCell="C1" sqref="C1"/>
    </sheetView>
  </sheetViews>
  <sheetFormatPr defaultRowHeight="14.6" x14ac:dyDescent="0.4"/>
  <cols>
    <col min="6" max="6" width="15.3046875" customWidth="1"/>
    <col min="8" max="8" width="11.3046875" customWidth="1"/>
  </cols>
  <sheetData>
    <row r="1" spans="1:14" ht="18.45" x14ac:dyDescent="0.5">
      <c r="A1" s="82" t="s">
        <v>456</v>
      </c>
      <c r="B1" s="85"/>
      <c r="C1" s="45"/>
    </row>
    <row r="3" spans="1:14" x14ac:dyDescent="0.4">
      <c r="A3" s="1" t="s">
        <v>206</v>
      </c>
      <c r="B3" s="45"/>
      <c r="M3" s="2" t="s">
        <v>207</v>
      </c>
    </row>
    <row r="5" spans="1:14" x14ac:dyDescent="0.4">
      <c r="A5" s="30" t="s">
        <v>64</v>
      </c>
      <c r="B5" s="30"/>
      <c r="C5" s="30"/>
      <c r="D5" s="30"/>
      <c r="E5" s="31"/>
      <c r="F5" s="32">
        <v>1771843.8699999999</v>
      </c>
      <c r="L5" s="4" t="s">
        <v>212</v>
      </c>
      <c r="M5" s="46">
        <v>188278</v>
      </c>
    </row>
    <row r="6" spans="1:14" x14ac:dyDescent="0.4">
      <c r="A6" s="30" t="s">
        <v>65</v>
      </c>
      <c r="B6" s="30"/>
      <c r="C6" s="30"/>
      <c r="D6" s="30"/>
      <c r="E6" s="31"/>
      <c r="F6" s="32">
        <v>505491</v>
      </c>
      <c r="L6" s="4" t="s">
        <v>213</v>
      </c>
      <c r="M6" s="46">
        <v>57437</v>
      </c>
    </row>
    <row r="7" spans="1:14" x14ac:dyDescent="0.4">
      <c r="A7" s="30" t="s">
        <v>66</v>
      </c>
      <c r="B7" s="30"/>
      <c r="C7" s="30"/>
      <c r="D7" s="30"/>
      <c r="E7" s="31"/>
      <c r="F7" s="49">
        <v>845775.21</v>
      </c>
      <c r="H7" s="7" t="s">
        <v>216</v>
      </c>
      <c r="L7" s="4" t="s">
        <v>214</v>
      </c>
      <c r="M7" s="48">
        <v>111552</v>
      </c>
    </row>
    <row r="8" spans="1:14" x14ac:dyDescent="0.4">
      <c r="L8" s="4"/>
    </row>
    <row r="9" spans="1:14" x14ac:dyDescent="0.4">
      <c r="D9" s="4" t="s">
        <v>215</v>
      </c>
      <c r="F9" s="50">
        <f>SUM(F5:F8)</f>
        <v>3123110.08</v>
      </c>
      <c r="L9" s="4"/>
      <c r="M9" s="47">
        <f>SUM(M5:M7)</f>
        <v>357267</v>
      </c>
      <c r="N9" t="s">
        <v>207</v>
      </c>
    </row>
    <row r="11" spans="1:14" x14ac:dyDescent="0.4">
      <c r="L11" s="4" t="s">
        <v>208</v>
      </c>
      <c r="M11" s="46">
        <v>35611</v>
      </c>
      <c r="N11" t="s">
        <v>207</v>
      </c>
    </row>
    <row r="12" spans="1:14" x14ac:dyDescent="0.4">
      <c r="A12" s="1" t="s">
        <v>205</v>
      </c>
      <c r="B12" s="45"/>
    </row>
    <row r="13" spans="1:14" x14ac:dyDescent="0.4">
      <c r="A13" s="33"/>
      <c r="B13" s="33"/>
      <c r="C13" s="33"/>
      <c r="D13" s="33" t="s">
        <v>64</v>
      </c>
      <c r="E13" s="33"/>
      <c r="F13" s="33"/>
      <c r="H13" s="34"/>
      <c r="I13" s="34"/>
      <c r="M13" s="46"/>
    </row>
    <row r="14" spans="1:14" x14ac:dyDescent="0.4">
      <c r="A14" s="33"/>
      <c r="B14" s="33"/>
      <c r="C14" s="33"/>
      <c r="D14" s="33"/>
      <c r="E14" s="33" t="s">
        <v>67</v>
      </c>
      <c r="F14" s="33"/>
      <c r="H14" s="34">
        <f>424316.34+89127.61</f>
        <v>513443.95</v>
      </c>
      <c r="I14" s="34"/>
      <c r="M14" s="46"/>
    </row>
    <row r="15" spans="1:14" x14ac:dyDescent="0.4">
      <c r="A15" s="33"/>
      <c r="B15" s="33"/>
      <c r="C15" s="33"/>
      <c r="D15" s="33"/>
      <c r="E15" s="33" t="s">
        <v>68</v>
      </c>
      <c r="F15" s="33"/>
      <c r="H15" s="34">
        <v>230112.26</v>
      </c>
      <c r="I15" s="34"/>
      <c r="M15" s="46"/>
    </row>
    <row r="16" spans="1:14" x14ac:dyDescent="0.4">
      <c r="A16" s="33"/>
      <c r="B16" s="33"/>
      <c r="C16" s="33"/>
      <c r="D16" s="33"/>
      <c r="E16" s="33" t="s">
        <v>69</v>
      </c>
      <c r="F16" s="33"/>
      <c r="H16" s="34">
        <v>7166.93</v>
      </c>
      <c r="I16" s="34"/>
      <c r="M16" s="46"/>
    </row>
    <row r="17" spans="1:14" x14ac:dyDescent="0.4">
      <c r="A17" s="33"/>
      <c r="B17" s="33"/>
      <c r="C17" s="33"/>
      <c r="D17" s="33"/>
      <c r="E17" s="33" t="s">
        <v>70</v>
      </c>
      <c r="F17" s="33"/>
      <c r="H17" s="34">
        <f>376871.42+79400.34</f>
        <v>456271.76</v>
      </c>
      <c r="I17" s="34"/>
      <c r="M17" s="46"/>
    </row>
    <row r="18" spans="1:14" x14ac:dyDescent="0.4">
      <c r="A18" s="33"/>
      <c r="B18" s="33"/>
      <c r="C18" s="33"/>
      <c r="D18" s="33"/>
      <c r="E18" s="33" t="s">
        <v>71</v>
      </c>
      <c r="F18" s="33"/>
      <c r="H18" s="34">
        <v>205823.54</v>
      </c>
      <c r="I18" s="34"/>
      <c r="M18" s="46"/>
    </row>
    <row r="19" spans="1:14" x14ac:dyDescent="0.4">
      <c r="A19" s="33"/>
      <c r="B19" s="33"/>
      <c r="C19" s="33"/>
      <c r="D19" s="33"/>
      <c r="E19" s="33" t="s">
        <v>72</v>
      </c>
      <c r="F19" s="33"/>
      <c r="H19" s="34">
        <v>6761.64</v>
      </c>
      <c r="I19" s="34"/>
      <c r="M19" s="46"/>
    </row>
    <row r="20" spans="1:14" ht="15" thickBot="1" x14ac:dyDescent="0.45">
      <c r="A20" s="33"/>
      <c r="B20" s="33"/>
      <c r="C20" s="33"/>
      <c r="D20" s="33"/>
      <c r="E20" s="33" t="s">
        <v>73</v>
      </c>
      <c r="F20" s="33"/>
      <c r="H20" s="35">
        <f>-37428.98-0.02</f>
        <v>-37429</v>
      </c>
      <c r="I20" s="34"/>
      <c r="M20" s="46"/>
    </row>
    <row r="21" spans="1:14" x14ac:dyDescent="0.4">
      <c r="A21" s="33"/>
      <c r="B21" s="33"/>
      <c r="C21" s="33"/>
      <c r="D21" s="33" t="s">
        <v>74</v>
      </c>
      <c r="E21" s="33"/>
      <c r="F21" s="33"/>
      <c r="H21" s="34">
        <f>ROUND(SUM(H12:H20),5)</f>
        <v>1382151.08</v>
      </c>
      <c r="I21" s="34"/>
      <c r="J21" t="s">
        <v>211</v>
      </c>
      <c r="M21" s="46">
        <v>158355</v>
      </c>
    </row>
    <row r="22" spans="1:14" x14ac:dyDescent="0.4">
      <c r="A22" s="33"/>
      <c r="B22" s="33"/>
      <c r="C22" s="33"/>
      <c r="D22" s="33" t="s">
        <v>65</v>
      </c>
      <c r="E22" s="33"/>
      <c r="F22" s="33"/>
      <c r="H22" s="34"/>
      <c r="I22" s="34"/>
      <c r="M22" s="46"/>
    </row>
    <row r="23" spans="1:14" x14ac:dyDescent="0.4">
      <c r="A23" s="33"/>
      <c r="B23" s="33"/>
      <c r="C23" s="33"/>
      <c r="D23" s="33"/>
      <c r="E23" s="33" t="s">
        <v>75</v>
      </c>
      <c r="F23" s="33"/>
      <c r="H23" s="34">
        <f>178609.15+43722.98+318344.55</f>
        <v>540676.67999999993</v>
      </c>
      <c r="I23" s="34"/>
      <c r="J23" t="s">
        <v>210</v>
      </c>
      <c r="M23" s="46">
        <v>69003</v>
      </c>
    </row>
    <row r="24" spans="1:14" x14ac:dyDescent="0.4">
      <c r="A24" s="33"/>
      <c r="B24" s="33"/>
      <c r="C24" s="33"/>
      <c r="D24" s="33"/>
      <c r="E24" s="33" t="s">
        <v>76</v>
      </c>
      <c r="F24" s="33"/>
      <c r="H24" s="34">
        <v>124942</v>
      </c>
      <c r="I24" s="34"/>
      <c r="M24" s="46"/>
    </row>
    <row r="25" spans="1:14" x14ac:dyDescent="0.4">
      <c r="A25" s="33"/>
      <c r="B25" s="33"/>
      <c r="C25" s="33"/>
      <c r="D25" s="33"/>
      <c r="E25" s="33" t="s">
        <v>77</v>
      </c>
      <c r="F25" s="33"/>
      <c r="H25" s="34">
        <v>14254.84</v>
      </c>
      <c r="I25" s="34"/>
      <c r="M25" s="46"/>
    </row>
    <row r="26" spans="1:14" x14ac:dyDescent="0.4">
      <c r="A26" s="33"/>
      <c r="B26" s="33"/>
      <c r="C26" s="33"/>
      <c r="D26" s="33"/>
      <c r="E26" s="33" t="s">
        <v>78</v>
      </c>
      <c r="F26" s="33"/>
      <c r="H26" s="34">
        <f>157424.84+42799.28+237715.33</f>
        <v>437939.44999999995</v>
      </c>
      <c r="I26" s="34"/>
      <c r="M26" s="46"/>
    </row>
    <row r="27" spans="1:14" x14ac:dyDescent="0.4">
      <c r="A27" s="33"/>
      <c r="B27" s="33"/>
      <c r="C27" s="33"/>
      <c r="D27" s="33"/>
      <c r="E27" s="33" t="s">
        <v>79</v>
      </c>
      <c r="F27" s="33"/>
      <c r="H27" s="34">
        <v>113346.18</v>
      </c>
      <c r="I27" s="34"/>
      <c r="M27" s="46"/>
    </row>
    <row r="28" spans="1:14" x14ac:dyDescent="0.4">
      <c r="A28" s="33"/>
      <c r="B28" s="33"/>
      <c r="C28" s="33"/>
      <c r="D28" s="33"/>
      <c r="E28" s="33" t="s">
        <v>80</v>
      </c>
      <c r="F28" s="33"/>
      <c r="H28" s="34">
        <v>25788.03</v>
      </c>
      <c r="I28" s="34"/>
      <c r="M28" s="46"/>
    </row>
    <row r="29" spans="1:14" ht="15" thickBot="1" x14ac:dyDescent="0.45">
      <c r="A29" s="33"/>
      <c r="B29" s="33"/>
      <c r="C29" s="33"/>
      <c r="D29" s="33"/>
      <c r="E29" s="33" t="s">
        <v>81</v>
      </c>
      <c r="F29" s="33"/>
      <c r="H29" s="35">
        <v>-24837.8</v>
      </c>
      <c r="I29" s="34"/>
      <c r="M29" s="46"/>
    </row>
    <row r="30" spans="1:14" x14ac:dyDescent="0.4">
      <c r="A30" s="33"/>
      <c r="B30" s="33"/>
      <c r="C30" s="33"/>
      <c r="D30" s="33" t="s">
        <v>82</v>
      </c>
      <c r="E30" s="33"/>
      <c r="F30" s="33"/>
      <c r="H30" s="34">
        <f>ROUND(SUM(H22:H29),5)</f>
        <v>1232109.3799999999</v>
      </c>
      <c r="I30" s="34"/>
      <c r="J30" t="s">
        <v>209</v>
      </c>
      <c r="M30" s="48">
        <v>125286</v>
      </c>
      <c r="N30" t="s">
        <v>217</v>
      </c>
    </row>
    <row r="31" spans="1:14" x14ac:dyDescent="0.4">
      <c r="A31" s="33"/>
      <c r="B31" s="33"/>
      <c r="C31" s="33"/>
      <c r="D31" s="33" t="s">
        <v>66</v>
      </c>
      <c r="E31" s="33"/>
      <c r="F31" s="33"/>
      <c r="H31" s="34"/>
      <c r="I31" s="34"/>
      <c r="N31" t="s">
        <v>218</v>
      </c>
    </row>
    <row r="32" spans="1:14" x14ac:dyDescent="0.4">
      <c r="A32" s="33"/>
      <c r="B32" s="33"/>
      <c r="C32" s="33"/>
      <c r="D32" s="33"/>
      <c r="E32" s="33" t="s">
        <v>83</v>
      </c>
      <c r="F32" s="33"/>
      <c r="H32" s="34">
        <f>121325.95+26918.87</f>
        <v>148244.82</v>
      </c>
      <c r="I32" s="34"/>
      <c r="M32" s="46"/>
    </row>
    <row r="33" spans="1:14" x14ac:dyDescent="0.4">
      <c r="A33" s="33"/>
      <c r="B33" s="33"/>
      <c r="C33" s="33"/>
      <c r="D33" s="33"/>
      <c r="E33" s="33" t="s">
        <v>84</v>
      </c>
      <c r="F33" s="33"/>
      <c r="H33" s="34">
        <v>88279.11</v>
      </c>
      <c r="I33" s="34"/>
      <c r="M33" s="46"/>
    </row>
    <row r="34" spans="1:14" x14ac:dyDescent="0.4">
      <c r="A34" s="33"/>
      <c r="B34" s="33"/>
      <c r="C34" s="33"/>
      <c r="D34" s="33"/>
      <c r="E34" s="33" t="s">
        <v>85</v>
      </c>
      <c r="F34" s="33"/>
      <c r="H34" s="34">
        <v>494.48</v>
      </c>
      <c r="I34" s="34"/>
      <c r="M34" s="46"/>
    </row>
    <row r="35" spans="1:14" x14ac:dyDescent="0.4">
      <c r="A35" s="33"/>
      <c r="B35" s="33"/>
      <c r="C35" s="33"/>
      <c r="D35" s="33"/>
      <c r="E35" s="33" t="s">
        <v>86</v>
      </c>
      <c r="F35" s="33"/>
      <c r="H35" s="34">
        <f>107725.02+23898.23</f>
        <v>131623.25</v>
      </c>
      <c r="I35" s="34"/>
      <c r="M35" s="46"/>
    </row>
    <row r="36" spans="1:14" x14ac:dyDescent="0.4">
      <c r="A36" s="33"/>
      <c r="B36" s="33"/>
      <c r="C36" s="33"/>
      <c r="D36" s="33"/>
      <c r="E36" s="33" t="s">
        <v>87</v>
      </c>
      <c r="F36" s="33"/>
      <c r="H36" s="34">
        <v>79900.929999999993</v>
      </c>
      <c r="I36" s="34"/>
      <c r="M36" s="46"/>
    </row>
    <row r="37" spans="1:14" x14ac:dyDescent="0.4">
      <c r="A37" s="33"/>
      <c r="B37" s="33"/>
      <c r="C37" s="33"/>
      <c r="D37" s="33"/>
      <c r="E37" s="33" t="s">
        <v>88</v>
      </c>
      <c r="F37" s="33"/>
      <c r="H37" s="34">
        <v>468</v>
      </c>
      <c r="I37" s="34"/>
      <c r="M37" s="46"/>
    </row>
    <row r="38" spans="1:14" ht="15" thickBot="1" x14ac:dyDescent="0.45">
      <c r="A38" s="33"/>
      <c r="B38" s="33"/>
      <c r="C38" s="33"/>
      <c r="D38" s="33"/>
      <c r="E38" s="33" t="s">
        <v>89</v>
      </c>
      <c r="F38" s="33"/>
      <c r="H38" s="35">
        <v>-4899.08</v>
      </c>
      <c r="I38" s="34"/>
      <c r="M38" s="46"/>
    </row>
    <row r="39" spans="1:14" x14ac:dyDescent="0.4">
      <c r="A39" s="33"/>
      <c r="B39" s="33"/>
      <c r="C39" s="33"/>
      <c r="D39" s="33" t="s">
        <v>90</v>
      </c>
      <c r="E39" s="33"/>
      <c r="F39" s="33"/>
      <c r="H39" s="34">
        <f>ROUND(SUM(H31:H38),5)</f>
        <v>444111.51</v>
      </c>
      <c r="I39" s="34"/>
      <c r="J39" t="s">
        <v>209</v>
      </c>
      <c r="M39" s="46"/>
    </row>
    <row r="40" spans="1:14" x14ac:dyDescent="0.4">
      <c r="A40" s="33"/>
      <c r="B40" s="33"/>
      <c r="C40" s="33"/>
      <c r="D40" s="33"/>
      <c r="E40" s="33"/>
      <c r="F40" s="33"/>
      <c r="H40" s="34"/>
      <c r="I40" s="34"/>
      <c r="M40" s="46"/>
    </row>
    <row r="41" spans="1:14" x14ac:dyDescent="0.4">
      <c r="A41" s="33"/>
      <c r="B41" s="33"/>
      <c r="C41" s="33"/>
      <c r="D41" s="4" t="s">
        <v>215</v>
      </c>
      <c r="F41" s="50">
        <f>SUM(H39,H30,H21)</f>
        <v>3058371.9699999997</v>
      </c>
      <c r="H41" s="34"/>
      <c r="I41" s="34"/>
      <c r="M41" s="47">
        <f>SUM(M21:M30)</f>
        <v>352644</v>
      </c>
      <c r="N41" t="s">
        <v>207</v>
      </c>
    </row>
    <row r="42" spans="1:14" x14ac:dyDescent="0.4">
      <c r="A42" s="33"/>
      <c r="B42" s="33"/>
      <c r="C42" s="33"/>
      <c r="D42" s="33"/>
      <c r="E42" s="33"/>
      <c r="F42" s="33"/>
      <c r="H42" s="34"/>
      <c r="I42" s="34"/>
      <c r="M42" s="46"/>
    </row>
    <row r="43" spans="1:14" x14ac:dyDescent="0.4">
      <c r="A43" s="33"/>
      <c r="B43" s="33"/>
      <c r="C43" s="33"/>
      <c r="D43" s="33" t="s">
        <v>91</v>
      </c>
      <c r="E43" s="33"/>
      <c r="F43" s="33"/>
      <c r="H43" s="34">
        <v>325</v>
      </c>
      <c r="I43" s="34"/>
      <c r="J43" t="s">
        <v>92</v>
      </c>
    </row>
    <row r="44" spans="1:14" x14ac:dyDescent="0.4">
      <c r="A44" s="33"/>
      <c r="B44" s="33"/>
      <c r="C44" s="33"/>
      <c r="D44" s="33"/>
      <c r="E44" s="33" t="s">
        <v>93</v>
      </c>
      <c r="F44" s="33"/>
      <c r="H44" s="34">
        <v>159913</v>
      </c>
      <c r="I44" s="34"/>
    </row>
    <row r="45" spans="1:14" x14ac:dyDescent="0.4">
      <c r="A45" s="33"/>
      <c r="B45" s="33"/>
      <c r="C45" s="33"/>
      <c r="D45" s="33"/>
      <c r="E45" s="33" t="s">
        <v>94</v>
      </c>
      <c r="F45" s="33"/>
      <c r="H45" s="34">
        <v>45177</v>
      </c>
      <c r="I45" s="34"/>
    </row>
    <row r="46" spans="1:14" x14ac:dyDescent="0.4">
      <c r="A46" s="33"/>
      <c r="B46" s="33"/>
      <c r="C46" s="33"/>
      <c r="D46" s="33"/>
      <c r="E46" s="33" t="s">
        <v>95</v>
      </c>
      <c r="F46" s="33"/>
      <c r="H46" s="34">
        <v>25057</v>
      </c>
      <c r="I46" s="34"/>
    </row>
    <row r="47" spans="1:14" x14ac:dyDescent="0.4">
      <c r="A47" s="33"/>
      <c r="B47" s="33"/>
      <c r="C47" s="33"/>
      <c r="D47" s="33" t="s">
        <v>96</v>
      </c>
      <c r="E47" s="33"/>
      <c r="F47" s="33"/>
      <c r="H47" s="34">
        <f>ROUND(SUM(H43:H46),5)</f>
        <v>230472</v>
      </c>
      <c r="I47" s="34"/>
      <c r="J47" t="s">
        <v>208</v>
      </c>
      <c r="M47" s="46">
        <v>31546</v>
      </c>
      <c r="N47" t="s">
        <v>207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A540B-8B5B-4E4D-9E23-DA72279053CC}">
  <dimension ref="A1:S346"/>
  <sheetViews>
    <sheetView workbookViewId="0">
      <pane xSplit="7" ySplit="2" topLeftCell="H124" activePane="bottomRight" state="frozen"/>
      <selection pane="topRight" activeCell="H1" sqref="H1"/>
      <selection pane="bottomLeft" activeCell="A3" sqref="A3"/>
      <selection pane="bottomRight" activeCell="D136" sqref="D136:G136"/>
    </sheetView>
  </sheetViews>
  <sheetFormatPr defaultRowHeight="14.6" x14ac:dyDescent="0.4"/>
  <cols>
    <col min="1" max="6" width="3" style="54" customWidth="1"/>
    <col min="7" max="7" width="25.84375" style="54" customWidth="1"/>
    <col min="8" max="8" width="2.3046875" customWidth="1"/>
    <col min="9" max="9" width="10.84375" bestFit="1" customWidth="1"/>
    <col min="10" max="10" width="2.3046875" customWidth="1"/>
    <col min="11" max="11" width="11.53515625" bestFit="1" customWidth="1"/>
    <col min="12" max="12" width="2.3046875" customWidth="1"/>
    <col min="13" max="13" width="11.3046875" customWidth="1"/>
    <col min="14" max="14" width="3.15234375" customWidth="1"/>
    <col min="15" max="15" width="10.84375" bestFit="1" customWidth="1"/>
    <col min="16" max="16" width="2.69140625" customWidth="1"/>
    <col min="17" max="18" width="12" customWidth="1"/>
  </cols>
  <sheetData>
    <row r="1" spans="1:19" ht="18" thickBot="1" x14ac:dyDescent="0.45">
      <c r="A1" s="89" t="s">
        <v>452</v>
      </c>
      <c r="B1" s="89"/>
      <c r="C1" s="89"/>
      <c r="D1" s="89"/>
      <c r="E1" s="89"/>
      <c r="F1" s="89"/>
      <c r="G1" s="89"/>
      <c r="H1" s="37"/>
      <c r="I1" s="36"/>
      <c r="J1" s="38"/>
      <c r="K1" s="36"/>
      <c r="L1" s="38"/>
      <c r="M1" s="39"/>
    </row>
    <row r="2" spans="1:19" ht="15.45" thickTop="1" thickBot="1" x14ac:dyDescent="0.45">
      <c r="A2" s="51"/>
      <c r="B2" s="51"/>
      <c r="C2" s="51"/>
      <c r="D2" s="51"/>
      <c r="E2" s="51"/>
      <c r="F2" s="51"/>
      <c r="G2" s="51"/>
      <c r="H2" s="41"/>
      <c r="I2" s="40" t="s">
        <v>98</v>
      </c>
      <c r="J2" s="41"/>
      <c r="K2" s="40" t="s">
        <v>99</v>
      </c>
      <c r="L2" s="41"/>
      <c r="M2" s="40" t="s">
        <v>100</v>
      </c>
      <c r="N2" s="3"/>
      <c r="O2" s="40" t="s">
        <v>101</v>
      </c>
      <c r="P2" s="3"/>
      <c r="Q2" s="40" t="s">
        <v>102</v>
      </c>
      <c r="R2" s="51"/>
      <c r="S2" s="3"/>
    </row>
    <row r="3" spans="1:19" ht="15" thickTop="1" x14ac:dyDescent="0.4">
      <c r="A3" s="33"/>
      <c r="B3" s="33"/>
      <c r="C3" s="33" t="s">
        <v>219</v>
      </c>
      <c r="D3" s="33"/>
      <c r="E3" s="33"/>
      <c r="F3" s="33"/>
      <c r="G3" s="33"/>
      <c r="H3" s="42"/>
      <c r="I3" s="34"/>
      <c r="J3" s="42"/>
      <c r="K3" s="34"/>
      <c r="L3" s="42"/>
      <c r="M3" s="34"/>
      <c r="Q3" s="34"/>
      <c r="R3" s="34"/>
    </row>
    <row r="4" spans="1:19" x14ac:dyDescent="0.4">
      <c r="A4" s="33"/>
      <c r="B4" s="33"/>
      <c r="C4" s="33"/>
      <c r="D4" s="33" t="s">
        <v>220</v>
      </c>
      <c r="E4" s="33"/>
      <c r="F4" s="33"/>
      <c r="G4" s="33"/>
      <c r="H4" s="42"/>
      <c r="I4" s="34"/>
      <c r="J4" s="42"/>
      <c r="K4" s="34"/>
      <c r="L4" s="42"/>
      <c r="M4" s="34"/>
      <c r="O4" s="34"/>
      <c r="Q4" s="34"/>
      <c r="R4" s="34"/>
      <c r="S4" s="52"/>
    </row>
    <row r="5" spans="1:19" x14ac:dyDescent="0.4">
      <c r="A5" s="33"/>
      <c r="B5" s="33"/>
      <c r="C5" s="33"/>
      <c r="D5" s="33"/>
      <c r="E5" s="33" t="s">
        <v>221</v>
      </c>
      <c r="F5" s="33"/>
      <c r="G5" s="33"/>
      <c r="H5" s="42"/>
      <c r="I5" s="34">
        <f>387505.11-387505.11</f>
        <v>0</v>
      </c>
      <c r="J5" s="42"/>
      <c r="K5" s="34">
        <f>438102.94-438102.94</f>
        <v>0</v>
      </c>
      <c r="L5" s="42"/>
      <c r="M5" s="34">
        <f>430744.9-430744.9</f>
        <v>0</v>
      </c>
      <c r="O5" s="34">
        <v>0</v>
      </c>
      <c r="Q5" s="34">
        <v>0</v>
      </c>
      <c r="R5" s="34"/>
      <c r="S5" s="52"/>
    </row>
    <row r="6" spans="1:19" ht="15" thickBot="1" x14ac:dyDescent="0.45">
      <c r="A6" s="33"/>
      <c r="B6" s="33"/>
      <c r="C6" s="33"/>
      <c r="D6" s="33"/>
      <c r="E6" s="33" t="s">
        <v>222</v>
      </c>
      <c r="F6" s="33"/>
      <c r="G6" s="33"/>
      <c r="H6" s="42"/>
      <c r="I6" s="35">
        <v>10000</v>
      </c>
      <c r="J6" s="42"/>
      <c r="K6" s="35">
        <v>10000</v>
      </c>
      <c r="L6" s="42"/>
      <c r="M6" s="35">
        <v>10000</v>
      </c>
      <c r="O6" s="35">
        <v>10000</v>
      </c>
      <c r="Q6" s="35">
        <v>10000</v>
      </c>
      <c r="R6" s="34"/>
    </row>
    <row r="7" spans="1:19" x14ac:dyDescent="0.4">
      <c r="A7" s="33"/>
      <c r="B7" s="33"/>
      <c r="C7" s="33"/>
      <c r="D7" s="33" t="s">
        <v>223</v>
      </c>
      <c r="E7" s="33"/>
      <c r="F7" s="33"/>
      <c r="G7" s="33"/>
      <c r="H7" s="42"/>
      <c r="I7" s="34">
        <f>ROUND(SUM(I4:I6),5)</f>
        <v>10000</v>
      </c>
      <c r="J7" s="42"/>
      <c r="K7" s="34">
        <f>ROUND(SUM(K4:K6),5)</f>
        <v>10000</v>
      </c>
      <c r="L7" s="42"/>
      <c r="M7" s="34">
        <f>ROUND(SUM(M4:M6),5)</f>
        <v>10000</v>
      </c>
      <c r="O7" s="34">
        <f>ROUND(SUM(O4:O6),5)</f>
        <v>10000</v>
      </c>
      <c r="Q7" s="34">
        <f>ROUND(SUM(Q4:Q6),5)</f>
        <v>10000</v>
      </c>
      <c r="R7" s="34"/>
      <c r="S7" t="s">
        <v>224</v>
      </c>
    </row>
    <row r="8" spans="1:19" x14ac:dyDescent="0.4">
      <c r="A8" s="33"/>
      <c r="B8" s="33"/>
      <c r="C8" s="33"/>
      <c r="D8" s="33" t="s">
        <v>225</v>
      </c>
      <c r="E8" s="33"/>
      <c r="F8" s="33"/>
      <c r="G8" s="33"/>
      <c r="H8" s="42"/>
      <c r="I8" s="34">
        <v>136.6</v>
      </c>
      <c r="J8" s="42"/>
      <c r="K8" s="34">
        <v>131.24</v>
      </c>
      <c r="L8" s="42"/>
      <c r="M8" s="34">
        <v>122.36</v>
      </c>
      <c r="O8" s="34">
        <v>129.25</v>
      </c>
      <c r="Q8" s="34">
        <v>122.37</v>
      </c>
      <c r="R8" s="34"/>
      <c r="S8" t="s">
        <v>226</v>
      </c>
    </row>
    <row r="9" spans="1:19" x14ac:dyDescent="0.4">
      <c r="A9" s="33"/>
      <c r="B9" s="33"/>
      <c r="C9" s="33"/>
      <c r="D9" s="33" t="s">
        <v>227</v>
      </c>
      <c r="E9" s="33"/>
      <c r="F9" s="33"/>
      <c r="G9" s="33"/>
      <c r="H9" s="42"/>
      <c r="I9" s="34">
        <v>318</v>
      </c>
      <c r="J9" s="42"/>
      <c r="K9" s="34">
        <v>32700</v>
      </c>
      <c r="L9" s="42"/>
      <c r="M9" s="34">
        <v>14154</v>
      </c>
      <c r="O9" s="34">
        <f>14945.17+1500</f>
        <v>16445.169999999998</v>
      </c>
      <c r="Q9" s="34">
        <v>23907.32</v>
      </c>
      <c r="R9" s="34"/>
    </row>
    <row r="10" spans="1:19" x14ac:dyDescent="0.4">
      <c r="A10" s="33"/>
      <c r="B10" s="33"/>
      <c r="C10" s="33"/>
      <c r="D10" s="33" t="s">
        <v>228</v>
      </c>
      <c r="E10" s="33"/>
      <c r="F10" s="33"/>
      <c r="G10" s="33"/>
      <c r="H10" s="42"/>
      <c r="I10" s="34">
        <v>0.34</v>
      </c>
      <c r="J10" s="42"/>
      <c r="K10" s="34">
        <v>0</v>
      </c>
      <c r="L10" s="42"/>
      <c r="M10" s="34"/>
      <c r="O10" s="34"/>
      <c r="Q10" s="34"/>
      <c r="R10" s="34"/>
    </row>
    <row r="11" spans="1:19" x14ac:dyDescent="0.4">
      <c r="A11" s="33"/>
      <c r="B11" s="33"/>
      <c r="C11" s="33"/>
      <c r="D11" s="33" t="s">
        <v>64</v>
      </c>
      <c r="E11" s="33"/>
      <c r="F11" s="33"/>
      <c r="G11" s="33"/>
      <c r="H11" s="42"/>
      <c r="I11" s="34"/>
      <c r="J11" s="42"/>
      <c r="K11" s="34"/>
      <c r="L11" s="42"/>
      <c r="M11" s="34"/>
      <c r="O11" s="34"/>
      <c r="Q11" s="34"/>
      <c r="R11" s="34"/>
    </row>
    <row r="12" spans="1:19" x14ac:dyDescent="0.4">
      <c r="A12" s="33"/>
      <c r="B12" s="33"/>
      <c r="C12" s="33"/>
      <c r="D12" s="33"/>
      <c r="E12" s="33" t="s">
        <v>67</v>
      </c>
      <c r="F12" s="33"/>
      <c r="G12" s="33"/>
      <c r="H12" s="42"/>
      <c r="I12" s="34">
        <v>0</v>
      </c>
      <c r="J12" s="42"/>
      <c r="K12" s="34">
        <v>0</v>
      </c>
      <c r="L12" s="42"/>
      <c r="M12" s="34">
        <f>1003811.89+197357.39</f>
        <v>1201169.28</v>
      </c>
      <c r="O12" s="34">
        <f>752418.92+151929.66</f>
        <v>904348.58000000007</v>
      </c>
      <c r="Q12" s="34">
        <f>424316.34+89127.61</f>
        <v>513443.95</v>
      </c>
      <c r="R12" s="34"/>
    </row>
    <row r="13" spans="1:19" x14ac:dyDescent="0.4">
      <c r="A13" s="33"/>
      <c r="B13" s="33"/>
      <c r="C13" s="33"/>
      <c r="D13" s="33"/>
      <c r="E13" s="33" t="s">
        <v>68</v>
      </c>
      <c r="F13" s="33"/>
      <c r="G13" s="33"/>
      <c r="H13" s="42"/>
      <c r="I13" s="34">
        <v>0</v>
      </c>
      <c r="J13" s="42"/>
      <c r="K13" s="34">
        <v>0</v>
      </c>
      <c r="L13" s="42"/>
      <c r="M13" s="34">
        <v>560079.93000000005</v>
      </c>
      <c r="O13" s="34">
        <v>421399.83</v>
      </c>
      <c r="Q13" s="34">
        <v>230112.26</v>
      </c>
      <c r="R13" s="34"/>
    </row>
    <row r="14" spans="1:19" x14ac:dyDescent="0.4">
      <c r="A14" s="33"/>
      <c r="B14" s="33"/>
      <c r="C14" s="33"/>
      <c r="D14" s="33"/>
      <c r="E14" s="33" t="s">
        <v>69</v>
      </c>
      <c r="F14" s="33"/>
      <c r="G14" s="33"/>
      <c r="H14" s="42"/>
      <c r="I14" s="34">
        <v>0</v>
      </c>
      <c r="J14" s="42"/>
      <c r="K14" s="34">
        <v>0</v>
      </c>
      <c r="L14" s="42"/>
      <c r="M14" s="34">
        <v>13569.55</v>
      </c>
      <c r="O14" s="34">
        <v>10224.11</v>
      </c>
      <c r="Q14" s="34">
        <v>7166.93</v>
      </c>
      <c r="R14" s="34"/>
    </row>
    <row r="15" spans="1:19" x14ac:dyDescent="0.4">
      <c r="A15" s="33"/>
      <c r="B15" s="33"/>
      <c r="C15" s="33"/>
      <c r="D15" s="33"/>
      <c r="E15" s="33" t="s">
        <v>70</v>
      </c>
      <c r="F15" s="33"/>
      <c r="G15" s="33"/>
      <c r="H15" s="42"/>
      <c r="I15" s="34">
        <v>0</v>
      </c>
      <c r="J15" s="42"/>
      <c r="K15" s="34">
        <v>0</v>
      </c>
      <c r="L15" s="42"/>
      <c r="M15" s="34">
        <f>470392.34+92369.23</f>
        <v>562761.57000000007</v>
      </c>
      <c r="O15" s="34">
        <f>373506.46+75803.99</f>
        <v>449310.45</v>
      </c>
      <c r="Q15" s="34">
        <f>376871.42+79400.34</f>
        <v>456271.76</v>
      </c>
      <c r="R15" s="34"/>
    </row>
    <row r="16" spans="1:19" x14ac:dyDescent="0.4">
      <c r="A16" s="33"/>
      <c r="B16" s="33"/>
      <c r="C16" s="33"/>
      <c r="D16" s="33"/>
      <c r="E16" s="33" t="s">
        <v>71</v>
      </c>
      <c r="F16" s="33"/>
      <c r="G16" s="33"/>
      <c r="H16" s="42"/>
      <c r="I16" s="34">
        <v>0</v>
      </c>
      <c r="J16" s="42"/>
      <c r="K16" s="34">
        <v>0</v>
      </c>
      <c r="L16" s="42"/>
      <c r="M16" s="34">
        <v>262121.89</v>
      </c>
      <c r="O16" s="34">
        <v>203012.72</v>
      </c>
      <c r="Q16" s="34">
        <v>205823.54</v>
      </c>
      <c r="R16" s="34"/>
    </row>
    <row r="17" spans="1:19" x14ac:dyDescent="0.4">
      <c r="A17" s="33"/>
      <c r="B17" s="33"/>
      <c r="C17" s="33"/>
      <c r="D17" s="33"/>
      <c r="E17" s="33" t="s">
        <v>72</v>
      </c>
      <c r="F17" s="33"/>
      <c r="G17" s="33"/>
      <c r="H17" s="42"/>
      <c r="I17" s="34">
        <v>0</v>
      </c>
      <c r="J17" s="42"/>
      <c r="K17" s="34">
        <v>0</v>
      </c>
      <c r="L17" s="42"/>
      <c r="M17" s="34">
        <v>6738.22</v>
      </c>
      <c r="O17" s="34">
        <v>5412.78</v>
      </c>
      <c r="Q17" s="34">
        <v>6761.64</v>
      </c>
      <c r="R17" s="34"/>
    </row>
    <row r="18" spans="1:19" ht="15" thickBot="1" x14ac:dyDescent="0.45">
      <c r="A18" s="33"/>
      <c r="B18" s="33"/>
      <c r="C18" s="33"/>
      <c r="D18" s="33"/>
      <c r="E18" s="33" t="s">
        <v>73</v>
      </c>
      <c r="F18" s="33"/>
      <c r="G18" s="33"/>
      <c r="H18" s="42"/>
      <c r="I18" s="35">
        <f>1594228.92+163108.05</f>
        <v>1757336.97</v>
      </c>
      <c r="J18" s="42"/>
      <c r="K18" s="35">
        <f>1915494.24+214346.17</f>
        <v>2129840.41</v>
      </c>
      <c r="L18" s="42"/>
      <c r="M18" s="35">
        <f>2590.1</f>
        <v>2590.1</v>
      </c>
      <c r="O18" s="35"/>
      <c r="Q18" s="35">
        <f>-37428.98-0.02</f>
        <v>-37429</v>
      </c>
      <c r="R18" s="34"/>
    </row>
    <row r="19" spans="1:19" x14ac:dyDescent="0.4">
      <c r="A19" s="33"/>
      <c r="B19" s="33"/>
      <c r="C19" s="33"/>
      <c r="D19" s="33" t="s">
        <v>74</v>
      </c>
      <c r="E19" s="33"/>
      <c r="F19" s="33"/>
      <c r="G19" s="33"/>
      <c r="H19" s="42"/>
      <c r="I19" s="34">
        <f>ROUND(SUM(I11:I18),5)</f>
        <v>1757336.97</v>
      </c>
      <c r="J19" s="42"/>
      <c r="K19" s="34">
        <f>ROUND(SUM(K11:K18),5)</f>
        <v>2129840.41</v>
      </c>
      <c r="L19" s="42"/>
      <c r="M19" s="34">
        <f>ROUND(SUM(M11:M18),5)</f>
        <v>2609030.54</v>
      </c>
      <c r="O19" s="34">
        <f>ROUND(SUM(O11:O18),5)</f>
        <v>1993708.47</v>
      </c>
      <c r="Q19" s="34">
        <f>ROUND(SUM(Q10:Q18),5)</f>
        <v>1382151.08</v>
      </c>
      <c r="R19" s="34"/>
      <c r="S19" t="s">
        <v>229</v>
      </c>
    </row>
    <row r="20" spans="1:19" x14ac:dyDescent="0.4">
      <c r="A20" s="33"/>
      <c r="B20" s="33"/>
      <c r="C20" s="33"/>
      <c r="D20" s="33" t="s">
        <v>65</v>
      </c>
      <c r="E20" s="33"/>
      <c r="F20" s="33"/>
      <c r="G20" s="33"/>
      <c r="H20" s="42"/>
      <c r="I20" s="34"/>
      <c r="J20" s="42"/>
      <c r="K20" s="34"/>
      <c r="L20" s="42"/>
      <c r="M20" s="34"/>
      <c r="O20" s="34"/>
      <c r="Q20" s="34"/>
      <c r="R20" s="34"/>
    </row>
    <row r="21" spans="1:19" x14ac:dyDescent="0.4">
      <c r="A21" s="33"/>
      <c r="B21" s="33"/>
      <c r="C21" s="33"/>
      <c r="D21" s="33"/>
      <c r="E21" s="33" t="s">
        <v>75</v>
      </c>
      <c r="F21" s="33"/>
      <c r="G21" s="33"/>
      <c r="H21" s="42"/>
      <c r="I21" s="34">
        <v>0</v>
      </c>
      <c r="J21" s="42"/>
      <c r="K21" s="34">
        <v>0</v>
      </c>
      <c r="L21" s="42"/>
      <c r="M21" s="34">
        <f>294951.52+93108.2+596221.34</f>
        <v>984281.06</v>
      </c>
      <c r="O21" s="34">
        <f>259700.84+83487.56+536946.74</f>
        <v>880135.14</v>
      </c>
      <c r="Q21" s="34">
        <f>178609.15+43722.98+318344.55</f>
        <v>540676.67999999993</v>
      </c>
      <c r="R21" s="34"/>
    </row>
    <row r="22" spans="1:19" x14ac:dyDescent="0.4">
      <c r="A22" s="33"/>
      <c r="B22" s="33"/>
      <c r="C22" s="33"/>
      <c r="D22" s="33"/>
      <c r="E22" s="33" t="s">
        <v>76</v>
      </c>
      <c r="F22" s="33"/>
      <c r="G22" s="33"/>
      <c r="H22" s="42"/>
      <c r="I22" s="34">
        <v>0</v>
      </c>
      <c r="J22" s="42"/>
      <c r="K22" s="34">
        <v>0</v>
      </c>
      <c r="L22" s="42"/>
      <c r="M22" s="34">
        <v>227495.44</v>
      </c>
      <c r="O22" s="34">
        <v>199030.62</v>
      </c>
      <c r="Q22" s="34">
        <v>124942</v>
      </c>
      <c r="R22" s="34"/>
    </row>
    <row r="23" spans="1:19" x14ac:dyDescent="0.4">
      <c r="A23" s="33"/>
      <c r="B23" s="33"/>
      <c r="C23" s="33"/>
      <c r="D23" s="33"/>
      <c r="E23" s="33" t="s">
        <v>77</v>
      </c>
      <c r="F23" s="33"/>
      <c r="G23" s="33"/>
      <c r="H23" s="42"/>
      <c r="I23" s="34">
        <v>0</v>
      </c>
      <c r="J23" s="42"/>
      <c r="K23" s="34">
        <v>0</v>
      </c>
      <c r="L23" s="42"/>
      <c r="M23" s="34">
        <v>23807.13</v>
      </c>
      <c r="O23" s="34">
        <v>17565.599999999999</v>
      </c>
      <c r="Q23" s="34">
        <v>14254.84</v>
      </c>
      <c r="R23" s="34"/>
    </row>
    <row r="24" spans="1:19" x14ac:dyDescent="0.4">
      <c r="A24" s="33"/>
      <c r="B24" s="33"/>
      <c r="C24" s="33"/>
      <c r="D24" s="33"/>
      <c r="E24" s="33" t="s">
        <v>78</v>
      </c>
      <c r="F24" s="33"/>
      <c r="G24" s="33"/>
      <c r="H24" s="42"/>
      <c r="I24" s="34">
        <v>0</v>
      </c>
      <c r="J24" s="42"/>
      <c r="K24" s="34">
        <v>0</v>
      </c>
      <c r="L24" s="42"/>
      <c r="M24" s="34">
        <f>136369.2+44244.76+227069.29</f>
        <v>407683.25</v>
      </c>
      <c r="O24" s="34">
        <f>135026.3+40656.26+239452.89</f>
        <v>415135.45</v>
      </c>
      <c r="Q24" s="34">
        <f>157424.84+42799.28+237715.33</f>
        <v>437939.44999999995</v>
      </c>
      <c r="R24" s="34"/>
    </row>
    <row r="25" spans="1:19" x14ac:dyDescent="0.4">
      <c r="A25" s="33"/>
      <c r="B25" s="33"/>
      <c r="C25" s="33"/>
      <c r="D25" s="33"/>
      <c r="E25" s="33" t="s">
        <v>79</v>
      </c>
      <c r="F25" s="33"/>
      <c r="G25" s="33"/>
      <c r="H25" s="42"/>
      <c r="I25" s="34">
        <v>0</v>
      </c>
      <c r="J25" s="42"/>
      <c r="K25" s="34">
        <v>0</v>
      </c>
      <c r="L25" s="42"/>
      <c r="M25" s="34">
        <v>105555.53</v>
      </c>
      <c r="O25" s="34">
        <v>104111.9</v>
      </c>
      <c r="Q25" s="34">
        <v>113346.18</v>
      </c>
      <c r="R25" s="34"/>
    </row>
    <row r="26" spans="1:19" x14ac:dyDescent="0.4">
      <c r="A26" s="33"/>
      <c r="B26" s="33"/>
      <c r="C26" s="33"/>
      <c r="D26" s="33"/>
      <c r="E26" s="33" t="s">
        <v>80</v>
      </c>
      <c r="F26" s="33"/>
      <c r="G26" s="33"/>
      <c r="H26" s="42"/>
      <c r="I26" s="34">
        <v>0</v>
      </c>
      <c r="J26" s="42"/>
      <c r="K26" s="34">
        <v>0</v>
      </c>
      <c r="L26" s="42"/>
      <c r="M26" s="34">
        <v>22894.74</v>
      </c>
      <c r="O26" s="34">
        <v>18975.43</v>
      </c>
      <c r="Q26" s="34">
        <v>25788.03</v>
      </c>
      <c r="R26" s="34"/>
    </row>
    <row r="27" spans="1:19" ht="15" thickBot="1" x14ac:dyDescent="0.45">
      <c r="A27" s="33"/>
      <c r="B27" s="33"/>
      <c r="C27" s="33"/>
      <c r="D27" s="33"/>
      <c r="E27" s="33" t="s">
        <v>81</v>
      </c>
      <c r="F27" s="33"/>
      <c r="G27" s="33"/>
      <c r="H27" s="42"/>
      <c r="I27" s="35">
        <f>515747.85+77938.16</f>
        <v>593686.01</v>
      </c>
      <c r="J27" s="42"/>
      <c r="K27" s="35">
        <f>608327.86+94191.02</f>
        <v>702518.88</v>
      </c>
      <c r="L27" s="42"/>
      <c r="M27" s="35">
        <v>0</v>
      </c>
      <c r="O27" s="35"/>
      <c r="Q27" s="35">
        <v>-24837.8</v>
      </c>
      <c r="R27" s="34"/>
    </row>
    <row r="28" spans="1:19" x14ac:dyDescent="0.4">
      <c r="A28" s="33"/>
      <c r="B28" s="33"/>
      <c r="C28" s="33"/>
      <c r="D28" s="33" t="s">
        <v>82</v>
      </c>
      <c r="E28" s="33"/>
      <c r="F28" s="33"/>
      <c r="G28" s="33"/>
      <c r="H28" s="42"/>
      <c r="I28" s="34">
        <f>ROUND(SUM(I20:I27),5)</f>
        <v>593686.01</v>
      </c>
      <c r="J28" s="42"/>
      <c r="K28" s="34">
        <f>ROUND(SUM(K20:K27),5)</f>
        <v>702518.88</v>
      </c>
      <c r="L28" s="42"/>
      <c r="M28" s="34">
        <f>ROUND(SUM(M20:M27),5)</f>
        <v>1771717.15</v>
      </c>
      <c r="O28" s="34">
        <f>ROUND(SUM(O20:O27),5)</f>
        <v>1634954.14</v>
      </c>
      <c r="Q28" s="34">
        <f>ROUND(SUM(Q20:Q27),5)</f>
        <v>1232109.3799999999</v>
      </c>
      <c r="R28" s="34"/>
      <c r="S28" t="s">
        <v>230</v>
      </c>
    </row>
    <row r="29" spans="1:19" x14ac:dyDescent="0.4">
      <c r="A29" s="33"/>
      <c r="B29" s="33"/>
      <c r="C29" s="33"/>
      <c r="D29" s="33" t="s">
        <v>66</v>
      </c>
      <c r="E29" s="33"/>
      <c r="F29" s="33"/>
      <c r="G29" s="33"/>
      <c r="H29" s="42"/>
      <c r="I29" s="34"/>
      <c r="J29" s="42"/>
      <c r="K29" s="34"/>
      <c r="L29" s="42"/>
      <c r="M29" s="34"/>
      <c r="O29" s="34"/>
      <c r="Q29" s="34"/>
      <c r="R29" s="34"/>
    </row>
    <row r="30" spans="1:19" x14ac:dyDescent="0.4">
      <c r="A30" s="33"/>
      <c r="B30" s="33"/>
      <c r="C30" s="33"/>
      <c r="D30" s="33"/>
      <c r="E30" s="33" t="s">
        <v>83</v>
      </c>
      <c r="F30" s="33"/>
      <c r="G30" s="33"/>
      <c r="H30" s="42"/>
      <c r="I30" s="34">
        <v>0</v>
      </c>
      <c r="J30" s="42"/>
      <c r="K30" s="34">
        <v>0</v>
      </c>
      <c r="L30" s="42"/>
      <c r="M30" s="34">
        <f>247383.97+59350.9</f>
        <v>306734.87</v>
      </c>
      <c r="O30" s="34">
        <f>191816.02+47643.28</f>
        <v>239459.3</v>
      </c>
      <c r="Q30" s="34">
        <f>121325.95+26918.87</f>
        <v>148244.82</v>
      </c>
      <c r="R30" s="34"/>
    </row>
    <row r="31" spans="1:19" x14ac:dyDescent="0.4">
      <c r="A31" s="33"/>
      <c r="B31" s="33"/>
      <c r="C31" s="33"/>
      <c r="D31" s="33"/>
      <c r="E31" s="33" t="s">
        <v>84</v>
      </c>
      <c r="F31" s="33"/>
      <c r="G31" s="33"/>
      <c r="H31" s="42"/>
      <c r="I31" s="34">
        <v>0</v>
      </c>
      <c r="J31" s="42"/>
      <c r="K31" s="34">
        <v>0</v>
      </c>
      <c r="L31" s="42"/>
      <c r="M31" s="34">
        <v>211756.55</v>
      </c>
      <c r="O31" s="34">
        <v>158326.53</v>
      </c>
      <c r="Q31" s="34">
        <v>88279.11</v>
      </c>
      <c r="R31" s="34"/>
    </row>
    <row r="32" spans="1:19" x14ac:dyDescent="0.4">
      <c r="A32" s="33"/>
      <c r="B32" s="33"/>
      <c r="C32" s="33"/>
      <c r="D32" s="33"/>
      <c r="E32" s="33" t="s">
        <v>85</v>
      </c>
      <c r="F32" s="33"/>
      <c r="G32" s="33"/>
      <c r="H32" s="42"/>
      <c r="I32" s="34">
        <v>0</v>
      </c>
      <c r="J32" s="42"/>
      <c r="K32" s="34">
        <v>0</v>
      </c>
      <c r="L32" s="42"/>
      <c r="M32" s="34">
        <v>1022.07</v>
      </c>
      <c r="O32" s="34">
        <v>835.14</v>
      </c>
      <c r="Q32" s="34">
        <v>494.48</v>
      </c>
      <c r="R32" s="34"/>
    </row>
    <row r="33" spans="1:19" x14ac:dyDescent="0.4">
      <c r="A33" s="33"/>
      <c r="B33" s="33"/>
      <c r="C33" s="33"/>
      <c r="D33" s="33"/>
      <c r="E33" s="33" t="s">
        <v>86</v>
      </c>
      <c r="F33" s="33"/>
      <c r="G33" s="33"/>
      <c r="H33" s="42"/>
      <c r="I33" s="34">
        <v>0</v>
      </c>
      <c r="J33" s="42"/>
      <c r="K33" s="34">
        <v>0</v>
      </c>
      <c r="L33" s="42"/>
      <c r="M33" s="34">
        <f>115291.12+27577.32</f>
        <v>142868.44</v>
      </c>
      <c r="O33" s="34">
        <f>96512.9+22341.63</f>
        <v>118854.53</v>
      </c>
      <c r="Q33" s="34">
        <f>107725.02+23898.23</f>
        <v>131623.25</v>
      </c>
      <c r="R33" s="34"/>
    </row>
    <row r="34" spans="1:19" x14ac:dyDescent="0.4">
      <c r="A34" s="33"/>
      <c r="B34" s="33"/>
      <c r="C34" s="33"/>
      <c r="D34" s="33"/>
      <c r="E34" s="33" t="s">
        <v>87</v>
      </c>
      <c r="F34" s="33"/>
      <c r="G34" s="33"/>
      <c r="H34" s="42"/>
      <c r="I34" s="34">
        <v>0</v>
      </c>
      <c r="J34" s="42"/>
      <c r="K34" s="34">
        <v>0</v>
      </c>
      <c r="L34" s="42"/>
      <c r="M34" s="34">
        <v>99613.94</v>
      </c>
      <c r="O34" s="34">
        <v>79774.720000000001</v>
      </c>
      <c r="Q34" s="34">
        <v>79900.929999999993</v>
      </c>
      <c r="R34" s="34"/>
    </row>
    <row r="35" spans="1:19" x14ac:dyDescent="0.4">
      <c r="A35" s="33"/>
      <c r="B35" s="33"/>
      <c r="C35" s="33"/>
      <c r="D35" s="33"/>
      <c r="E35" s="33" t="s">
        <v>88</v>
      </c>
      <c r="F35" s="33"/>
      <c r="G35" s="33"/>
      <c r="H35" s="42"/>
      <c r="I35" s="34">
        <v>0</v>
      </c>
      <c r="J35" s="42"/>
      <c r="K35" s="34">
        <v>0</v>
      </c>
      <c r="L35" s="42"/>
      <c r="M35" s="34">
        <v>504.9</v>
      </c>
      <c r="O35" s="34">
        <v>426.6</v>
      </c>
      <c r="Q35" s="34">
        <v>468</v>
      </c>
      <c r="R35" s="34"/>
    </row>
    <row r="36" spans="1:19" ht="15" thickBot="1" x14ac:dyDescent="0.45">
      <c r="A36" s="33"/>
      <c r="B36" s="33"/>
      <c r="C36" s="33"/>
      <c r="D36" s="33"/>
      <c r="E36" s="33" t="s">
        <v>89</v>
      </c>
      <c r="F36" s="33"/>
      <c r="G36" s="33"/>
      <c r="H36" s="42"/>
      <c r="I36" s="35">
        <f>446365.74+511888.34</f>
        <v>958254.08000000007</v>
      </c>
      <c r="J36" s="42"/>
      <c r="K36" s="35">
        <f>558423.69+658799.58</f>
        <v>1217223.27</v>
      </c>
      <c r="L36" s="42"/>
      <c r="M36" s="35">
        <v>0</v>
      </c>
      <c r="O36" s="35"/>
      <c r="Q36" s="35">
        <v>-4899.08</v>
      </c>
      <c r="R36" s="34"/>
    </row>
    <row r="37" spans="1:19" x14ac:dyDescent="0.4">
      <c r="A37" s="33"/>
      <c r="B37" s="33"/>
      <c r="C37" s="33"/>
      <c r="D37" s="33" t="s">
        <v>90</v>
      </c>
      <c r="E37" s="33"/>
      <c r="F37" s="33"/>
      <c r="G37" s="33"/>
      <c r="H37" s="42"/>
      <c r="I37" s="34">
        <f>ROUND(SUM(I29:I36),5)</f>
        <v>958254.07999999996</v>
      </c>
      <c r="J37" s="42"/>
      <c r="K37" s="34">
        <f>ROUND(SUM(K29:K36),5)</f>
        <v>1217223.27</v>
      </c>
      <c r="L37" s="42"/>
      <c r="M37" s="34">
        <f>ROUND(SUM(M29:M36),5)</f>
        <v>762500.77</v>
      </c>
      <c r="O37" s="34">
        <f>ROUND(SUM(O29:O36),5)</f>
        <v>597676.81999999995</v>
      </c>
      <c r="Q37" s="34">
        <f>ROUND(SUM(Q29:Q36),5)</f>
        <v>444111.51</v>
      </c>
      <c r="R37" s="34"/>
      <c r="S37" t="s">
        <v>230</v>
      </c>
    </row>
    <row r="38" spans="1:19" x14ac:dyDescent="0.4">
      <c r="A38" s="33"/>
      <c r="B38" s="33"/>
      <c r="C38" s="33"/>
      <c r="D38" s="33" t="s">
        <v>91</v>
      </c>
      <c r="E38" s="33"/>
      <c r="F38" s="33"/>
      <c r="G38" s="33"/>
      <c r="H38" s="42"/>
      <c r="I38" s="34"/>
      <c r="J38" s="42"/>
      <c r="K38" s="34"/>
      <c r="L38" s="42"/>
      <c r="M38" s="34"/>
      <c r="O38" s="34"/>
      <c r="Q38" s="34">
        <v>325</v>
      </c>
      <c r="R38" s="34"/>
      <c r="S38" t="s">
        <v>92</v>
      </c>
    </row>
    <row r="39" spans="1:19" x14ac:dyDescent="0.4">
      <c r="A39" s="33"/>
      <c r="B39" s="33"/>
      <c r="C39" s="33"/>
      <c r="D39" s="33"/>
      <c r="E39" s="33" t="s">
        <v>93</v>
      </c>
      <c r="F39" s="33"/>
      <c r="G39" s="33"/>
      <c r="H39" s="42"/>
      <c r="I39" s="34">
        <v>0</v>
      </c>
      <c r="J39" s="42"/>
      <c r="K39" s="34">
        <v>0</v>
      </c>
      <c r="L39" s="42"/>
      <c r="M39" s="34">
        <v>184006.14</v>
      </c>
      <c r="O39" s="34">
        <v>154270.19</v>
      </c>
      <c r="Q39" s="34">
        <v>159913</v>
      </c>
      <c r="R39" s="34"/>
    </row>
    <row r="40" spans="1:19" x14ac:dyDescent="0.4">
      <c r="A40" s="33"/>
      <c r="B40" s="33"/>
      <c r="C40" s="33"/>
      <c r="D40" s="33"/>
      <c r="E40" s="33" t="s">
        <v>94</v>
      </c>
      <c r="F40" s="33"/>
      <c r="G40" s="33"/>
      <c r="H40" s="42"/>
      <c r="I40" s="34">
        <v>0</v>
      </c>
      <c r="J40" s="42"/>
      <c r="K40" s="34">
        <v>0</v>
      </c>
      <c r="L40" s="42"/>
      <c r="M40" s="34">
        <v>56899.51</v>
      </c>
      <c r="O40" s="34">
        <v>32496.799999999999</v>
      </c>
      <c r="Q40" s="34">
        <v>45177</v>
      </c>
      <c r="R40" s="34"/>
    </row>
    <row r="41" spans="1:19" ht="15" thickBot="1" x14ac:dyDescent="0.45">
      <c r="A41" s="33"/>
      <c r="B41" s="33"/>
      <c r="C41" s="33"/>
      <c r="D41" s="33"/>
      <c r="E41" s="33" t="s">
        <v>95</v>
      </c>
      <c r="F41" s="33"/>
      <c r="G41" s="33"/>
      <c r="H41" s="42"/>
      <c r="I41" s="35">
        <v>0</v>
      </c>
      <c r="J41" s="42"/>
      <c r="K41" s="35">
        <v>0</v>
      </c>
      <c r="L41" s="42"/>
      <c r="M41" s="35">
        <v>34018.980000000003</v>
      </c>
      <c r="O41" s="35">
        <v>26533.55</v>
      </c>
      <c r="Q41" s="34">
        <v>25057</v>
      </c>
      <c r="R41" s="34"/>
    </row>
    <row r="42" spans="1:19" x14ac:dyDescent="0.4">
      <c r="A42" s="33"/>
      <c r="B42" s="33"/>
      <c r="C42" s="33"/>
      <c r="D42" s="33" t="s">
        <v>96</v>
      </c>
      <c r="E42" s="33"/>
      <c r="F42" s="33"/>
      <c r="G42" s="33"/>
      <c r="H42" s="42"/>
      <c r="I42" s="34">
        <f>ROUND(SUM(I38:I41),5)</f>
        <v>0</v>
      </c>
      <c r="J42" s="42"/>
      <c r="K42" s="34">
        <f>ROUND(SUM(K38:K41),5)</f>
        <v>0</v>
      </c>
      <c r="L42" s="42"/>
      <c r="M42" s="34">
        <f>ROUND(SUM(M38:M41),5)</f>
        <v>274924.63</v>
      </c>
      <c r="O42" s="34">
        <f>ROUND(SUM(O38:O41),5)</f>
        <v>213300.54</v>
      </c>
      <c r="Q42" s="34">
        <f>ROUND(SUM(Q38:Q41),5)</f>
        <v>230472</v>
      </c>
      <c r="R42" s="34"/>
      <c r="S42" t="s">
        <v>230</v>
      </c>
    </row>
    <row r="43" spans="1:19" x14ac:dyDescent="0.4">
      <c r="A43" s="33"/>
      <c r="B43" s="33"/>
      <c r="C43" s="33"/>
      <c r="D43" s="33" t="s">
        <v>231</v>
      </c>
      <c r="E43" s="33"/>
      <c r="F43" s="33"/>
      <c r="G43" s="33"/>
      <c r="H43" s="42"/>
      <c r="I43" s="34">
        <v>0</v>
      </c>
      <c r="J43" s="42"/>
      <c r="K43" s="34">
        <v>0</v>
      </c>
      <c r="L43" s="42"/>
      <c r="M43" s="34"/>
      <c r="O43" s="34"/>
      <c r="Q43" s="34"/>
      <c r="R43" s="34"/>
    </row>
    <row r="44" spans="1:19" x14ac:dyDescent="0.4">
      <c r="A44" s="33"/>
      <c r="B44" s="33"/>
      <c r="C44" s="33"/>
      <c r="D44" s="33" t="s">
        <v>232</v>
      </c>
      <c r="E44" s="33"/>
      <c r="F44" s="33"/>
      <c r="G44" s="33"/>
      <c r="H44" s="42"/>
      <c r="I44" s="34">
        <v>-541.37</v>
      </c>
      <c r="J44" s="42"/>
      <c r="K44" s="34">
        <v>-553.01</v>
      </c>
      <c r="L44" s="42"/>
      <c r="M44" s="34">
        <v>-292.08999999999997</v>
      </c>
      <c r="O44" s="34"/>
      <c r="Q44" s="34">
        <v>-8046.16</v>
      </c>
      <c r="R44" s="34"/>
    </row>
    <row r="45" spans="1:19" x14ac:dyDescent="0.4">
      <c r="A45" s="33"/>
      <c r="B45" s="33"/>
      <c r="C45" s="33"/>
      <c r="D45" s="33" t="s">
        <v>103</v>
      </c>
      <c r="E45" s="33"/>
      <c r="F45" s="33"/>
      <c r="G45" s="33"/>
      <c r="H45" s="42"/>
      <c r="I45" s="34">
        <f>22256.92+8599.13</f>
        <v>30856.049999999996</v>
      </c>
      <c r="J45" s="42"/>
      <c r="K45" s="34">
        <f>36766.69+19062.26</f>
        <v>55828.95</v>
      </c>
      <c r="L45" s="42"/>
      <c r="M45" s="34">
        <f>87898.08+44017.03</f>
        <v>131915.10999999999</v>
      </c>
      <c r="O45" s="34">
        <f>93621.33+47736.07</f>
        <v>141357.4</v>
      </c>
      <c r="Q45" s="34">
        <f>51208.67+22075.36</f>
        <v>73284.03</v>
      </c>
      <c r="R45" s="34"/>
      <c r="S45" t="s">
        <v>233</v>
      </c>
    </row>
    <row r="46" spans="1:19" x14ac:dyDescent="0.4">
      <c r="A46" s="33"/>
      <c r="B46" s="33"/>
      <c r="C46" s="33"/>
      <c r="D46" s="33" t="s">
        <v>104</v>
      </c>
      <c r="E46" s="33"/>
      <c r="F46" s="33"/>
      <c r="G46" s="33"/>
      <c r="H46" s="42"/>
      <c r="I46" s="34"/>
      <c r="J46" s="42"/>
      <c r="K46" s="34"/>
      <c r="L46" s="42"/>
      <c r="M46" s="34"/>
      <c r="O46" s="34"/>
      <c r="Q46" s="34"/>
      <c r="R46" s="34"/>
    </row>
    <row r="47" spans="1:19" x14ac:dyDescent="0.4">
      <c r="A47" s="33"/>
      <c r="B47" s="33"/>
      <c r="C47" s="33"/>
      <c r="D47" s="33"/>
      <c r="E47" s="33" t="s">
        <v>105</v>
      </c>
      <c r="F47" s="33"/>
      <c r="G47" s="33"/>
      <c r="H47" s="42"/>
      <c r="I47" s="34">
        <f>4446+480</f>
        <v>4926</v>
      </c>
      <c r="J47" s="42"/>
      <c r="K47" s="34">
        <f>11595+962</f>
        <v>12557</v>
      </c>
      <c r="L47" s="42"/>
      <c r="M47" s="34">
        <f>12417+1632</f>
        <v>14049</v>
      </c>
      <c r="O47" s="34">
        <f>12701+768</f>
        <v>13469</v>
      </c>
      <c r="Q47" s="34">
        <f>10902+1536</f>
        <v>12438</v>
      </c>
      <c r="R47" s="34"/>
    </row>
    <row r="48" spans="1:19" x14ac:dyDescent="0.4">
      <c r="A48" s="33"/>
      <c r="B48" s="33"/>
      <c r="C48" s="33"/>
      <c r="D48" s="33"/>
      <c r="E48" s="33" t="s">
        <v>106</v>
      </c>
      <c r="F48" s="33"/>
      <c r="G48" s="33"/>
      <c r="H48" s="42"/>
      <c r="I48" s="34">
        <f>3570+1010</f>
        <v>4580</v>
      </c>
      <c r="J48" s="42"/>
      <c r="K48" s="34">
        <f>3900+240</f>
        <v>4140</v>
      </c>
      <c r="L48" s="42"/>
      <c r="M48" s="34">
        <f>4170+390</f>
        <v>4560</v>
      </c>
      <c r="O48" s="34">
        <f>3690+480</f>
        <v>4170</v>
      </c>
      <c r="Q48" s="34">
        <f>2520+630</f>
        <v>3150</v>
      </c>
      <c r="R48" s="34"/>
    </row>
    <row r="49" spans="1:19" x14ac:dyDescent="0.4">
      <c r="A49" s="33"/>
      <c r="B49" s="33"/>
      <c r="C49" s="33"/>
      <c r="D49" s="33"/>
      <c r="E49" s="33" t="s">
        <v>107</v>
      </c>
      <c r="F49" s="33"/>
      <c r="G49" s="33"/>
      <c r="H49" s="42"/>
      <c r="I49" s="34">
        <v>100</v>
      </c>
      <c r="J49" s="42"/>
      <c r="K49" s="34">
        <v>0</v>
      </c>
      <c r="L49" s="42"/>
      <c r="M49" s="34"/>
      <c r="O49" s="34"/>
      <c r="Q49" s="34"/>
      <c r="R49" s="34"/>
    </row>
    <row r="50" spans="1:19" x14ac:dyDescent="0.4">
      <c r="A50" s="33"/>
      <c r="B50" s="33"/>
      <c r="C50" s="33"/>
      <c r="D50" s="33"/>
      <c r="E50" s="33" t="s">
        <v>108</v>
      </c>
      <c r="F50" s="33"/>
      <c r="G50" s="33"/>
      <c r="H50" s="42"/>
      <c r="I50" s="34">
        <v>443</v>
      </c>
      <c r="J50" s="42"/>
      <c r="K50" s="34">
        <v>100</v>
      </c>
      <c r="L50" s="42"/>
      <c r="M50" s="34">
        <v>730.68</v>
      </c>
      <c r="O50" s="34"/>
      <c r="Q50" s="34"/>
      <c r="R50" s="34"/>
    </row>
    <row r="51" spans="1:19" x14ac:dyDescent="0.4">
      <c r="A51" s="33"/>
      <c r="B51" s="33"/>
      <c r="C51" s="33"/>
      <c r="D51" s="33"/>
      <c r="E51" s="33" t="s">
        <v>109</v>
      </c>
      <c r="F51" s="33"/>
      <c r="G51" s="33"/>
      <c r="H51" s="42"/>
      <c r="I51" s="34">
        <f>7450+1100</f>
        <v>8550</v>
      </c>
      <c r="J51" s="42"/>
      <c r="K51" s="34">
        <f>16809+2450</f>
        <v>19259</v>
      </c>
      <c r="L51" s="42"/>
      <c r="M51" s="34">
        <f>19354+2600</f>
        <v>21954</v>
      </c>
      <c r="O51" s="34">
        <f>19950+2050</f>
        <v>22000</v>
      </c>
      <c r="Q51" s="34">
        <f>15800+2300</f>
        <v>18100</v>
      </c>
      <c r="R51" s="34"/>
    </row>
    <row r="52" spans="1:19" x14ac:dyDescent="0.4">
      <c r="A52" s="33"/>
      <c r="B52" s="33"/>
      <c r="C52" s="33"/>
      <c r="D52" s="33"/>
      <c r="E52" s="33" t="s">
        <v>110</v>
      </c>
      <c r="F52" s="33"/>
      <c r="G52" s="33"/>
      <c r="H52" s="42"/>
      <c r="I52" s="34">
        <v>1485</v>
      </c>
      <c r="J52" s="42"/>
      <c r="K52" s="34">
        <v>1218</v>
      </c>
      <c r="L52" s="42"/>
      <c r="M52" s="34">
        <v>1560</v>
      </c>
      <c r="O52" s="34">
        <v>1125</v>
      </c>
      <c r="Q52" s="34">
        <f>969+300</f>
        <v>1269</v>
      </c>
      <c r="R52" s="34"/>
    </row>
    <row r="53" spans="1:19" x14ac:dyDescent="0.4">
      <c r="A53" s="33"/>
      <c r="B53" s="33"/>
      <c r="C53" s="33"/>
      <c r="D53" s="33"/>
      <c r="E53" s="33" t="s">
        <v>111</v>
      </c>
      <c r="F53" s="33"/>
      <c r="G53" s="33"/>
      <c r="H53" s="42"/>
      <c r="I53" s="34">
        <f>660+180</f>
        <v>840</v>
      </c>
      <c r="J53" s="42"/>
      <c r="K53" s="34">
        <f>1090+240</f>
        <v>1330</v>
      </c>
      <c r="L53" s="42"/>
      <c r="M53" s="34">
        <f>1950+150</f>
        <v>2100</v>
      </c>
      <c r="O53" s="34">
        <f>1380+720</f>
        <v>2100</v>
      </c>
      <c r="Q53" s="34">
        <f>1470+270</f>
        <v>1740</v>
      </c>
      <c r="R53" s="34"/>
    </row>
    <row r="54" spans="1:19" ht="15" thickBot="1" x14ac:dyDescent="0.45">
      <c r="A54" s="33"/>
      <c r="B54" s="33"/>
      <c r="C54" s="33"/>
      <c r="D54" s="33"/>
      <c r="E54" s="33" t="s">
        <v>112</v>
      </c>
      <c r="F54" s="33"/>
      <c r="G54" s="33"/>
      <c r="H54" s="42"/>
      <c r="I54" s="35">
        <v>6975</v>
      </c>
      <c r="J54" s="42"/>
      <c r="K54" s="35">
        <v>9250</v>
      </c>
      <c r="L54" s="42"/>
      <c r="M54" s="35">
        <v>9025</v>
      </c>
      <c r="O54" s="35">
        <v>7800</v>
      </c>
      <c r="Q54" s="35">
        <v>5700</v>
      </c>
      <c r="R54" s="34"/>
    </row>
    <row r="55" spans="1:19" x14ac:dyDescent="0.4">
      <c r="A55" s="33"/>
      <c r="B55" s="33"/>
      <c r="C55" s="33"/>
      <c r="D55" s="33" t="s">
        <v>113</v>
      </c>
      <c r="E55" s="33"/>
      <c r="F55" s="33"/>
      <c r="G55" s="33"/>
      <c r="H55" s="42"/>
      <c r="I55" s="34">
        <f>ROUND(SUM(I46:I54),5)</f>
        <v>27899</v>
      </c>
      <c r="J55" s="42"/>
      <c r="K55" s="34">
        <f>ROUND(SUM(K46:K54),5)</f>
        <v>47854</v>
      </c>
      <c r="L55" s="42"/>
      <c r="M55" s="34">
        <f>ROUND(SUM(M46:M54),5)</f>
        <v>53978.68</v>
      </c>
      <c r="O55" s="34">
        <f>ROUND(SUM(O46:O54),5)</f>
        <v>50664</v>
      </c>
      <c r="Q55" s="34">
        <f>ROUND(SUM(Q46:Q54),5)</f>
        <v>42397</v>
      </c>
      <c r="R55" s="34"/>
      <c r="S55" t="s">
        <v>234</v>
      </c>
    </row>
    <row r="56" spans="1:19" x14ac:dyDescent="0.4">
      <c r="A56" s="33"/>
      <c r="B56" s="33"/>
      <c r="C56" s="33"/>
      <c r="D56" s="33" t="s">
        <v>235</v>
      </c>
      <c r="E56" s="33"/>
      <c r="F56" s="33"/>
      <c r="G56" s="33"/>
      <c r="H56" s="42"/>
      <c r="I56" s="34">
        <f>420.07+95.13</f>
        <v>515.20000000000005</v>
      </c>
      <c r="J56" s="42"/>
      <c r="K56" s="34">
        <f>441.87+117.66</f>
        <v>559.53</v>
      </c>
      <c r="L56" s="42"/>
      <c r="M56" s="34">
        <f>460.91+144.02</f>
        <v>604.93000000000006</v>
      </c>
      <c r="O56" s="34">
        <f>450.99+138.22</f>
        <v>589.21</v>
      </c>
      <c r="Q56" s="34">
        <f>467.63+99.22</f>
        <v>566.85</v>
      </c>
      <c r="R56" s="34"/>
      <c r="S56" t="s">
        <v>236</v>
      </c>
    </row>
    <row r="57" spans="1:19" x14ac:dyDescent="0.4">
      <c r="A57" s="33"/>
      <c r="B57" s="33"/>
      <c r="C57" s="33"/>
      <c r="D57" s="33" t="s">
        <v>237</v>
      </c>
      <c r="E57" s="33"/>
      <c r="F57" s="33"/>
      <c r="G57" s="33"/>
      <c r="H57" s="42"/>
      <c r="I57" s="34">
        <v>16827.78</v>
      </c>
      <c r="J57" s="42"/>
      <c r="K57" s="34">
        <v>33594.39</v>
      </c>
      <c r="L57" s="42"/>
      <c r="M57" s="34">
        <f>25148.36+50</f>
        <v>25198.36</v>
      </c>
      <c r="O57" s="34">
        <v>11243.94</v>
      </c>
      <c r="Q57" s="34">
        <f>10421.99-1-5</f>
        <v>10415.99</v>
      </c>
      <c r="R57" s="34"/>
      <c r="S57" t="s">
        <v>236</v>
      </c>
    </row>
    <row r="58" spans="1:19" x14ac:dyDescent="0.4">
      <c r="A58" s="33"/>
      <c r="B58" s="33"/>
      <c r="C58" s="33"/>
      <c r="D58" s="33" t="s">
        <v>238</v>
      </c>
      <c r="E58" s="33"/>
      <c r="F58" s="33"/>
      <c r="G58" s="33"/>
      <c r="H58" s="42"/>
      <c r="I58" s="34">
        <f>696465.97+73983+1800</f>
        <v>772248.97</v>
      </c>
      <c r="J58" s="42"/>
      <c r="K58" s="34">
        <f>686084.91+73684+1800</f>
        <v>761568.91</v>
      </c>
      <c r="L58" s="42"/>
      <c r="M58" s="34">
        <f>673603.2+74646+1800</f>
        <v>750049.2</v>
      </c>
      <c r="O58" s="34">
        <f>666616.07+74451+1800</f>
        <v>742867.07</v>
      </c>
      <c r="Q58" s="34">
        <f>660177+75828+1800</f>
        <v>737805</v>
      </c>
      <c r="R58" s="34"/>
      <c r="S58" t="s">
        <v>236</v>
      </c>
    </row>
    <row r="59" spans="1:19" ht="15" thickBot="1" x14ac:dyDescent="0.45">
      <c r="A59" s="33"/>
      <c r="B59" s="33"/>
      <c r="C59" s="33"/>
      <c r="D59" s="33" t="s">
        <v>239</v>
      </c>
      <c r="E59" s="33"/>
      <c r="F59" s="33"/>
      <c r="G59" s="33"/>
      <c r="H59" s="42"/>
      <c r="I59" s="35">
        <v>261368.24</v>
      </c>
      <c r="J59" s="42"/>
      <c r="K59" s="35">
        <v>3776.8</v>
      </c>
      <c r="L59" s="42"/>
      <c r="M59" s="35">
        <v>0</v>
      </c>
      <c r="O59" s="35"/>
      <c r="Q59" s="35"/>
      <c r="R59" s="34"/>
    </row>
    <row r="60" spans="1:19" x14ac:dyDescent="0.4">
      <c r="A60" s="33"/>
      <c r="B60" s="33"/>
      <c r="C60" s="33" t="s">
        <v>240</v>
      </c>
      <c r="D60" s="33"/>
      <c r="E60" s="33"/>
      <c r="F60" s="33"/>
      <c r="G60" s="33"/>
      <c r="H60" s="42"/>
      <c r="I60" s="34">
        <f>ROUND(I3+SUM(I7:I10)+I19+I28+I37+SUM(I42:I45)+SUM(I55:I59),5)</f>
        <v>4428905.87</v>
      </c>
      <c r="J60" s="42"/>
      <c r="K60" s="34">
        <f>ROUND(K3+SUM(K7:K10)+K19+K28+K37+SUM(K42:K45)+SUM(K55:K59),5)</f>
        <v>4995043.37</v>
      </c>
      <c r="L60" s="42"/>
      <c r="M60" s="34">
        <f>ROUND(M3+SUM(M7:M9)+M19+M28+M37+SUM(M42:M45)+SUM(M55:M59),5)</f>
        <v>6403903.6399999997</v>
      </c>
      <c r="O60" s="34">
        <f>ROUND(O3+SUM(O7:O9)+O19+O28+O37+SUM(O42:O45)+SUM(O55:O59),5)</f>
        <v>5412936.0099999998</v>
      </c>
      <c r="Q60" s="34">
        <f>ROUND(Q3+SUM(Q7:Q9)+Q19+Q28+Q37+SUM(Q42:Q45)+SUM(Q55:Q59),5)</f>
        <v>4179296.37</v>
      </c>
      <c r="R60" s="34"/>
    </row>
    <row r="61" spans="1:19" x14ac:dyDescent="0.4">
      <c r="A61" s="33"/>
      <c r="B61" s="33"/>
      <c r="C61" s="33" t="s">
        <v>241</v>
      </c>
      <c r="D61" s="33"/>
      <c r="E61" s="33"/>
      <c r="F61" s="33"/>
      <c r="G61" s="33"/>
      <c r="H61" s="42"/>
      <c r="I61" s="34"/>
      <c r="J61" s="42"/>
      <c r="K61" s="34"/>
      <c r="L61" s="42"/>
      <c r="M61" s="34"/>
      <c r="O61" s="34"/>
      <c r="Q61" s="34"/>
      <c r="R61" s="34"/>
    </row>
    <row r="62" spans="1:19" x14ac:dyDescent="0.4">
      <c r="A62" s="33"/>
      <c r="B62" s="33"/>
      <c r="C62" s="33"/>
      <c r="D62" s="33" t="s">
        <v>242</v>
      </c>
      <c r="E62" s="33"/>
      <c r="F62" s="33"/>
      <c r="G62" s="33"/>
      <c r="H62" s="42"/>
      <c r="I62" s="34"/>
      <c r="J62" s="42"/>
      <c r="K62" s="34"/>
      <c r="L62" s="42"/>
      <c r="M62" s="34"/>
      <c r="O62" s="34"/>
      <c r="Q62" s="34"/>
      <c r="R62" s="34"/>
    </row>
    <row r="63" spans="1:19" x14ac:dyDescent="0.4">
      <c r="A63" s="33"/>
      <c r="B63" s="33"/>
      <c r="C63" s="33"/>
      <c r="D63" s="33"/>
      <c r="E63" s="33" t="s">
        <v>243</v>
      </c>
      <c r="F63" s="33"/>
      <c r="G63" s="33"/>
      <c r="H63" s="42"/>
      <c r="I63" s="34"/>
      <c r="J63" s="42"/>
      <c r="K63" s="34"/>
      <c r="L63" s="42"/>
      <c r="M63" s="34"/>
      <c r="O63" s="34"/>
      <c r="Q63" s="34"/>
      <c r="R63" s="34"/>
    </row>
    <row r="64" spans="1:19" x14ac:dyDescent="0.4">
      <c r="A64" s="33"/>
      <c r="B64" s="33"/>
      <c r="C64" s="33"/>
      <c r="D64" s="33"/>
      <c r="E64" s="33"/>
      <c r="F64" s="33" t="s">
        <v>244</v>
      </c>
      <c r="G64" s="33"/>
      <c r="H64" s="42"/>
      <c r="I64" s="34">
        <v>167719.64000000001</v>
      </c>
      <c r="J64" s="42"/>
      <c r="K64" s="34">
        <v>244848.77</v>
      </c>
      <c r="L64" s="42"/>
      <c r="M64" s="34">
        <v>351925.34</v>
      </c>
      <c r="O64" s="34">
        <v>160920.01999999999</v>
      </c>
      <c r="Q64" s="34">
        <v>155033.43</v>
      </c>
      <c r="R64" s="34"/>
    </row>
    <row r="65" spans="1:18" x14ac:dyDescent="0.4">
      <c r="A65" s="33"/>
      <c r="B65" s="33"/>
      <c r="C65" s="33"/>
      <c r="D65" s="33"/>
      <c r="E65" s="33"/>
      <c r="F65" s="33" t="s">
        <v>245</v>
      </c>
      <c r="G65" s="33"/>
      <c r="H65" s="42"/>
      <c r="I65" s="34">
        <v>36286.589999999997</v>
      </c>
      <c r="J65" s="42"/>
      <c r="K65" s="34">
        <v>47418.75</v>
      </c>
      <c r="L65" s="42"/>
      <c r="M65" s="34">
        <v>45014.14</v>
      </c>
      <c r="O65" s="34">
        <v>42495.85</v>
      </c>
      <c r="Q65" s="34">
        <v>34858.120000000003</v>
      </c>
      <c r="R65" s="34"/>
    </row>
    <row r="66" spans="1:18" x14ac:dyDescent="0.4">
      <c r="A66" s="33"/>
      <c r="B66" s="33"/>
      <c r="C66" s="33"/>
      <c r="D66" s="33"/>
      <c r="E66" s="33"/>
      <c r="F66" s="33" t="s">
        <v>246</v>
      </c>
      <c r="G66" s="33"/>
      <c r="H66" s="42"/>
      <c r="I66" s="34">
        <v>712364.22</v>
      </c>
      <c r="J66" s="42"/>
      <c r="K66" s="34">
        <v>577755.01</v>
      </c>
      <c r="L66" s="42"/>
      <c r="M66" s="34">
        <v>0</v>
      </c>
      <c r="O66" s="34"/>
      <c r="Q66" s="34"/>
      <c r="R66" s="34"/>
    </row>
    <row r="67" spans="1:18" x14ac:dyDescent="0.4">
      <c r="A67" s="33"/>
      <c r="B67" s="33"/>
      <c r="C67" s="33"/>
      <c r="D67" s="33"/>
      <c r="E67" s="33"/>
      <c r="F67" s="33" t="s">
        <v>247</v>
      </c>
      <c r="G67" s="33"/>
      <c r="H67" s="42"/>
      <c r="I67" s="34">
        <v>31391.46</v>
      </c>
      <c r="J67" s="42"/>
      <c r="K67" s="34">
        <v>0</v>
      </c>
      <c r="L67" s="42"/>
      <c r="M67" s="34"/>
      <c r="O67" s="34"/>
      <c r="Q67" s="34"/>
      <c r="R67" s="34"/>
    </row>
    <row r="68" spans="1:18" x14ac:dyDescent="0.4">
      <c r="A68" s="33"/>
      <c r="B68" s="33"/>
      <c r="C68" s="33"/>
      <c r="D68" s="33"/>
      <c r="E68" s="33"/>
      <c r="F68" s="33" t="s">
        <v>248</v>
      </c>
      <c r="G68" s="33"/>
      <c r="H68" s="42"/>
      <c r="I68" s="34">
        <v>15958.5</v>
      </c>
      <c r="J68" s="42"/>
      <c r="K68" s="34">
        <v>26337.27</v>
      </c>
      <c r="L68" s="42"/>
      <c r="M68" s="34">
        <v>18960.21</v>
      </c>
      <c r="O68" s="34">
        <f>17916.89+367.81</f>
        <v>18284.7</v>
      </c>
      <c r="Q68" s="34">
        <v>15241.53</v>
      </c>
      <c r="R68" s="34"/>
    </row>
    <row r="69" spans="1:18" x14ac:dyDescent="0.4">
      <c r="A69" s="33"/>
      <c r="B69" s="33"/>
      <c r="C69" s="33"/>
      <c r="D69" s="33"/>
      <c r="E69" s="33"/>
      <c r="F69" s="33" t="s">
        <v>249</v>
      </c>
      <c r="G69" s="33"/>
      <c r="H69" s="42"/>
      <c r="I69" s="34">
        <v>714.12</v>
      </c>
      <c r="J69" s="42"/>
      <c r="K69" s="34">
        <v>1769.12</v>
      </c>
      <c r="L69" s="42"/>
      <c r="M69" s="34">
        <v>2605.87</v>
      </c>
      <c r="O69" s="34">
        <v>800.37</v>
      </c>
      <c r="Q69" s="34">
        <v>753.42</v>
      </c>
      <c r="R69" s="34"/>
    </row>
    <row r="70" spans="1:18" x14ac:dyDescent="0.4">
      <c r="A70" s="33"/>
      <c r="B70" s="33"/>
      <c r="C70" s="33"/>
      <c r="D70" s="33"/>
      <c r="E70" s="33"/>
      <c r="F70" s="33" t="s">
        <v>250</v>
      </c>
      <c r="G70" s="33"/>
      <c r="H70" s="42"/>
      <c r="I70" s="34">
        <v>56804.67</v>
      </c>
      <c r="J70" s="42"/>
      <c r="K70" s="34">
        <v>62152.22</v>
      </c>
      <c r="L70" s="42"/>
      <c r="M70" s="34">
        <v>68910.710000000006</v>
      </c>
      <c r="O70" s="34">
        <v>65986</v>
      </c>
      <c r="Q70" s="34">
        <v>68530.03</v>
      </c>
      <c r="R70" s="34"/>
    </row>
    <row r="71" spans="1:18" x14ac:dyDescent="0.4">
      <c r="A71" s="33"/>
      <c r="B71" s="33"/>
      <c r="C71" s="33"/>
      <c r="D71" s="33"/>
      <c r="E71" s="33"/>
      <c r="F71" s="33" t="s">
        <v>251</v>
      </c>
      <c r="G71" s="33"/>
      <c r="H71" s="42"/>
      <c r="I71" s="34">
        <v>313263.56</v>
      </c>
      <c r="J71" s="42"/>
      <c r="K71" s="34">
        <v>532004.63</v>
      </c>
      <c r="L71" s="42"/>
      <c r="M71" s="34">
        <f>743181.58+35416.15</f>
        <v>778597.73</v>
      </c>
      <c r="O71" s="34">
        <f>398582.35+7529.36</f>
        <v>406111.70999999996</v>
      </c>
      <c r="Q71" s="34">
        <f>382378.9+6088.17</f>
        <v>388467.07</v>
      </c>
      <c r="R71" s="34"/>
    </row>
    <row r="72" spans="1:18" x14ac:dyDescent="0.4">
      <c r="A72" s="33"/>
      <c r="B72" s="33"/>
      <c r="C72" s="33"/>
      <c r="D72" s="33"/>
      <c r="E72" s="33"/>
      <c r="F72" s="33" t="s">
        <v>252</v>
      </c>
      <c r="G72" s="33"/>
      <c r="H72" s="42"/>
      <c r="I72" s="34">
        <v>14882.6</v>
      </c>
      <c r="J72" s="42"/>
      <c r="K72" s="34">
        <v>10546.4</v>
      </c>
      <c r="L72" s="42"/>
      <c r="M72" s="34">
        <v>8567.99</v>
      </c>
      <c r="O72" s="34">
        <v>11709.81</v>
      </c>
      <c r="Q72" s="34">
        <v>9211.7999999999993</v>
      </c>
      <c r="R72" s="34"/>
    </row>
    <row r="73" spans="1:18" x14ac:dyDescent="0.4">
      <c r="A73" s="33"/>
      <c r="B73" s="33"/>
      <c r="C73" s="33"/>
      <c r="D73" s="33"/>
      <c r="E73" s="33"/>
      <c r="F73" s="33" t="s">
        <v>253</v>
      </c>
      <c r="G73" s="33"/>
      <c r="H73" s="42"/>
      <c r="I73" s="34">
        <v>16090.43</v>
      </c>
      <c r="J73" s="42"/>
      <c r="K73" s="34">
        <v>11321.86</v>
      </c>
      <c r="L73" s="42"/>
      <c r="M73" s="34">
        <v>8568.07</v>
      </c>
      <c r="O73" s="34">
        <v>11709.88</v>
      </c>
      <c r="Q73" s="34">
        <v>9211.84</v>
      </c>
      <c r="R73" s="34"/>
    </row>
    <row r="74" spans="1:18" x14ac:dyDescent="0.4">
      <c r="A74" s="33"/>
      <c r="B74" s="33"/>
      <c r="C74" s="33"/>
      <c r="D74" s="33"/>
      <c r="E74" s="33"/>
      <c r="F74" s="33" t="s">
        <v>254</v>
      </c>
      <c r="G74" s="33"/>
      <c r="H74" s="42"/>
      <c r="I74" s="34">
        <v>69213.23</v>
      </c>
      <c r="J74" s="42"/>
      <c r="K74" s="34">
        <v>85420.4</v>
      </c>
      <c r="L74" s="42"/>
      <c r="M74" s="34">
        <v>119078.72</v>
      </c>
      <c r="O74" s="34">
        <v>87128.48</v>
      </c>
      <c r="Q74" s="34">
        <v>75142.41</v>
      </c>
      <c r="R74" s="34"/>
    </row>
    <row r="75" spans="1:18" x14ac:dyDescent="0.4">
      <c r="A75" s="33"/>
      <c r="B75" s="33"/>
      <c r="C75" s="33"/>
      <c r="D75" s="33"/>
      <c r="E75" s="33"/>
      <c r="F75" s="33" t="s">
        <v>255</v>
      </c>
      <c r="G75" s="33"/>
      <c r="H75" s="42"/>
      <c r="I75" s="34">
        <v>8220.58</v>
      </c>
      <c r="J75" s="42"/>
      <c r="K75" s="34">
        <v>3181.84</v>
      </c>
      <c r="L75" s="42"/>
      <c r="M75" s="34">
        <f>8313.58+1857.52</f>
        <v>10171.1</v>
      </c>
      <c r="O75" s="34">
        <f>1321.22+3589.18</f>
        <v>4910.3999999999996</v>
      </c>
      <c r="Q75" s="34">
        <f>593.03+5135.77</f>
        <v>5728.8</v>
      </c>
      <c r="R75" s="34"/>
    </row>
    <row r="76" spans="1:18" x14ac:dyDescent="0.4">
      <c r="A76" s="33"/>
      <c r="B76" s="33"/>
      <c r="C76" s="33"/>
      <c r="D76" s="33"/>
      <c r="E76" s="33"/>
      <c r="F76" s="33" t="s">
        <v>256</v>
      </c>
      <c r="G76" s="33"/>
      <c r="H76" s="42"/>
      <c r="I76" s="34">
        <v>2370.79</v>
      </c>
      <c r="J76" s="42"/>
      <c r="K76" s="34">
        <v>31393.200000000001</v>
      </c>
      <c r="L76" s="42"/>
      <c r="M76" s="34">
        <f>48598.52+11818.81+799.23</f>
        <v>61216.56</v>
      </c>
      <c r="O76" s="34">
        <f>23938.41+216.67</f>
        <v>24155.079999999998</v>
      </c>
      <c r="Q76" s="34">
        <f>20624.24+271.89</f>
        <v>20896.13</v>
      </c>
      <c r="R76" s="34"/>
    </row>
    <row r="77" spans="1:18" x14ac:dyDescent="0.4">
      <c r="A77" s="33"/>
      <c r="B77" s="33"/>
      <c r="C77" s="33"/>
      <c r="D77" s="33"/>
      <c r="E77" s="33"/>
      <c r="F77" s="33" t="s">
        <v>257</v>
      </c>
      <c r="G77" s="33"/>
      <c r="H77" s="42"/>
      <c r="I77" s="34">
        <v>0</v>
      </c>
      <c r="J77" s="42"/>
      <c r="K77" s="34">
        <v>659285.03</v>
      </c>
      <c r="L77" s="42"/>
      <c r="M77" s="34">
        <v>1431592.76</v>
      </c>
      <c r="O77" s="34">
        <v>925552.54</v>
      </c>
      <c r="Q77" s="34">
        <v>1058742.96</v>
      </c>
      <c r="R77" s="34"/>
    </row>
    <row r="78" spans="1:18" x14ac:dyDescent="0.4">
      <c r="A78" s="33"/>
      <c r="B78" s="33"/>
      <c r="C78" s="33"/>
      <c r="D78" s="33"/>
      <c r="E78" s="33"/>
      <c r="F78" s="33" t="s">
        <v>258</v>
      </c>
      <c r="G78" s="33"/>
      <c r="H78" s="42"/>
      <c r="I78" s="34">
        <v>0</v>
      </c>
      <c r="J78" s="42"/>
      <c r="K78" s="34">
        <v>742.81</v>
      </c>
      <c r="L78" s="42"/>
      <c r="M78" s="34">
        <v>1528.1</v>
      </c>
      <c r="O78" s="34">
        <v>1307.95</v>
      </c>
      <c r="Q78" s="34">
        <v>1531.32</v>
      </c>
      <c r="R78" s="34"/>
    </row>
    <row r="79" spans="1:18" x14ac:dyDescent="0.4">
      <c r="A79" s="33"/>
      <c r="B79" s="33"/>
      <c r="C79" s="33"/>
      <c r="D79" s="33"/>
      <c r="E79" s="33"/>
      <c r="F79" s="33" t="s">
        <v>259</v>
      </c>
      <c r="G79" s="33"/>
      <c r="H79" s="42"/>
      <c r="I79" s="34">
        <v>31703.3</v>
      </c>
      <c r="J79" s="42"/>
      <c r="K79" s="34">
        <v>37949.69</v>
      </c>
      <c r="L79" s="42"/>
      <c r="M79" s="34">
        <v>36258.449999999997</v>
      </c>
      <c r="O79" s="34">
        <v>31635.49</v>
      </c>
      <c r="Q79" s="34">
        <v>31908.76</v>
      </c>
      <c r="R79" s="34"/>
    </row>
    <row r="80" spans="1:18" x14ac:dyDescent="0.4">
      <c r="A80" s="33"/>
      <c r="B80" s="33"/>
      <c r="C80" s="33"/>
      <c r="D80" s="33"/>
      <c r="E80" s="33"/>
      <c r="F80" s="33" t="s">
        <v>260</v>
      </c>
      <c r="G80" s="33"/>
      <c r="H80" s="42"/>
      <c r="I80" s="34">
        <v>15735.01</v>
      </c>
      <c r="J80" s="42"/>
      <c r="K80" s="34">
        <v>14599.5</v>
      </c>
      <c r="L80" s="42"/>
      <c r="M80" s="34">
        <v>31991.68</v>
      </c>
      <c r="O80" s="34">
        <v>19949.189999999999</v>
      </c>
      <c r="Q80" s="34">
        <v>18847.62</v>
      </c>
      <c r="R80" s="34"/>
    </row>
    <row r="81" spans="1:19" x14ac:dyDescent="0.4">
      <c r="A81" s="33"/>
      <c r="B81" s="33"/>
      <c r="C81" s="33"/>
      <c r="D81" s="33"/>
      <c r="E81" s="33"/>
      <c r="F81" s="33" t="s">
        <v>261</v>
      </c>
      <c r="G81" s="33"/>
      <c r="H81" s="42"/>
      <c r="I81" s="34">
        <v>20428</v>
      </c>
      <c r="J81" s="42"/>
      <c r="K81" s="34">
        <v>5088.2700000000004</v>
      </c>
      <c r="L81" s="42"/>
      <c r="M81" s="34">
        <v>4920.34</v>
      </c>
      <c r="O81" s="34">
        <v>10574.59</v>
      </c>
      <c r="Q81" s="34">
        <v>6661.7</v>
      </c>
      <c r="R81" s="34"/>
    </row>
    <row r="82" spans="1:19" x14ac:dyDescent="0.4">
      <c r="A82" s="33"/>
      <c r="B82" s="33"/>
      <c r="C82" s="33"/>
      <c r="D82" s="33"/>
      <c r="E82" s="33"/>
      <c r="F82" s="33" t="s">
        <v>262</v>
      </c>
      <c r="G82" s="33"/>
      <c r="H82" s="42"/>
      <c r="I82" s="34">
        <v>28207.200000000001</v>
      </c>
      <c r="J82" s="42"/>
      <c r="K82" s="34">
        <v>39459</v>
      </c>
      <c r="L82" s="42"/>
      <c r="M82" s="34">
        <v>33495</v>
      </c>
      <c r="O82" s="34">
        <v>18574.5</v>
      </c>
      <c r="Q82" s="34">
        <v>19435.5</v>
      </c>
      <c r="R82" s="34"/>
    </row>
    <row r="83" spans="1:19" ht="15" thickBot="1" x14ac:dyDescent="0.45">
      <c r="A83" s="33"/>
      <c r="B83" s="33"/>
      <c r="C83" s="33"/>
      <c r="D83" s="33"/>
      <c r="E83" s="33"/>
      <c r="F83" s="33" t="s">
        <v>263</v>
      </c>
      <c r="G83" s="33"/>
      <c r="H83" s="42"/>
      <c r="I83" s="34">
        <v>271148.53000000003</v>
      </c>
      <c r="J83" s="42"/>
      <c r="K83" s="34">
        <f>-17043.28+524866.13</f>
        <v>507822.85</v>
      </c>
      <c r="L83" s="42"/>
      <c r="M83" s="35">
        <f>-3651.6+632282.13</f>
        <v>628630.53</v>
      </c>
      <c r="O83" s="34">
        <v>337286.72</v>
      </c>
      <c r="Q83" s="34">
        <v>313552.94</v>
      </c>
      <c r="R83" s="34"/>
    </row>
    <row r="84" spans="1:19" ht="15" thickBot="1" x14ac:dyDescent="0.45">
      <c r="A84" s="33"/>
      <c r="B84" s="33"/>
      <c r="C84" s="33"/>
      <c r="D84" s="33"/>
      <c r="E84" s="33" t="s">
        <v>264</v>
      </c>
      <c r="F84" s="33"/>
      <c r="G84" s="33"/>
      <c r="H84" s="42"/>
      <c r="I84" s="44">
        <f>ROUND(SUM(I63:I83),5)</f>
        <v>1812502.43</v>
      </c>
      <c r="J84" s="42"/>
      <c r="K84" s="44">
        <f>ROUND(SUM(K63:K83),5)</f>
        <v>2899096.62</v>
      </c>
      <c r="L84" s="42"/>
      <c r="M84" s="34">
        <f>ROUND(SUM(M63:M83),5)</f>
        <v>3642033.3</v>
      </c>
      <c r="O84" s="44">
        <f>ROUND(SUM(O63:O83),5)</f>
        <v>2179093.2799999998</v>
      </c>
      <c r="Q84" s="44">
        <f>ROUND(SUM(Q63:Q83),5)</f>
        <v>2233755.38</v>
      </c>
      <c r="R84" s="34"/>
    </row>
    <row r="85" spans="1:19" ht="15" thickBot="1" x14ac:dyDescent="0.45">
      <c r="A85" s="33"/>
      <c r="B85" s="33"/>
      <c r="C85" s="33"/>
      <c r="D85" s="33"/>
      <c r="E85" s="33"/>
      <c r="F85" s="33"/>
      <c r="G85" s="33"/>
      <c r="H85" s="42"/>
      <c r="I85" s="44"/>
      <c r="J85" s="42"/>
      <c r="K85" s="44"/>
      <c r="L85" s="42"/>
      <c r="M85" s="34">
        <v>277.98</v>
      </c>
      <c r="O85" s="44"/>
      <c r="Q85" s="44"/>
      <c r="R85" s="34"/>
    </row>
    <row r="86" spans="1:19" ht="15" thickBot="1" x14ac:dyDescent="0.45">
      <c r="A86" s="33"/>
      <c r="B86" s="33"/>
      <c r="C86" s="33"/>
      <c r="D86" s="33" t="s">
        <v>265</v>
      </c>
      <c r="E86" s="33"/>
      <c r="F86" s="33"/>
      <c r="G86" s="33"/>
      <c r="H86" s="42"/>
      <c r="I86" s="44">
        <f>ROUND(I62+I84,5)</f>
        <v>1812502.43</v>
      </c>
      <c r="J86" s="42"/>
      <c r="K86" s="44">
        <f>ROUND(K62+K84,5)</f>
        <v>2899096.62</v>
      </c>
      <c r="L86" s="42"/>
      <c r="M86" s="44">
        <f>ROUND(M62+SUM(M84:M85),5)</f>
        <v>3642311.28</v>
      </c>
      <c r="O86" s="44">
        <f>ROUND(O62+O84,5)</f>
        <v>2179093.2799999998</v>
      </c>
      <c r="Q86" s="44">
        <f>ROUND(Q62+Q84,5)</f>
        <v>2233755.38</v>
      </c>
      <c r="R86" s="34"/>
      <c r="S86" t="s">
        <v>266</v>
      </c>
    </row>
    <row r="87" spans="1:19" ht="15" thickBot="1" x14ac:dyDescent="0.45">
      <c r="A87" s="33"/>
      <c r="B87" s="33"/>
      <c r="C87" s="33" t="s">
        <v>267</v>
      </c>
      <c r="D87" s="33"/>
      <c r="E87" s="33"/>
      <c r="F87" s="33"/>
      <c r="G87" s="33"/>
      <c r="H87" s="42"/>
      <c r="I87" s="53">
        <f>ROUND(I61+I86,5)</f>
        <v>1812502.43</v>
      </c>
      <c r="J87" s="42"/>
      <c r="K87" s="53">
        <f>ROUND(K61+K86,5)</f>
        <v>2899096.62</v>
      </c>
      <c r="L87" s="42"/>
      <c r="M87" s="53">
        <f>ROUND(M61+M86,5)</f>
        <v>3642311.28</v>
      </c>
      <c r="O87" s="53">
        <f>ROUND(O61+O86,5)</f>
        <v>2179093.2799999998</v>
      </c>
      <c r="Q87" s="53">
        <f>ROUND(Q61+Q86,5)</f>
        <v>2233755.38</v>
      </c>
      <c r="R87" s="34"/>
    </row>
    <row r="88" spans="1:19" x14ac:dyDescent="0.4">
      <c r="A88" s="33"/>
      <c r="B88" s="33" t="s">
        <v>268</v>
      </c>
      <c r="C88" s="33"/>
      <c r="D88" s="33"/>
      <c r="E88" s="33"/>
      <c r="F88" s="33"/>
      <c r="G88" s="33"/>
      <c r="H88" s="42"/>
      <c r="I88" s="34">
        <f>ROUND(I60-I87,5)</f>
        <v>2616403.44</v>
      </c>
      <c r="J88" s="42"/>
      <c r="K88" s="34">
        <f>ROUND(K60-K87,5)</f>
        <v>2095946.75</v>
      </c>
      <c r="L88" s="42"/>
      <c r="M88" s="34">
        <f>ROUND(M60-M87,5)</f>
        <v>2761592.36</v>
      </c>
      <c r="O88" s="34">
        <f>ROUND(O60-O87,5)</f>
        <v>3233842.73</v>
      </c>
      <c r="Q88" s="34">
        <f>ROUND(Q60-Q87,5)</f>
        <v>1945540.99</v>
      </c>
      <c r="R88" s="34"/>
    </row>
    <row r="89" spans="1:19" x14ac:dyDescent="0.4">
      <c r="A89" s="33"/>
      <c r="B89" s="33"/>
      <c r="C89" s="33" t="s">
        <v>269</v>
      </c>
      <c r="D89" s="33"/>
      <c r="E89" s="33"/>
      <c r="F89" s="33"/>
      <c r="G89" s="33"/>
      <c r="H89" s="42"/>
      <c r="I89" s="34"/>
      <c r="J89" s="42"/>
      <c r="K89" s="34"/>
      <c r="L89" s="42"/>
      <c r="M89" s="34"/>
      <c r="O89" s="34"/>
      <c r="Q89" s="34"/>
      <c r="R89" s="34"/>
    </row>
    <row r="90" spans="1:19" x14ac:dyDescent="0.4">
      <c r="A90" s="33"/>
      <c r="B90" s="33"/>
      <c r="C90" s="33"/>
      <c r="D90" s="33" t="s">
        <v>270</v>
      </c>
      <c r="E90" s="33"/>
      <c r="F90" s="33"/>
      <c r="G90" s="33"/>
      <c r="H90" s="42"/>
      <c r="I90" s="34"/>
      <c r="J90" s="42"/>
      <c r="K90" s="34"/>
      <c r="L90" s="42"/>
      <c r="M90" s="34"/>
      <c r="O90" s="34"/>
      <c r="Q90" s="34"/>
      <c r="R90" s="34"/>
    </row>
    <row r="91" spans="1:19" x14ac:dyDescent="0.4">
      <c r="A91" s="33"/>
      <c r="B91" s="33"/>
      <c r="C91" s="33"/>
      <c r="D91" s="33"/>
      <c r="E91" s="33" t="s">
        <v>271</v>
      </c>
      <c r="F91" s="33"/>
      <c r="G91" s="33"/>
      <c r="H91" s="42"/>
      <c r="I91" s="34"/>
      <c r="J91" s="42"/>
      <c r="K91" s="34"/>
      <c r="L91" s="42"/>
      <c r="M91" s="34"/>
      <c r="O91" s="34"/>
      <c r="Q91" s="34"/>
      <c r="R91" s="34"/>
    </row>
    <row r="92" spans="1:19" x14ac:dyDescent="0.4">
      <c r="A92" s="33"/>
      <c r="B92" s="33"/>
      <c r="C92" s="33"/>
      <c r="D92" s="33"/>
      <c r="E92" s="33"/>
      <c r="F92" s="33" t="s">
        <v>272</v>
      </c>
      <c r="G92" s="33"/>
      <c r="H92" s="42"/>
      <c r="I92" s="34">
        <v>0</v>
      </c>
      <c r="J92" s="42"/>
      <c r="K92" s="34">
        <v>0</v>
      </c>
      <c r="L92" s="42"/>
      <c r="M92" s="34">
        <v>66.5</v>
      </c>
      <c r="O92" s="34">
        <v>69.040000000000006</v>
      </c>
      <c r="Q92" s="34">
        <v>1651.97</v>
      </c>
      <c r="R92" s="34"/>
    </row>
    <row r="93" spans="1:19" ht="15" thickBot="1" x14ac:dyDescent="0.45">
      <c r="A93" s="33"/>
      <c r="B93" s="33"/>
      <c r="C93" s="33"/>
      <c r="D93" s="33"/>
      <c r="E93" s="33"/>
      <c r="F93" s="33" t="s">
        <v>273</v>
      </c>
      <c r="G93" s="33"/>
      <c r="H93" s="42"/>
      <c r="I93" s="35">
        <v>0</v>
      </c>
      <c r="J93" s="42"/>
      <c r="K93" s="35">
        <v>0</v>
      </c>
      <c r="L93" s="42"/>
      <c r="M93" s="35">
        <v>0.23</v>
      </c>
      <c r="O93" s="35">
        <v>0.76</v>
      </c>
      <c r="Q93" s="35">
        <v>1643.23</v>
      </c>
      <c r="R93" s="34"/>
    </row>
    <row r="94" spans="1:19" x14ac:dyDescent="0.4">
      <c r="A94" s="33"/>
      <c r="B94" s="33"/>
      <c r="C94" s="33"/>
      <c r="D94" s="33"/>
      <c r="E94" s="33" t="s">
        <v>274</v>
      </c>
      <c r="F94" s="33"/>
      <c r="G94" s="33"/>
      <c r="H94" s="42"/>
      <c r="I94" s="34">
        <f>ROUND(SUM(I91:I93),5)</f>
        <v>0</v>
      </c>
      <c r="J94" s="42"/>
      <c r="K94" s="34">
        <f>ROUND(SUM(K91:K93),5)</f>
        <v>0</v>
      </c>
      <c r="L94" s="42"/>
      <c r="M94" s="34">
        <f>ROUND(SUM(M91:M93),5)</f>
        <v>66.73</v>
      </c>
      <c r="O94" s="34">
        <f>ROUND(SUM(O91:O93),5)</f>
        <v>69.8</v>
      </c>
      <c r="Q94" s="34">
        <f>ROUND(SUM(Q91:Q93),5)</f>
        <v>3295.2</v>
      </c>
      <c r="R94" s="34"/>
    </row>
    <row r="95" spans="1:19" x14ac:dyDescent="0.4">
      <c r="A95" s="33"/>
      <c r="B95" s="33"/>
      <c r="C95" s="33"/>
      <c r="D95" s="33"/>
      <c r="E95" s="33" t="s">
        <v>275</v>
      </c>
      <c r="F95" s="33"/>
      <c r="G95" s="33"/>
      <c r="H95" s="42"/>
      <c r="I95" s="34">
        <v>75453.69</v>
      </c>
      <c r="J95" s="42"/>
      <c r="K95" s="34">
        <v>62088.91</v>
      </c>
      <c r="L95" s="42"/>
      <c r="M95" s="34">
        <v>77252.86</v>
      </c>
      <c r="O95" s="34">
        <v>101563.37</v>
      </c>
      <c r="Q95" s="34">
        <v>1555.61</v>
      </c>
      <c r="R95" s="34"/>
    </row>
    <row r="96" spans="1:19" x14ac:dyDescent="0.4">
      <c r="A96" s="33"/>
      <c r="B96" s="33"/>
      <c r="C96" s="33"/>
      <c r="D96" s="33"/>
      <c r="E96" s="33" t="s">
        <v>276</v>
      </c>
      <c r="F96" s="33"/>
      <c r="G96" s="33"/>
      <c r="H96" s="42"/>
      <c r="I96" s="34">
        <f>7328.46+1933.69</f>
        <v>9262.15</v>
      </c>
      <c r="J96" s="42"/>
      <c r="K96" s="34">
        <f>6601.23+1679.28</f>
        <v>8280.51</v>
      </c>
      <c r="L96" s="42"/>
      <c r="M96" s="34">
        <f>5747.31+1599.63</f>
        <v>7346.9400000000005</v>
      </c>
      <c r="O96" s="34">
        <f>6369.63+1904.09</f>
        <v>8273.7199999999993</v>
      </c>
      <c r="Q96" s="34">
        <f>6291.7+4512.4</f>
        <v>10804.099999999999</v>
      </c>
      <c r="R96" s="34"/>
    </row>
    <row r="97" spans="1:19" x14ac:dyDescent="0.4">
      <c r="A97" s="33"/>
      <c r="B97" s="33"/>
      <c r="C97" s="33"/>
      <c r="D97" s="33"/>
      <c r="E97" s="33" t="s">
        <v>277</v>
      </c>
      <c r="F97" s="33"/>
      <c r="G97" s="33"/>
      <c r="H97" s="42"/>
      <c r="I97" s="34">
        <f>15000+1800</f>
        <v>16800</v>
      </c>
      <c r="J97" s="42"/>
      <c r="K97" s="34">
        <f>20050.79+2632.22</f>
        <v>22683.010000000002</v>
      </c>
      <c r="L97" s="42"/>
      <c r="M97" s="34">
        <f>16241.56+2347.02</f>
        <v>18588.579999999998</v>
      </c>
      <c r="O97" s="34">
        <f>17000+2500</f>
        <v>19500</v>
      </c>
      <c r="Q97" s="34">
        <f>18376.26+2061.23</f>
        <v>20437.489999999998</v>
      </c>
      <c r="R97" s="34"/>
    </row>
    <row r="98" spans="1:19" x14ac:dyDescent="0.4">
      <c r="A98" s="33"/>
      <c r="B98" s="33"/>
      <c r="C98" s="33"/>
      <c r="D98" s="33"/>
      <c r="E98" s="33" t="s">
        <v>278</v>
      </c>
      <c r="F98" s="33"/>
      <c r="G98" s="33"/>
      <c r="H98" s="42"/>
      <c r="I98" s="34">
        <v>0</v>
      </c>
      <c r="J98" s="42"/>
      <c r="K98" s="34">
        <v>200</v>
      </c>
      <c r="L98" s="42"/>
      <c r="M98" s="34">
        <v>100</v>
      </c>
      <c r="O98" s="34"/>
      <c r="Q98" s="34">
        <v>100</v>
      </c>
      <c r="R98" s="34"/>
    </row>
    <row r="99" spans="1:19" x14ac:dyDescent="0.4">
      <c r="A99" s="33"/>
      <c r="B99" s="33"/>
      <c r="C99" s="33"/>
      <c r="D99" s="33"/>
      <c r="E99" s="33" t="s">
        <v>279</v>
      </c>
      <c r="F99" s="33"/>
      <c r="G99" s="33"/>
      <c r="H99" s="42"/>
      <c r="I99" s="34">
        <v>0</v>
      </c>
      <c r="J99" s="42"/>
      <c r="K99" s="34">
        <v>25</v>
      </c>
      <c r="L99" s="42"/>
      <c r="M99" s="34">
        <v>0</v>
      </c>
      <c r="O99" s="34">
        <v>15</v>
      </c>
      <c r="Q99" s="34">
        <v>15</v>
      </c>
      <c r="R99" s="34"/>
    </row>
    <row r="100" spans="1:19" x14ac:dyDescent="0.4">
      <c r="A100" s="33"/>
      <c r="B100" s="33"/>
      <c r="C100" s="33"/>
      <c r="D100" s="33"/>
      <c r="E100" s="33" t="s">
        <v>280</v>
      </c>
      <c r="F100" s="33"/>
      <c r="G100" s="33"/>
      <c r="H100" s="42"/>
      <c r="I100" s="34">
        <v>796.91</v>
      </c>
      <c r="J100" s="42"/>
      <c r="K100" s="34">
        <v>383.2</v>
      </c>
      <c r="L100" s="42"/>
      <c r="M100" s="34">
        <v>0</v>
      </c>
      <c r="O100" s="34">
        <v>231.51</v>
      </c>
      <c r="Q100" s="34">
        <v>858.5</v>
      </c>
      <c r="R100" s="34"/>
    </row>
    <row r="101" spans="1:19" ht="15" thickBot="1" x14ac:dyDescent="0.45">
      <c r="A101" s="33"/>
      <c r="B101" s="33"/>
      <c r="C101" s="33"/>
      <c r="D101" s="33"/>
      <c r="E101" s="33" t="s">
        <v>281</v>
      </c>
      <c r="F101" s="33"/>
      <c r="G101" s="33"/>
      <c r="H101" s="42"/>
      <c r="I101" s="35">
        <f>292+6421.79</f>
        <v>6713.79</v>
      </c>
      <c r="J101" s="42"/>
      <c r="K101" s="35">
        <v>8011.17</v>
      </c>
      <c r="L101" s="42"/>
      <c r="M101" s="35">
        <v>7669.3</v>
      </c>
      <c r="O101" s="35">
        <v>10396.129999999999</v>
      </c>
      <c r="P101" t="s">
        <v>282</v>
      </c>
      <c r="Q101" s="35">
        <f>73.43+7764.53</f>
        <v>7837.96</v>
      </c>
      <c r="R101" s="34"/>
    </row>
    <row r="102" spans="1:19" x14ac:dyDescent="0.4">
      <c r="A102" s="33"/>
      <c r="B102" s="33"/>
      <c r="C102" s="33"/>
      <c r="D102" s="33" t="s">
        <v>283</v>
      </c>
      <c r="E102" s="33"/>
      <c r="F102" s="33"/>
      <c r="G102" s="33"/>
      <c r="H102" s="42"/>
      <c r="I102" s="34">
        <f>ROUND(I90+SUM(I94:I101),5)</f>
        <v>109026.54</v>
      </c>
      <c r="J102" s="42"/>
      <c r="K102" s="34">
        <f>ROUND(K90+SUM(K94:K101),5)</f>
        <v>101671.8</v>
      </c>
      <c r="L102" s="42"/>
      <c r="M102" s="34">
        <f>ROUND(M90+SUM(M94:M101),5)</f>
        <v>111024.41</v>
      </c>
      <c r="O102" s="34">
        <f>ROUND(O90+SUM(O94:O101),5)</f>
        <v>140049.53</v>
      </c>
      <c r="Q102" s="34">
        <f>ROUND(Q90+SUM(Q94:Q101),5)</f>
        <v>44903.86</v>
      </c>
      <c r="R102" s="34"/>
      <c r="S102" t="s">
        <v>284</v>
      </c>
    </row>
    <row r="103" spans="1:19" x14ac:dyDescent="0.4">
      <c r="A103" s="33"/>
      <c r="B103" s="33"/>
      <c r="C103" s="33"/>
      <c r="D103" s="33" t="s">
        <v>285</v>
      </c>
      <c r="E103" s="33"/>
      <c r="F103" s="33"/>
      <c r="G103" s="33"/>
      <c r="H103" s="42"/>
      <c r="I103" s="34"/>
      <c r="J103" s="42"/>
      <c r="K103" s="34"/>
      <c r="L103" s="42"/>
      <c r="M103" s="34"/>
      <c r="O103" s="34"/>
      <c r="Q103" s="34"/>
      <c r="R103" s="34"/>
    </row>
    <row r="104" spans="1:19" x14ac:dyDescent="0.4">
      <c r="A104" s="33"/>
      <c r="B104" s="33"/>
      <c r="C104" s="33"/>
      <c r="D104" s="33"/>
      <c r="E104" s="33" t="s">
        <v>286</v>
      </c>
      <c r="F104" s="33"/>
      <c r="G104" s="33"/>
      <c r="H104" s="42"/>
      <c r="I104" s="34">
        <v>175</v>
      </c>
      <c r="J104" s="42"/>
      <c r="K104" s="34">
        <v>175</v>
      </c>
      <c r="L104" s="42"/>
      <c r="M104" s="34">
        <v>11631</v>
      </c>
      <c r="O104" s="34">
        <f>23739+175</f>
        <v>23914</v>
      </c>
      <c r="Q104" s="34">
        <f>446+6024</f>
        <v>6470</v>
      </c>
      <c r="R104" s="34"/>
    </row>
    <row r="105" spans="1:19" x14ac:dyDescent="0.4">
      <c r="A105" s="33"/>
      <c r="B105" s="33"/>
      <c r="C105" s="33"/>
      <c r="D105" s="33"/>
      <c r="E105" s="33" t="s">
        <v>287</v>
      </c>
      <c r="F105" s="33"/>
      <c r="G105" s="33"/>
      <c r="H105" s="42"/>
      <c r="I105" s="34">
        <v>1998</v>
      </c>
      <c r="J105" s="42"/>
      <c r="K105" s="34">
        <v>2142</v>
      </c>
      <c r="L105" s="42"/>
      <c r="M105" s="34">
        <v>0</v>
      </c>
      <c r="O105" s="34">
        <v>0</v>
      </c>
      <c r="Q105" s="34">
        <v>0</v>
      </c>
      <c r="R105" s="34"/>
    </row>
    <row r="106" spans="1:19" x14ac:dyDescent="0.4">
      <c r="A106" s="33"/>
      <c r="B106" s="33"/>
      <c r="C106" s="33"/>
      <c r="D106" s="33"/>
      <c r="E106" s="33" t="s">
        <v>288</v>
      </c>
      <c r="F106" s="33"/>
      <c r="G106" s="33"/>
      <c r="H106" s="42"/>
      <c r="I106" s="34">
        <v>0</v>
      </c>
      <c r="J106" s="42"/>
      <c r="K106" s="34">
        <v>0</v>
      </c>
      <c r="L106" s="42"/>
      <c r="M106" s="34">
        <f>1050+1645</f>
        <v>2695</v>
      </c>
      <c r="O106" s="34">
        <v>1795.45</v>
      </c>
      <c r="Q106" s="34"/>
      <c r="R106" s="34"/>
    </row>
    <row r="107" spans="1:19" ht="15" thickBot="1" x14ac:dyDescent="0.45">
      <c r="A107" s="33"/>
      <c r="B107" s="33"/>
      <c r="C107" s="33"/>
      <c r="D107" s="33"/>
      <c r="E107" s="33" t="s">
        <v>289</v>
      </c>
      <c r="F107" s="33"/>
      <c r="G107" s="33"/>
      <c r="H107" s="42"/>
      <c r="I107" s="35">
        <f>175+5834</f>
        <v>6009</v>
      </c>
      <c r="J107" s="42"/>
      <c r="K107" s="35">
        <f>175+7741</f>
        <v>7916</v>
      </c>
      <c r="L107" s="42"/>
      <c r="M107" s="35">
        <f>175+175+39715</f>
        <v>40065</v>
      </c>
      <c r="O107" s="35">
        <f>175+94839</f>
        <v>95014</v>
      </c>
      <c r="Q107" s="35">
        <f>175+24028</f>
        <v>24203</v>
      </c>
      <c r="R107" s="34"/>
    </row>
    <row r="108" spans="1:19" x14ac:dyDescent="0.4">
      <c r="A108" s="33"/>
      <c r="B108" s="33"/>
      <c r="C108" s="33"/>
      <c r="D108" s="33" t="s">
        <v>290</v>
      </c>
      <c r="E108" s="33"/>
      <c r="F108" s="33"/>
      <c r="G108" s="33"/>
      <c r="H108" s="42"/>
      <c r="I108" s="34">
        <f>ROUND(SUM(I103:I107),5)</f>
        <v>8182</v>
      </c>
      <c r="J108" s="42"/>
      <c r="K108" s="34">
        <f>ROUND(SUM(K103:K107),5)</f>
        <v>10233</v>
      </c>
      <c r="L108" s="42"/>
      <c r="M108" s="34">
        <f>ROUND(SUM(M103:M107),5)</f>
        <v>54391</v>
      </c>
      <c r="O108" s="34">
        <f>ROUND(SUM(O103:O107),5)</f>
        <v>120723.45</v>
      </c>
      <c r="Q108" s="34">
        <f>ROUND(SUM(Q103:Q107),5)</f>
        <v>30673</v>
      </c>
      <c r="R108" s="34"/>
      <c r="S108" t="s">
        <v>291</v>
      </c>
    </row>
    <row r="109" spans="1:19" x14ac:dyDescent="0.4">
      <c r="A109" s="33"/>
      <c r="B109" s="33"/>
      <c r="C109" s="33"/>
      <c r="D109" s="33" t="s">
        <v>292</v>
      </c>
      <c r="E109" s="33"/>
      <c r="F109" s="33"/>
      <c r="G109" s="33"/>
      <c r="H109" s="42"/>
      <c r="I109" s="34">
        <v>0</v>
      </c>
      <c r="J109" s="42"/>
      <c r="K109" s="34">
        <v>0</v>
      </c>
      <c r="L109" s="42"/>
      <c r="M109" s="34"/>
      <c r="O109" s="34"/>
      <c r="Q109" s="34"/>
      <c r="R109" s="34"/>
    </row>
    <row r="110" spans="1:19" x14ac:dyDescent="0.4">
      <c r="A110" s="33"/>
      <c r="B110" s="33"/>
      <c r="C110" s="33"/>
      <c r="D110" s="33" t="s">
        <v>116</v>
      </c>
      <c r="E110" s="33"/>
      <c r="F110" s="33"/>
      <c r="G110" s="33"/>
      <c r="H110" s="42"/>
      <c r="I110" s="34"/>
      <c r="J110" s="42"/>
      <c r="K110" s="34"/>
      <c r="L110" s="42"/>
      <c r="M110" s="34"/>
      <c r="O110" s="34"/>
      <c r="Q110" s="34"/>
      <c r="R110" s="34"/>
    </row>
    <row r="111" spans="1:19" x14ac:dyDescent="0.4">
      <c r="A111" s="33"/>
      <c r="B111" s="33"/>
      <c r="C111" s="33"/>
      <c r="D111" s="33"/>
      <c r="E111" s="33" t="s">
        <v>117</v>
      </c>
      <c r="F111" s="33"/>
      <c r="G111" s="33"/>
      <c r="H111" s="42"/>
      <c r="I111" s="34">
        <v>0</v>
      </c>
      <c r="J111" s="42"/>
      <c r="K111" s="34">
        <v>0</v>
      </c>
      <c r="L111" s="42"/>
      <c r="M111" s="34"/>
      <c r="O111" s="34"/>
      <c r="Q111" s="34"/>
      <c r="R111" s="34"/>
    </row>
    <row r="112" spans="1:19" x14ac:dyDescent="0.4">
      <c r="A112" s="33"/>
      <c r="B112" s="33"/>
      <c r="C112" s="33"/>
      <c r="D112" s="33"/>
      <c r="E112" s="33" t="s">
        <v>118</v>
      </c>
      <c r="F112" s="33"/>
      <c r="G112" s="33"/>
      <c r="H112" s="42"/>
      <c r="I112" s="34">
        <v>0</v>
      </c>
      <c r="J112" s="42"/>
      <c r="K112" s="34">
        <v>0</v>
      </c>
      <c r="L112" s="42"/>
      <c r="M112" s="34"/>
      <c r="O112" s="34"/>
      <c r="Q112" s="34"/>
      <c r="R112" s="34"/>
    </row>
    <row r="113" spans="1:18" x14ac:dyDescent="0.4">
      <c r="A113" s="33"/>
      <c r="B113" s="33"/>
      <c r="C113" s="33"/>
      <c r="D113" s="33"/>
      <c r="E113" s="33" t="s">
        <v>119</v>
      </c>
      <c r="F113" s="33"/>
      <c r="G113" s="33"/>
      <c r="H113" s="42"/>
      <c r="I113" s="34">
        <v>0</v>
      </c>
      <c r="J113" s="42"/>
      <c r="K113" s="34">
        <v>0</v>
      </c>
      <c r="L113" s="42"/>
      <c r="M113" s="34"/>
      <c r="O113" s="34"/>
      <c r="Q113" s="34"/>
      <c r="R113" s="34"/>
    </row>
    <row r="114" spans="1:18" x14ac:dyDescent="0.4">
      <c r="A114" s="33"/>
      <c r="B114" s="33"/>
      <c r="C114" s="33"/>
      <c r="D114" s="33"/>
      <c r="E114" s="33" t="s">
        <v>120</v>
      </c>
      <c r="F114" s="33"/>
      <c r="G114" s="33"/>
      <c r="H114" s="42"/>
      <c r="I114" s="34">
        <v>60790.400000000001</v>
      </c>
      <c r="J114" s="42"/>
      <c r="K114" s="34">
        <v>38814.36</v>
      </c>
      <c r="L114" s="42"/>
      <c r="M114" s="34">
        <v>56123.41</v>
      </c>
      <c r="O114" s="34">
        <v>99996.58</v>
      </c>
      <c r="Q114" s="34">
        <v>79936.12</v>
      </c>
      <c r="R114" s="34"/>
    </row>
    <row r="115" spans="1:18" x14ac:dyDescent="0.4">
      <c r="A115" s="33"/>
      <c r="B115" s="33"/>
      <c r="C115" s="33"/>
      <c r="D115" s="33"/>
      <c r="E115" s="33" t="s">
        <v>121</v>
      </c>
      <c r="F115" s="33"/>
      <c r="G115" s="33"/>
      <c r="H115" s="42"/>
      <c r="I115" s="34">
        <v>6.41</v>
      </c>
      <c r="J115" s="42"/>
      <c r="K115" s="34">
        <v>0.95</v>
      </c>
      <c r="L115" s="42"/>
      <c r="M115" s="34">
        <v>0</v>
      </c>
      <c r="O115" s="34"/>
      <c r="Q115" s="34"/>
      <c r="R115" s="34"/>
    </row>
    <row r="116" spans="1:18" x14ac:dyDescent="0.4">
      <c r="A116" s="33"/>
      <c r="B116" s="33"/>
      <c r="C116" s="33"/>
      <c r="D116" s="33"/>
      <c r="E116" s="33" t="s">
        <v>122</v>
      </c>
      <c r="F116" s="33"/>
      <c r="G116" s="33"/>
      <c r="H116" s="42"/>
      <c r="I116" s="34">
        <v>158.71</v>
      </c>
      <c r="J116" s="42"/>
      <c r="K116" s="34">
        <v>62.02</v>
      </c>
      <c r="L116" s="42"/>
      <c r="M116" s="34">
        <v>0</v>
      </c>
      <c r="O116" s="34"/>
      <c r="Q116" s="34"/>
      <c r="R116" s="34"/>
    </row>
    <row r="117" spans="1:18" x14ac:dyDescent="0.4">
      <c r="A117" s="33"/>
      <c r="B117" s="33"/>
      <c r="C117" s="33"/>
      <c r="D117" s="33"/>
      <c r="E117" s="33" t="s">
        <v>123</v>
      </c>
      <c r="F117" s="33"/>
      <c r="G117" s="33"/>
      <c r="H117" s="42"/>
      <c r="I117" s="34">
        <v>859.1</v>
      </c>
      <c r="J117" s="42"/>
      <c r="K117" s="34">
        <v>584.28</v>
      </c>
      <c r="L117" s="42"/>
      <c r="M117" s="34">
        <v>339.08</v>
      </c>
      <c r="O117" s="34">
        <v>40.340000000000003</v>
      </c>
      <c r="Q117" s="34"/>
      <c r="R117" s="34"/>
    </row>
    <row r="118" spans="1:18" x14ac:dyDescent="0.4">
      <c r="A118" s="33"/>
      <c r="B118" s="33"/>
      <c r="C118" s="33"/>
      <c r="D118" s="33"/>
      <c r="E118" s="33" t="s">
        <v>124</v>
      </c>
      <c r="F118" s="33"/>
      <c r="G118" s="33"/>
      <c r="H118" s="42"/>
      <c r="I118" s="34">
        <v>442.93</v>
      </c>
      <c r="J118" s="42"/>
      <c r="K118" s="34">
        <v>153.24</v>
      </c>
      <c r="L118" s="42"/>
      <c r="M118" s="34">
        <v>112.32</v>
      </c>
      <c r="O118" s="34">
        <v>749.9</v>
      </c>
      <c r="Q118" s="34">
        <v>18.059999999999999</v>
      </c>
      <c r="R118" s="34"/>
    </row>
    <row r="119" spans="1:18" x14ac:dyDescent="0.4">
      <c r="A119" s="33"/>
      <c r="B119" s="33"/>
      <c r="C119" s="33"/>
      <c r="D119" s="33"/>
      <c r="E119" s="33" t="s">
        <v>125</v>
      </c>
      <c r="F119" s="33"/>
      <c r="G119" s="33"/>
      <c r="H119" s="42"/>
      <c r="I119" s="34">
        <v>248.91</v>
      </c>
      <c r="J119" s="42"/>
      <c r="K119" s="34">
        <v>203.73</v>
      </c>
      <c r="L119" s="42"/>
      <c r="M119" s="34">
        <v>129.61000000000001</v>
      </c>
      <c r="O119" s="34">
        <v>686.37</v>
      </c>
      <c r="Q119" s="34"/>
      <c r="R119" s="34"/>
    </row>
    <row r="120" spans="1:18" x14ac:dyDescent="0.4">
      <c r="A120" s="33"/>
      <c r="B120" s="33"/>
      <c r="C120" s="33"/>
      <c r="D120" s="33"/>
      <c r="E120" s="33" t="s">
        <v>126</v>
      </c>
      <c r="F120" s="33"/>
      <c r="G120" s="33"/>
      <c r="H120" s="42"/>
      <c r="I120" s="34">
        <v>0</v>
      </c>
      <c r="J120" s="42"/>
      <c r="K120" s="34">
        <v>642.55999999999995</v>
      </c>
      <c r="L120" s="42"/>
      <c r="M120" s="34">
        <v>615.04</v>
      </c>
      <c r="O120" s="34">
        <v>0</v>
      </c>
      <c r="Q120" s="34">
        <v>1201.74</v>
      </c>
      <c r="R120" s="34"/>
    </row>
    <row r="121" spans="1:18" x14ac:dyDescent="0.4">
      <c r="A121" s="33"/>
      <c r="B121" s="33"/>
      <c r="C121" s="33"/>
      <c r="D121" s="33"/>
      <c r="E121" s="33" t="s">
        <v>127</v>
      </c>
      <c r="F121" s="33"/>
      <c r="G121" s="33"/>
      <c r="H121" s="42"/>
      <c r="I121" s="34">
        <v>1696.73</v>
      </c>
      <c r="J121" s="42"/>
      <c r="K121" s="34">
        <v>1176.8900000000001</v>
      </c>
      <c r="L121" s="42"/>
      <c r="M121" s="34">
        <v>871.07</v>
      </c>
      <c r="O121" s="34">
        <v>550.89</v>
      </c>
      <c r="Q121" s="34">
        <v>202.18</v>
      </c>
      <c r="R121" s="34"/>
    </row>
    <row r="122" spans="1:18" x14ac:dyDescent="0.4">
      <c r="A122" s="33"/>
      <c r="B122" s="33"/>
      <c r="C122" s="33"/>
      <c r="D122" s="33"/>
      <c r="E122" s="33" t="s">
        <v>128</v>
      </c>
      <c r="F122" s="33"/>
      <c r="G122" s="33"/>
      <c r="H122" s="42"/>
      <c r="I122" s="34">
        <v>1698.27</v>
      </c>
      <c r="J122" s="42"/>
      <c r="K122" s="34">
        <v>1178.18</v>
      </c>
      <c r="L122" s="42"/>
      <c r="M122" s="34">
        <v>872.03</v>
      </c>
      <c r="O122" s="34">
        <v>494.4</v>
      </c>
      <c r="Q122" s="34">
        <v>-430.72</v>
      </c>
      <c r="R122" s="34"/>
    </row>
    <row r="123" spans="1:18" x14ac:dyDescent="0.4">
      <c r="A123" s="33"/>
      <c r="B123" s="33"/>
      <c r="C123" s="33"/>
      <c r="D123" s="33"/>
      <c r="E123" s="33" t="s">
        <v>129</v>
      </c>
      <c r="F123" s="33"/>
      <c r="G123" s="33"/>
      <c r="H123" s="42"/>
      <c r="I123" s="34">
        <v>1786.28</v>
      </c>
      <c r="J123" s="42"/>
      <c r="K123" s="34">
        <v>1569.3</v>
      </c>
      <c r="L123" s="42"/>
      <c r="M123" s="34">
        <v>956.81</v>
      </c>
      <c r="O123" s="34">
        <v>359.11</v>
      </c>
      <c r="Q123" s="34">
        <v>2.2400000000000002</v>
      </c>
      <c r="R123" s="34"/>
    </row>
    <row r="124" spans="1:18" x14ac:dyDescent="0.4">
      <c r="A124" s="33"/>
      <c r="B124" s="33"/>
      <c r="C124" s="33"/>
      <c r="D124" s="33"/>
      <c r="E124" s="33" t="s">
        <v>130</v>
      </c>
      <c r="F124" s="33"/>
      <c r="G124" s="33"/>
      <c r="H124" s="42"/>
      <c r="I124" s="34">
        <v>368.57</v>
      </c>
      <c r="J124" s="42"/>
      <c r="K124" s="34">
        <v>1140.8800000000001</v>
      </c>
      <c r="L124" s="42"/>
      <c r="M124" s="34">
        <v>870.43</v>
      </c>
      <c r="O124" s="34">
        <v>588.07000000000005</v>
      </c>
      <c r="Q124" s="34">
        <v>273.29000000000002</v>
      </c>
      <c r="R124" s="34"/>
    </row>
    <row r="125" spans="1:18" x14ac:dyDescent="0.4">
      <c r="A125" s="33"/>
      <c r="B125" s="33"/>
      <c r="C125" s="33"/>
      <c r="D125" s="33"/>
      <c r="E125" s="33" t="s">
        <v>131</v>
      </c>
      <c r="F125" s="33"/>
      <c r="G125" s="33"/>
      <c r="H125" s="42"/>
      <c r="I125" s="34">
        <v>0</v>
      </c>
      <c r="J125" s="42"/>
      <c r="K125" s="34">
        <v>1372.19</v>
      </c>
      <c r="L125" s="42"/>
      <c r="M125" s="34">
        <v>1098.74</v>
      </c>
      <c r="O125" s="34">
        <v>751.47</v>
      </c>
      <c r="Q125" s="34">
        <v>456.33</v>
      </c>
      <c r="R125" s="34"/>
    </row>
    <row r="126" spans="1:18" x14ac:dyDescent="0.4">
      <c r="A126" s="33"/>
      <c r="B126" s="33"/>
      <c r="C126" s="33"/>
      <c r="D126" s="33"/>
      <c r="E126" s="33" t="s">
        <v>132</v>
      </c>
      <c r="F126" s="33"/>
      <c r="G126" s="33"/>
      <c r="H126" s="42"/>
      <c r="I126" s="34">
        <v>0</v>
      </c>
      <c r="J126" s="42"/>
      <c r="K126" s="34">
        <v>1042.3900000000001</v>
      </c>
      <c r="L126" s="42"/>
      <c r="M126" s="34">
        <v>1140.6300000000001</v>
      </c>
      <c r="O126" s="34">
        <v>798.23</v>
      </c>
      <c r="Q126" s="34">
        <v>539.74</v>
      </c>
      <c r="R126" s="34"/>
    </row>
    <row r="127" spans="1:18" x14ac:dyDescent="0.4">
      <c r="A127" s="33"/>
      <c r="B127" s="33"/>
      <c r="C127" s="33"/>
      <c r="D127" s="33"/>
      <c r="E127" s="33" t="s">
        <v>133</v>
      </c>
      <c r="F127" s="33"/>
      <c r="G127" s="33"/>
      <c r="H127" s="42"/>
      <c r="I127" s="34">
        <v>0</v>
      </c>
      <c r="J127" s="42"/>
      <c r="K127" s="34">
        <v>0</v>
      </c>
      <c r="L127" s="42"/>
      <c r="M127" s="34">
        <v>1182.8900000000001</v>
      </c>
      <c r="O127" s="34">
        <v>823.14</v>
      </c>
      <c r="Q127" s="34">
        <v>526.30999999999995</v>
      </c>
      <c r="R127" s="34"/>
    </row>
    <row r="128" spans="1:18" x14ac:dyDescent="0.4">
      <c r="A128" s="33"/>
      <c r="B128" s="33"/>
      <c r="C128" s="33"/>
      <c r="D128" s="33"/>
      <c r="E128" s="33" t="s">
        <v>134</v>
      </c>
      <c r="F128" s="33"/>
      <c r="G128" s="33"/>
      <c r="H128" s="42"/>
      <c r="I128" s="34">
        <v>4596.7</v>
      </c>
      <c r="J128" s="42"/>
      <c r="K128" s="34">
        <v>3696.85</v>
      </c>
      <c r="L128" s="42"/>
      <c r="M128" s="34">
        <v>2835.95</v>
      </c>
      <c r="O128" s="34">
        <v>2503.38</v>
      </c>
      <c r="Q128" s="34">
        <v>1308.78</v>
      </c>
      <c r="R128" s="34"/>
    </row>
    <row r="129" spans="1:19" x14ac:dyDescent="0.4">
      <c r="A129" s="33"/>
      <c r="B129" s="33"/>
      <c r="C129" s="33"/>
      <c r="D129" s="33"/>
      <c r="E129" s="33" t="s">
        <v>135</v>
      </c>
      <c r="F129" s="33"/>
      <c r="G129" s="33"/>
      <c r="H129" s="42"/>
      <c r="I129" s="34">
        <v>0</v>
      </c>
      <c r="J129" s="42"/>
      <c r="K129" s="34">
        <v>0</v>
      </c>
      <c r="L129" s="42"/>
      <c r="M129" s="34">
        <v>841.37</v>
      </c>
      <c r="O129" s="34">
        <v>1221.32</v>
      </c>
      <c r="Q129" s="34">
        <v>1023.7</v>
      </c>
      <c r="R129" s="34"/>
    </row>
    <row r="130" spans="1:19" x14ac:dyDescent="0.4">
      <c r="A130" s="33"/>
      <c r="B130" s="33"/>
      <c r="C130" s="33"/>
      <c r="D130" s="33"/>
      <c r="E130" s="33" t="s">
        <v>136</v>
      </c>
      <c r="F130" s="33"/>
      <c r="G130" s="33"/>
      <c r="H130" s="42"/>
      <c r="I130" s="34"/>
      <c r="J130" s="42"/>
      <c r="K130" s="34"/>
      <c r="L130" s="42"/>
      <c r="M130" s="34"/>
      <c r="O130" s="34">
        <v>1923.49</v>
      </c>
      <c r="Q130" s="34">
        <v>2876.79</v>
      </c>
      <c r="R130" s="34"/>
    </row>
    <row r="131" spans="1:19" x14ac:dyDescent="0.4">
      <c r="A131" s="33"/>
      <c r="B131" s="33"/>
      <c r="C131" s="33"/>
      <c r="D131" s="33"/>
      <c r="E131" s="33" t="s">
        <v>137</v>
      </c>
      <c r="F131" s="33"/>
      <c r="G131" s="33"/>
      <c r="H131" s="42"/>
      <c r="I131" s="34">
        <v>7486.28</v>
      </c>
      <c r="J131" s="42"/>
      <c r="K131" s="34">
        <v>6027.3</v>
      </c>
      <c r="L131" s="42"/>
      <c r="M131" s="34">
        <v>6556.95</v>
      </c>
      <c r="O131" s="34">
        <v>8590.43</v>
      </c>
      <c r="Q131" s="34">
        <v>6517.51</v>
      </c>
      <c r="R131" s="34"/>
    </row>
    <row r="132" spans="1:19" x14ac:dyDescent="0.4">
      <c r="A132" s="33"/>
      <c r="B132" s="33"/>
      <c r="C132" s="33"/>
      <c r="D132" s="33"/>
      <c r="E132" s="33" t="s">
        <v>138</v>
      </c>
      <c r="F132" s="33"/>
      <c r="G132" s="33"/>
      <c r="H132" s="42"/>
      <c r="I132" s="34">
        <v>0</v>
      </c>
      <c r="J132" s="42"/>
      <c r="K132" s="34">
        <v>0</v>
      </c>
      <c r="L132" s="42"/>
      <c r="M132" s="34"/>
      <c r="O132" s="34"/>
      <c r="Q132" s="34">
        <v>2340.66</v>
      </c>
      <c r="R132" s="34"/>
    </row>
    <row r="133" spans="1:19" ht="15" thickBot="1" x14ac:dyDescent="0.45">
      <c r="A133" s="33"/>
      <c r="B133" s="33"/>
      <c r="C133" s="33"/>
      <c r="D133" s="33"/>
      <c r="E133" s="33" t="s">
        <v>139</v>
      </c>
      <c r="F133" s="33"/>
      <c r="G133" s="33"/>
      <c r="H133" s="42"/>
      <c r="I133" s="35">
        <v>43880.33</v>
      </c>
      <c r="J133" s="42"/>
      <c r="K133" s="35">
        <f>-575.55+33281.79</f>
        <v>32706.240000000002</v>
      </c>
      <c r="L133" s="42"/>
      <c r="M133" s="35">
        <v>25538.43</v>
      </c>
      <c r="O133" s="35">
        <f>305.66+22533.18</f>
        <v>22838.84</v>
      </c>
      <c r="Q133" s="35">
        <f>725.42+10558.25</f>
        <v>11283.67</v>
      </c>
      <c r="R133" s="34"/>
    </row>
    <row r="134" spans="1:19" x14ac:dyDescent="0.4">
      <c r="A134" s="33"/>
      <c r="B134" s="33"/>
      <c r="C134" s="33"/>
      <c r="D134" s="33" t="s">
        <v>140</v>
      </c>
      <c r="E134" s="33"/>
      <c r="F134" s="33"/>
      <c r="G134" s="33"/>
      <c r="H134" s="42"/>
      <c r="I134" s="34">
        <f>ROUND(SUM(I110:I133),5)</f>
        <v>124019.62</v>
      </c>
      <c r="J134" s="42"/>
      <c r="K134" s="34">
        <f>ROUND(SUM(K110:K133),5)</f>
        <v>90371.36</v>
      </c>
      <c r="L134" s="42"/>
      <c r="M134" s="34">
        <f>ROUND(SUM(M110:M133),5)</f>
        <v>100084.76</v>
      </c>
      <c r="O134" s="34">
        <f>ROUND(SUM(O110:O133),5)</f>
        <v>142915.96</v>
      </c>
      <c r="Q134" s="34">
        <f>ROUND(SUM(Q110:Q133),5)</f>
        <v>108076.4</v>
      </c>
      <c r="R134" s="34"/>
      <c r="S134" t="s">
        <v>141</v>
      </c>
    </row>
    <row r="135" spans="1:19" x14ac:dyDescent="0.4">
      <c r="A135" s="33"/>
      <c r="B135" s="33"/>
      <c r="C135" s="33"/>
      <c r="D135" s="33" t="s">
        <v>142</v>
      </c>
      <c r="E135" s="33"/>
      <c r="F135" s="33"/>
      <c r="G135" s="33"/>
      <c r="H135" s="42"/>
      <c r="I135" s="34"/>
      <c r="J135" s="42"/>
      <c r="K135" s="34"/>
      <c r="L135" s="42"/>
      <c r="M135" s="34"/>
      <c r="O135" s="34">
        <f>334.62+960.38</f>
        <v>1295</v>
      </c>
      <c r="Q135" s="34">
        <f>395.68+10.7</f>
        <v>406.38</v>
      </c>
      <c r="R135" s="34"/>
      <c r="S135" t="s">
        <v>141</v>
      </c>
    </row>
    <row r="136" spans="1:19" x14ac:dyDescent="0.4">
      <c r="A136" s="33"/>
      <c r="B136" s="33"/>
      <c r="C136" s="33"/>
      <c r="D136" s="33" t="s">
        <v>143</v>
      </c>
      <c r="E136" s="33"/>
      <c r="F136" s="33"/>
      <c r="G136" s="33"/>
      <c r="H136" s="42"/>
      <c r="I136" s="34">
        <f>1960.4+39.6</f>
        <v>2000</v>
      </c>
      <c r="J136" s="42"/>
      <c r="K136" s="34">
        <v>1820</v>
      </c>
      <c r="L136" s="42"/>
      <c r="M136" s="34">
        <v>1495</v>
      </c>
      <c r="O136" s="34">
        <v>28451.5</v>
      </c>
      <c r="Q136" s="34">
        <f>53791.3+4.5</f>
        <v>53795.8</v>
      </c>
      <c r="R136" s="34"/>
      <c r="S136" t="s">
        <v>141</v>
      </c>
    </row>
    <row r="137" spans="1:19" x14ac:dyDescent="0.4">
      <c r="A137" s="33"/>
      <c r="B137" s="33"/>
      <c r="C137" s="33"/>
      <c r="D137" s="33" t="s">
        <v>293</v>
      </c>
      <c r="E137" s="33"/>
      <c r="F137" s="33"/>
      <c r="G137" s="33"/>
      <c r="H137" s="42"/>
      <c r="I137" s="34">
        <v>0</v>
      </c>
      <c r="J137" s="42"/>
      <c r="K137" s="34">
        <v>0</v>
      </c>
      <c r="L137" s="42"/>
      <c r="M137" s="34">
        <v>0</v>
      </c>
      <c r="O137" s="34"/>
      <c r="Q137" s="34">
        <v>0</v>
      </c>
      <c r="R137" s="34"/>
    </row>
    <row r="138" spans="1:19" x14ac:dyDescent="0.4">
      <c r="A138" s="33"/>
      <c r="B138" s="33"/>
      <c r="C138" s="33"/>
      <c r="D138" s="33" t="s">
        <v>294</v>
      </c>
      <c r="E138" s="33"/>
      <c r="F138" s="33"/>
      <c r="G138" s="33"/>
      <c r="H138" s="42"/>
      <c r="I138" s="34">
        <v>0</v>
      </c>
      <c r="J138" s="42"/>
      <c r="K138" s="34">
        <v>0</v>
      </c>
      <c r="L138" s="42"/>
      <c r="M138" s="34">
        <v>0</v>
      </c>
      <c r="O138" s="34">
        <v>0</v>
      </c>
      <c r="Q138" s="34">
        <v>0</v>
      </c>
      <c r="R138" s="34"/>
    </row>
    <row r="139" spans="1:19" x14ac:dyDescent="0.4">
      <c r="A139" s="33"/>
      <c r="B139" s="33"/>
      <c r="C139" s="33"/>
      <c r="D139" s="33" t="s">
        <v>295</v>
      </c>
      <c r="E139" s="33"/>
      <c r="F139" s="33"/>
      <c r="G139" s="33"/>
      <c r="H139" s="42"/>
      <c r="I139" s="34">
        <v>0</v>
      </c>
      <c r="J139" s="42"/>
      <c r="K139" s="34">
        <v>0</v>
      </c>
      <c r="L139" s="42"/>
      <c r="M139" s="34">
        <v>0</v>
      </c>
      <c r="O139" s="34"/>
      <c r="Q139" s="34"/>
      <c r="R139" s="34"/>
    </row>
    <row r="140" spans="1:19" x14ac:dyDescent="0.4">
      <c r="A140" s="33"/>
      <c r="B140" s="33"/>
      <c r="C140" s="33"/>
      <c r="D140" s="33" t="s">
        <v>296</v>
      </c>
      <c r="E140" s="33"/>
      <c r="F140" s="33"/>
      <c r="G140" s="33"/>
      <c r="H140" s="42"/>
      <c r="I140" s="34"/>
      <c r="J140" s="42"/>
      <c r="K140" s="34"/>
      <c r="L140" s="42"/>
      <c r="M140" s="34"/>
      <c r="O140" s="34"/>
      <c r="Q140" s="34"/>
      <c r="R140" s="34"/>
    </row>
    <row r="141" spans="1:19" x14ac:dyDescent="0.4">
      <c r="A141" s="33"/>
      <c r="B141" s="33"/>
      <c r="C141" s="33"/>
      <c r="D141" s="33"/>
      <c r="E141" s="33" t="s">
        <v>297</v>
      </c>
      <c r="F141" s="33"/>
      <c r="G141" s="33"/>
      <c r="H141" s="42"/>
      <c r="I141" s="34"/>
      <c r="J141" s="42"/>
      <c r="K141" s="34"/>
      <c r="L141" s="42"/>
      <c r="M141" s="34"/>
      <c r="O141" s="34"/>
      <c r="Q141" s="34"/>
      <c r="R141" s="34"/>
    </row>
    <row r="142" spans="1:19" ht="15" thickBot="1" x14ac:dyDescent="0.45">
      <c r="A142" s="33"/>
      <c r="B142" s="33"/>
      <c r="C142" s="33"/>
      <c r="D142" s="33"/>
      <c r="E142" s="33"/>
      <c r="F142" s="33" t="s">
        <v>298</v>
      </c>
      <c r="G142" s="33"/>
      <c r="H142" s="42"/>
      <c r="I142" s="35">
        <v>0</v>
      </c>
      <c r="J142" s="42"/>
      <c r="K142" s="35">
        <v>0</v>
      </c>
      <c r="L142" s="42"/>
      <c r="M142" s="34"/>
      <c r="O142" s="35"/>
      <c r="Q142" s="35"/>
      <c r="R142" s="34"/>
    </row>
    <row r="143" spans="1:19" x14ac:dyDescent="0.4">
      <c r="A143" s="33"/>
      <c r="B143" s="33"/>
      <c r="C143" s="33"/>
      <c r="D143" s="33"/>
      <c r="E143" s="33" t="s">
        <v>299</v>
      </c>
      <c r="F143" s="33"/>
      <c r="G143" s="33"/>
      <c r="H143" s="42"/>
      <c r="I143" s="34">
        <f>ROUND(SUM(I141:I142),5)</f>
        <v>0</v>
      </c>
      <c r="J143" s="42"/>
      <c r="K143" s="34">
        <f>ROUND(SUM(K141:K142),5)</f>
        <v>0</v>
      </c>
      <c r="L143" s="42"/>
      <c r="M143" s="34"/>
      <c r="O143" s="34">
        <f>ROUND(SUM(O141:O142),5)</f>
        <v>0</v>
      </c>
      <c r="Q143" s="34">
        <f>ROUND(SUM(Q141:Q142),5)</f>
        <v>0</v>
      </c>
      <c r="R143" s="34"/>
    </row>
    <row r="144" spans="1:19" x14ac:dyDescent="0.4">
      <c r="A144" s="33"/>
      <c r="B144" s="33"/>
      <c r="C144" s="33"/>
      <c r="D144" s="33"/>
      <c r="E144" s="33" t="s">
        <v>300</v>
      </c>
      <c r="F144" s="33"/>
      <c r="G144" s="33"/>
      <c r="H144" s="42"/>
      <c r="I144" s="34"/>
      <c r="J144" s="42"/>
      <c r="K144" s="34"/>
      <c r="L144" s="42"/>
      <c r="M144" s="34"/>
      <c r="O144" s="34"/>
      <c r="Q144" s="34"/>
      <c r="R144" s="34"/>
    </row>
    <row r="145" spans="1:19" x14ac:dyDescent="0.4">
      <c r="A145" s="33"/>
      <c r="B145" s="33"/>
      <c r="C145" s="33"/>
      <c r="D145" s="33"/>
      <c r="E145" s="33"/>
      <c r="F145" s="33" t="s">
        <v>301</v>
      </c>
      <c r="G145" s="33"/>
      <c r="H145" s="42"/>
      <c r="I145" s="34">
        <v>0</v>
      </c>
      <c r="J145" s="42"/>
      <c r="K145" s="34">
        <v>0</v>
      </c>
      <c r="L145" s="42"/>
      <c r="M145" s="34"/>
      <c r="O145" s="34"/>
      <c r="Q145" s="34"/>
      <c r="R145" s="34"/>
    </row>
    <row r="146" spans="1:19" ht="15" thickBot="1" x14ac:dyDescent="0.45">
      <c r="A146" s="33"/>
      <c r="B146" s="33"/>
      <c r="C146" s="33"/>
      <c r="D146" s="33"/>
      <c r="E146" s="33"/>
      <c r="F146" s="33" t="s">
        <v>302</v>
      </c>
      <c r="G146" s="33"/>
      <c r="H146" s="42"/>
      <c r="I146" s="34">
        <f>2338.64+844.81</f>
        <v>3183.45</v>
      </c>
      <c r="J146" s="42"/>
      <c r="K146" s="34">
        <f>563.38+550.71</f>
        <v>1114.0900000000001</v>
      </c>
      <c r="L146" s="42"/>
      <c r="M146" s="34">
        <v>707.8</v>
      </c>
      <c r="O146" s="34">
        <f>2135.73-25.79</f>
        <v>2109.94</v>
      </c>
      <c r="Q146" s="34">
        <v>3723.71</v>
      </c>
      <c r="R146" s="34"/>
    </row>
    <row r="147" spans="1:19" ht="15" thickBot="1" x14ac:dyDescent="0.45">
      <c r="A147" s="33"/>
      <c r="B147" s="33"/>
      <c r="C147" s="33"/>
      <c r="D147" s="33"/>
      <c r="E147" s="33" t="s">
        <v>303</v>
      </c>
      <c r="F147" s="33"/>
      <c r="G147" s="33"/>
      <c r="H147" s="42"/>
      <c r="I147" s="53">
        <f>ROUND(SUM(I144:I146),5)</f>
        <v>3183.45</v>
      </c>
      <c r="J147" s="42"/>
      <c r="K147" s="53">
        <f>ROUND(SUM(K144:K146),5)</f>
        <v>1114.0899999999999</v>
      </c>
      <c r="L147" s="42"/>
      <c r="M147" s="53">
        <f>ROUND(SUM(M144:M146),5)</f>
        <v>707.8</v>
      </c>
      <c r="O147" s="53">
        <f>ROUND(SUM(O144:O146),5)</f>
        <v>2109.94</v>
      </c>
      <c r="Q147" s="53">
        <f>ROUND(SUM(Q144:Q146),5)</f>
        <v>3723.71</v>
      </c>
      <c r="R147" s="34"/>
    </row>
    <row r="148" spans="1:19" x14ac:dyDescent="0.4">
      <c r="A148" s="33"/>
      <c r="B148" s="33"/>
      <c r="C148" s="33"/>
      <c r="D148" s="33" t="s">
        <v>304</v>
      </c>
      <c r="E148" s="33"/>
      <c r="F148" s="33"/>
      <c r="G148" s="33"/>
      <c r="H148" s="42"/>
      <c r="I148" s="34">
        <f>ROUND(I140+I143+I147,5)</f>
        <v>3183.45</v>
      </c>
      <c r="J148" s="42"/>
      <c r="K148" s="34">
        <f>ROUND(K140+K143+K147,5)</f>
        <v>1114.0899999999999</v>
      </c>
      <c r="L148" s="42"/>
      <c r="M148" s="34">
        <f>ROUND(M140+M147,5)</f>
        <v>707.8</v>
      </c>
      <c r="O148" s="34">
        <f>ROUND(O140+O147,5)</f>
        <v>2109.94</v>
      </c>
      <c r="Q148" s="34">
        <f>ROUND(Q140+Q147,5)</f>
        <v>3723.71</v>
      </c>
      <c r="R148" s="34"/>
      <c r="S148" t="s">
        <v>305</v>
      </c>
    </row>
    <row r="149" spans="1:19" x14ac:dyDescent="0.4">
      <c r="A149" s="33"/>
      <c r="B149" s="33"/>
      <c r="C149" s="33"/>
      <c r="D149" s="33" t="s">
        <v>306</v>
      </c>
      <c r="E149" s="33"/>
      <c r="F149" s="33"/>
      <c r="G149" s="33"/>
      <c r="H149" s="42"/>
      <c r="I149" s="34"/>
      <c r="J149" s="42"/>
      <c r="K149" s="34"/>
      <c r="L149" s="42"/>
      <c r="M149" s="34"/>
      <c r="O149" s="34"/>
      <c r="Q149" s="34"/>
      <c r="R149" s="34"/>
    </row>
    <row r="150" spans="1:19" x14ac:dyDescent="0.4">
      <c r="A150" s="33"/>
      <c r="B150" s="33"/>
      <c r="C150" s="33"/>
      <c r="D150" s="33"/>
      <c r="E150" s="33" t="s">
        <v>307</v>
      </c>
      <c r="F150" s="33"/>
      <c r="G150" s="33"/>
      <c r="H150" s="42"/>
      <c r="I150" s="34"/>
      <c r="J150" s="42"/>
      <c r="K150" s="34"/>
      <c r="L150" s="42"/>
      <c r="M150" s="34"/>
      <c r="O150" s="34"/>
      <c r="Q150" s="34"/>
      <c r="R150" s="34"/>
    </row>
    <row r="151" spans="1:19" x14ac:dyDescent="0.4">
      <c r="A151" s="33"/>
      <c r="B151" s="33"/>
      <c r="C151" s="33"/>
      <c r="D151" s="33"/>
      <c r="E151" s="33"/>
      <c r="F151" s="33" t="s">
        <v>308</v>
      </c>
      <c r="G151" s="33"/>
      <c r="H151" s="42"/>
      <c r="I151" s="34">
        <f>25232.79+2796.59</f>
        <v>28029.38</v>
      </c>
      <c r="J151" s="42"/>
      <c r="K151" s="34">
        <f>20682.34+2543.34</f>
        <v>23225.68</v>
      </c>
      <c r="L151" s="42"/>
      <c r="M151" s="34">
        <f>21623.84+4349.48</f>
        <v>25973.32</v>
      </c>
      <c r="O151" s="34">
        <f>24647.21+3460.26</f>
        <v>28107.47</v>
      </c>
      <c r="Q151" s="34">
        <f>25946.13+4102.04</f>
        <v>30048.170000000002</v>
      </c>
      <c r="R151" s="34"/>
    </row>
    <row r="152" spans="1:19" x14ac:dyDescent="0.4">
      <c r="A152" s="33"/>
      <c r="B152" s="33"/>
      <c r="C152" s="33"/>
      <c r="D152" s="33"/>
      <c r="E152" s="33"/>
      <c r="F152" s="33" t="s">
        <v>309</v>
      </c>
      <c r="G152" s="33"/>
      <c r="H152" s="42"/>
      <c r="I152" s="34"/>
      <c r="J152" s="42"/>
      <c r="K152" s="34"/>
      <c r="L152" s="42"/>
      <c r="M152" s="34"/>
      <c r="O152" s="34"/>
      <c r="Q152" s="34"/>
      <c r="R152" s="34"/>
    </row>
    <row r="153" spans="1:19" x14ac:dyDescent="0.4">
      <c r="A153" s="33"/>
      <c r="B153" s="33"/>
      <c r="C153" s="33"/>
      <c r="D153" s="33"/>
      <c r="E153" s="33"/>
      <c r="F153" s="33"/>
      <c r="G153" s="33" t="s">
        <v>310</v>
      </c>
      <c r="H153" s="42"/>
      <c r="I153" s="34">
        <f>522.11+51.63</f>
        <v>573.74</v>
      </c>
      <c r="J153" s="42"/>
      <c r="K153" s="34">
        <f>5872.38+580.78</f>
        <v>6453.16</v>
      </c>
      <c r="L153" s="42"/>
      <c r="M153" s="34">
        <f>11845.57+1171.55</f>
        <v>13017.119999999999</v>
      </c>
      <c r="O153" s="34">
        <f>13451.13+1330.32</f>
        <v>14781.449999999999</v>
      </c>
      <c r="Q153" s="34">
        <f>16572.01+1643.51</f>
        <v>18215.519999999997</v>
      </c>
      <c r="R153" s="34"/>
    </row>
    <row r="154" spans="1:19" ht="15" thickBot="1" x14ac:dyDescent="0.45">
      <c r="A154" s="33"/>
      <c r="B154" s="33"/>
      <c r="C154" s="33"/>
      <c r="D154" s="33"/>
      <c r="E154" s="33"/>
      <c r="F154" s="33"/>
      <c r="G154" s="33" t="s">
        <v>311</v>
      </c>
      <c r="H154" s="42"/>
      <c r="I154" s="35">
        <v>0</v>
      </c>
      <c r="J154" s="42"/>
      <c r="K154" s="35">
        <v>0</v>
      </c>
      <c r="L154" s="42"/>
      <c r="M154" s="35"/>
      <c r="O154" s="35"/>
      <c r="Q154" s="35"/>
      <c r="R154" s="34"/>
    </row>
    <row r="155" spans="1:19" x14ac:dyDescent="0.4">
      <c r="A155" s="33"/>
      <c r="B155" s="33"/>
      <c r="C155" s="33"/>
      <c r="D155" s="33"/>
      <c r="E155" s="33"/>
      <c r="F155" s="33" t="s">
        <v>312</v>
      </c>
      <c r="G155" s="33"/>
      <c r="H155" s="42"/>
      <c r="I155" s="34">
        <f>ROUND(SUM(I152:I154),5)</f>
        <v>573.74</v>
      </c>
      <c r="J155" s="42"/>
      <c r="K155" s="34">
        <f>ROUND(SUM(K152:K154),5)</f>
        <v>6453.16</v>
      </c>
      <c r="L155" s="42"/>
      <c r="M155" s="34">
        <f>ROUND(SUM(M152:M154),5)</f>
        <v>13017.12</v>
      </c>
      <c r="O155" s="34">
        <f>ROUND(SUM(O152:O154),5)</f>
        <v>14781.45</v>
      </c>
      <c r="Q155" s="34">
        <f>ROUND(SUM(Q152:Q154),5)</f>
        <v>18215.52</v>
      </c>
      <c r="R155" s="34"/>
    </row>
    <row r="156" spans="1:19" x14ac:dyDescent="0.4">
      <c r="A156" s="33"/>
      <c r="B156" s="33"/>
      <c r="C156" s="33"/>
      <c r="D156" s="33"/>
      <c r="E156" s="33"/>
      <c r="F156" s="33" t="s">
        <v>313</v>
      </c>
      <c r="G156" s="33"/>
      <c r="H156" s="42"/>
      <c r="I156" s="34"/>
      <c r="J156" s="42"/>
      <c r="K156" s="34"/>
      <c r="L156" s="42"/>
      <c r="M156" s="34"/>
      <c r="O156" s="34"/>
      <c r="Q156" s="34"/>
      <c r="R156" s="34"/>
    </row>
    <row r="157" spans="1:19" x14ac:dyDescent="0.4">
      <c r="A157" s="33"/>
      <c r="B157" s="33"/>
      <c r="C157" s="33"/>
      <c r="D157" s="33"/>
      <c r="E157" s="33"/>
      <c r="F157" s="33"/>
      <c r="G157" s="33" t="s">
        <v>314</v>
      </c>
      <c r="H157" s="42"/>
      <c r="I157" s="34">
        <v>0</v>
      </c>
      <c r="J157" s="42"/>
      <c r="K157" s="34">
        <v>441.35</v>
      </c>
      <c r="L157" s="42"/>
      <c r="M157" s="34">
        <v>0</v>
      </c>
      <c r="O157" s="34">
        <v>940.03</v>
      </c>
      <c r="Q157" s="34">
        <v>268.45</v>
      </c>
      <c r="R157" s="34"/>
    </row>
    <row r="158" spans="1:19" x14ac:dyDescent="0.4">
      <c r="A158" s="33"/>
      <c r="B158" s="33"/>
      <c r="C158" s="33"/>
      <c r="D158" s="33"/>
      <c r="E158" s="33"/>
      <c r="F158" s="33"/>
      <c r="G158" s="33" t="s">
        <v>315</v>
      </c>
      <c r="H158" s="42"/>
      <c r="I158" s="34">
        <f>359.45+35.55</f>
        <v>395</v>
      </c>
      <c r="J158" s="42"/>
      <c r="K158" s="34">
        <v>0</v>
      </c>
      <c r="L158" s="42"/>
      <c r="M158" s="34">
        <f>359.45+35.55</f>
        <v>395</v>
      </c>
      <c r="O158" s="34">
        <f>359.45+35.55</f>
        <v>395</v>
      </c>
      <c r="Q158" s="34">
        <f>359.45+35.55</f>
        <v>395</v>
      </c>
      <c r="R158" s="34"/>
    </row>
    <row r="159" spans="1:19" x14ac:dyDescent="0.4">
      <c r="A159" s="33"/>
      <c r="B159" s="33"/>
      <c r="C159" s="33"/>
      <c r="D159" s="33"/>
      <c r="E159" s="33"/>
      <c r="F159" s="33"/>
      <c r="G159" s="33" t="s">
        <v>316</v>
      </c>
      <c r="H159" s="42"/>
      <c r="I159" s="34">
        <v>35000</v>
      </c>
      <c r="J159" s="42"/>
      <c r="K159" s="34">
        <v>0</v>
      </c>
      <c r="L159" s="42"/>
      <c r="M159" s="34">
        <v>0</v>
      </c>
      <c r="O159" s="34"/>
      <c r="Q159" s="34">
        <f>257.38+13.48</f>
        <v>270.86</v>
      </c>
      <c r="R159" s="34"/>
    </row>
    <row r="160" spans="1:19" x14ac:dyDescent="0.4">
      <c r="A160" s="33"/>
      <c r="B160" s="33"/>
      <c r="C160" s="33"/>
      <c r="D160" s="33"/>
      <c r="E160" s="33"/>
      <c r="F160" s="33"/>
      <c r="G160" s="33" t="s">
        <v>317</v>
      </c>
      <c r="H160" s="42"/>
      <c r="I160" s="34">
        <v>0</v>
      </c>
      <c r="J160" s="42"/>
      <c r="K160" s="34">
        <v>0</v>
      </c>
      <c r="L160" s="42"/>
      <c r="M160" s="34">
        <v>1747.7</v>
      </c>
      <c r="O160" s="34">
        <v>1577.91</v>
      </c>
      <c r="Q160" s="34">
        <v>731.22</v>
      </c>
      <c r="R160" s="34"/>
    </row>
    <row r="161" spans="1:19" x14ac:dyDescent="0.4">
      <c r="A161" s="33"/>
      <c r="B161" s="33"/>
      <c r="C161" s="33"/>
      <c r="D161" s="33"/>
      <c r="E161" s="33"/>
      <c r="F161" s="33"/>
      <c r="G161" s="33" t="s">
        <v>318</v>
      </c>
      <c r="H161" s="42"/>
      <c r="I161" s="34">
        <f>631.37+46.87</f>
        <v>678.24</v>
      </c>
      <c r="J161" s="42"/>
      <c r="K161" s="34">
        <f>686.28+61.12</f>
        <v>747.4</v>
      </c>
      <c r="L161" s="42"/>
      <c r="M161" s="34">
        <f>500.5+49.5</f>
        <v>550</v>
      </c>
      <c r="O161" s="34">
        <f>373.1+36.9</f>
        <v>410</v>
      </c>
      <c r="Q161" s="34">
        <f>318.5+31.5</f>
        <v>350</v>
      </c>
      <c r="R161" s="34"/>
    </row>
    <row r="162" spans="1:19" x14ac:dyDescent="0.4">
      <c r="A162" s="33"/>
      <c r="B162" s="33"/>
      <c r="C162" s="33"/>
      <c r="D162" s="33"/>
      <c r="E162" s="33"/>
      <c r="F162" s="33"/>
      <c r="G162" s="33" t="s">
        <v>319</v>
      </c>
      <c r="H162" s="42"/>
      <c r="I162" s="34">
        <f>5201.59+485.31</f>
        <v>5686.9000000000005</v>
      </c>
      <c r="J162" s="42"/>
      <c r="K162" s="34">
        <f>5737.87+562.5</f>
        <v>6300.37</v>
      </c>
      <c r="L162" s="42"/>
      <c r="M162" s="34">
        <f>6644.09+693.04</f>
        <v>7337.13</v>
      </c>
      <c r="O162" s="34">
        <f>6126.88+612.22</f>
        <v>6739.1</v>
      </c>
      <c r="Q162" s="34">
        <f>7242.41+653.07</f>
        <v>7895.48</v>
      </c>
      <c r="R162" s="34"/>
    </row>
    <row r="163" spans="1:19" x14ac:dyDescent="0.4">
      <c r="A163" s="33"/>
      <c r="B163" s="33"/>
      <c r="C163" s="33"/>
      <c r="D163" s="33"/>
      <c r="E163" s="33"/>
      <c r="F163" s="33"/>
      <c r="G163" s="33" t="s">
        <v>320</v>
      </c>
      <c r="H163" s="42"/>
      <c r="I163" s="34">
        <v>1186.8</v>
      </c>
      <c r="J163" s="42"/>
      <c r="K163" s="34">
        <v>7600.98</v>
      </c>
      <c r="L163" s="42"/>
      <c r="M163" s="34">
        <v>4153.79</v>
      </c>
      <c r="O163" s="34">
        <v>0</v>
      </c>
      <c r="Q163" s="34">
        <v>1733.63</v>
      </c>
      <c r="R163" s="34"/>
    </row>
    <row r="164" spans="1:19" x14ac:dyDescent="0.4">
      <c r="A164" s="33"/>
      <c r="B164" s="33"/>
      <c r="C164" s="33"/>
      <c r="D164" s="33"/>
      <c r="E164" s="33"/>
      <c r="F164" s="33"/>
      <c r="G164" s="33" t="s">
        <v>321</v>
      </c>
      <c r="H164" s="42"/>
      <c r="I164" s="34">
        <v>6488.35</v>
      </c>
      <c r="J164" s="42"/>
      <c r="K164" s="34">
        <v>3903.9</v>
      </c>
      <c r="L164" s="42"/>
      <c r="M164" s="34">
        <v>17840.11</v>
      </c>
      <c r="O164" s="34">
        <v>10432.48</v>
      </c>
      <c r="Q164" s="34">
        <v>10592.6</v>
      </c>
      <c r="R164" s="34"/>
    </row>
    <row r="165" spans="1:19" x14ac:dyDescent="0.4">
      <c r="A165" s="33"/>
      <c r="B165" s="33"/>
      <c r="C165" s="33"/>
      <c r="D165" s="33"/>
      <c r="E165" s="33"/>
      <c r="F165" s="33"/>
      <c r="G165" s="33" t="s">
        <v>322</v>
      </c>
      <c r="H165" s="42"/>
      <c r="I165" s="34">
        <v>394.75</v>
      </c>
      <c r="J165" s="42"/>
      <c r="K165" s="34">
        <v>407.42</v>
      </c>
      <c r="L165" s="42"/>
      <c r="M165" s="34">
        <v>1032.6500000000001</v>
      </c>
      <c r="O165" s="34">
        <v>446.87</v>
      </c>
      <c r="Q165" s="34">
        <v>2143.77</v>
      </c>
      <c r="R165" s="34"/>
    </row>
    <row r="166" spans="1:19" ht="15" thickBot="1" x14ac:dyDescent="0.45">
      <c r="A166" s="33"/>
      <c r="B166" s="33"/>
      <c r="C166" s="33"/>
      <c r="D166" s="33"/>
      <c r="E166" s="33"/>
      <c r="F166" s="33"/>
      <c r="G166" s="33" t="s">
        <v>323</v>
      </c>
      <c r="H166" s="42"/>
      <c r="I166" s="35">
        <v>89.59</v>
      </c>
      <c r="J166" s="42"/>
      <c r="K166" s="35">
        <v>114.52</v>
      </c>
      <c r="L166" s="42"/>
      <c r="M166" s="35">
        <v>-1.81</v>
      </c>
      <c r="O166" s="35">
        <v>-53.61</v>
      </c>
      <c r="Q166" s="35">
        <v>-7.23</v>
      </c>
      <c r="R166" s="34"/>
    </row>
    <row r="167" spans="1:19" x14ac:dyDescent="0.4">
      <c r="A167" s="33"/>
      <c r="B167" s="33"/>
      <c r="C167" s="33"/>
      <c r="D167" s="33"/>
      <c r="E167" s="33"/>
      <c r="F167" s="33" t="s">
        <v>324</v>
      </c>
      <c r="G167" s="33"/>
      <c r="H167" s="42"/>
      <c r="I167" s="34">
        <f>ROUND(SUM(I156:I166),5)</f>
        <v>49919.63</v>
      </c>
      <c r="J167" s="42"/>
      <c r="K167" s="34">
        <f>ROUND(SUM(K156:K166),5)</f>
        <v>19515.939999999999</v>
      </c>
      <c r="L167" s="42"/>
      <c r="M167" s="34">
        <f>ROUND(SUM(M156:M166),5)</f>
        <v>33054.57</v>
      </c>
      <c r="O167" s="34">
        <f>ROUND(SUM(O156:O166),5)</f>
        <v>20887.78</v>
      </c>
      <c r="Q167" s="34">
        <f>ROUND(SUM(Q156:Q166),5)</f>
        <v>24373.78</v>
      </c>
      <c r="R167" s="34"/>
    </row>
    <row r="168" spans="1:19" ht="15" thickBot="1" x14ac:dyDescent="0.45">
      <c r="A168" s="33"/>
      <c r="B168" s="33"/>
      <c r="C168" s="33"/>
      <c r="D168" s="33"/>
      <c r="E168" s="33"/>
      <c r="F168" s="33" t="s">
        <v>325</v>
      </c>
      <c r="G168" s="33"/>
      <c r="H168" s="42"/>
      <c r="I168" s="35">
        <v>0</v>
      </c>
      <c r="J168" s="42"/>
      <c r="K168" s="35">
        <v>214.32</v>
      </c>
      <c r="L168" s="42"/>
      <c r="M168" s="35">
        <v>1026.79</v>
      </c>
      <c r="O168" s="35">
        <v>860.48</v>
      </c>
      <c r="Q168" s="35">
        <v>571.98</v>
      </c>
      <c r="R168" s="34"/>
    </row>
    <row r="169" spans="1:19" x14ac:dyDescent="0.4">
      <c r="A169" s="33"/>
      <c r="B169" s="33"/>
      <c r="C169" s="33"/>
      <c r="D169" s="33"/>
      <c r="E169" s="33" t="s">
        <v>326</v>
      </c>
      <c r="F169" s="33"/>
      <c r="G169" s="33"/>
      <c r="H169" s="42"/>
      <c r="I169" s="34">
        <f>ROUND(SUM(I150:I151)+I155+SUM(I167:I168),5)</f>
        <v>78522.75</v>
      </c>
      <c r="J169" s="42"/>
      <c r="K169" s="34">
        <f>ROUND(SUM(K150:K151)+K155+SUM(K167:K168),5)</f>
        <v>49409.1</v>
      </c>
      <c r="L169" s="42"/>
      <c r="M169" s="34">
        <f>ROUND(SUM(M150:M151)+M155+SUM(M167:M168),5)</f>
        <v>73071.8</v>
      </c>
      <c r="O169" s="34">
        <f>ROUND(SUM(O150:O151)+O155+SUM(O167:O168),5)</f>
        <v>64637.18</v>
      </c>
      <c r="Q169" s="34">
        <f>ROUND(SUM(Q150:Q151)+Q155+SUM(Q167:Q168),5)</f>
        <v>73209.45</v>
      </c>
      <c r="R169" s="34"/>
    </row>
    <row r="170" spans="1:19" x14ac:dyDescent="0.4">
      <c r="A170" s="33"/>
      <c r="B170" s="33"/>
      <c r="C170" s="33"/>
      <c r="D170" s="33"/>
      <c r="E170" s="33" t="s">
        <v>327</v>
      </c>
      <c r="F170" s="33"/>
      <c r="G170" s="33"/>
      <c r="H170" s="42"/>
      <c r="I170" s="34"/>
      <c r="J170" s="42"/>
      <c r="K170" s="34"/>
      <c r="L170" s="42"/>
      <c r="M170" s="34"/>
      <c r="O170" s="34"/>
      <c r="Q170" s="34"/>
      <c r="R170" s="34"/>
    </row>
    <row r="171" spans="1:19" x14ac:dyDescent="0.4">
      <c r="A171" s="33"/>
      <c r="B171" s="33"/>
      <c r="C171" s="33"/>
      <c r="D171" s="33"/>
      <c r="E171" s="33"/>
      <c r="F171" s="33" t="s">
        <v>328</v>
      </c>
      <c r="G171" s="33"/>
      <c r="H171" s="42"/>
      <c r="I171" s="34">
        <f>8384.66+829.25</f>
        <v>9213.91</v>
      </c>
      <c r="J171" s="42"/>
      <c r="K171" s="34">
        <f>6630.21+837.83</f>
        <v>7468.04</v>
      </c>
      <c r="L171" s="42"/>
      <c r="M171" s="34">
        <f>21974.42+1645.4</f>
        <v>23619.82</v>
      </c>
      <c r="O171" s="34">
        <f>16071.23+1589.46</f>
        <v>17660.689999999999</v>
      </c>
      <c r="Q171" s="34">
        <f>15885.51+4388.98</f>
        <v>20274.489999999998</v>
      </c>
      <c r="R171" s="34"/>
    </row>
    <row r="172" spans="1:19" x14ac:dyDescent="0.4">
      <c r="A172" s="33"/>
      <c r="B172" s="33"/>
      <c r="C172" s="33"/>
      <c r="D172" s="33"/>
      <c r="E172" s="33"/>
      <c r="F172" s="33" t="s">
        <v>329</v>
      </c>
      <c r="G172" s="33"/>
      <c r="H172" s="42"/>
      <c r="I172" s="34">
        <v>6203.18</v>
      </c>
      <c r="J172" s="42"/>
      <c r="K172" s="34">
        <v>5353.2</v>
      </c>
      <c r="L172" s="42"/>
      <c r="M172" s="34">
        <f>3008.31+367.52</f>
        <v>3375.83</v>
      </c>
      <c r="O172" s="34">
        <f>6120.02+366.77</f>
        <v>6486.7900000000009</v>
      </c>
      <c r="Q172" s="34">
        <f>510.97+552.17</f>
        <v>1063.1399999999999</v>
      </c>
      <c r="R172" s="34"/>
    </row>
    <row r="173" spans="1:19" ht="15" thickBot="1" x14ac:dyDescent="0.45">
      <c r="A173" s="33"/>
      <c r="B173" s="33"/>
      <c r="C173" s="33"/>
      <c r="D173" s="33"/>
      <c r="E173" s="33"/>
      <c r="F173" s="33" t="s">
        <v>330</v>
      </c>
      <c r="G173" s="33"/>
      <c r="H173" s="42"/>
      <c r="I173" s="34">
        <v>0</v>
      </c>
      <c r="J173" s="42"/>
      <c r="K173" s="34">
        <v>0</v>
      </c>
      <c r="L173" s="42"/>
      <c r="M173" s="34">
        <v>2266.13</v>
      </c>
      <c r="O173" s="34"/>
      <c r="Q173" s="34"/>
      <c r="R173" s="34"/>
    </row>
    <row r="174" spans="1:19" ht="15" thickBot="1" x14ac:dyDescent="0.45">
      <c r="A174" s="33"/>
      <c r="B174" s="33"/>
      <c r="C174" s="33"/>
      <c r="D174" s="33"/>
      <c r="E174" s="33" t="s">
        <v>331</v>
      </c>
      <c r="F174" s="33"/>
      <c r="G174" s="33"/>
      <c r="H174" s="42"/>
      <c r="I174" s="53">
        <f>ROUND(SUM(I170:I173),5)</f>
        <v>15417.09</v>
      </c>
      <c r="J174" s="42"/>
      <c r="K174" s="53">
        <f>ROUND(SUM(K170:K173),5)</f>
        <v>12821.24</v>
      </c>
      <c r="L174" s="42"/>
      <c r="M174" s="53">
        <f>ROUND(SUM(M170:M173),5)</f>
        <v>29261.78</v>
      </c>
      <c r="O174" s="53">
        <f>ROUND(SUM(O170:O173),5)</f>
        <v>24147.48</v>
      </c>
      <c r="Q174" s="53">
        <f>ROUND(SUM(Q170:Q173),5)</f>
        <v>21337.63</v>
      </c>
      <c r="R174" s="34"/>
    </row>
    <row r="175" spans="1:19" x14ac:dyDescent="0.4">
      <c r="A175" s="33"/>
      <c r="B175" s="33"/>
      <c r="C175" s="33"/>
      <c r="D175" s="33" t="s">
        <v>332</v>
      </c>
      <c r="E175" s="33"/>
      <c r="F175" s="33"/>
      <c r="G175" s="33"/>
      <c r="H175" s="42"/>
      <c r="I175" s="34">
        <f>ROUND(I149+I169+I174,5)</f>
        <v>93939.839999999997</v>
      </c>
      <c r="J175" s="42"/>
      <c r="K175" s="34">
        <f>ROUND(K149+K169+K174,5)</f>
        <v>62230.34</v>
      </c>
      <c r="L175" s="42"/>
      <c r="M175" s="34">
        <f>ROUND(M149+M169+M174,5)</f>
        <v>102333.58</v>
      </c>
      <c r="O175" s="34">
        <f>ROUND(O149+O169+O174,5)</f>
        <v>88784.66</v>
      </c>
      <c r="Q175" s="34">
        <f>ROUND(Q149+Q169+Q174,5)</f>
        <v>94547.08</v>
      </c>
      <c r="R175" s="34"/>
      <c r="S175" t="s">
        <v>333</v>
      </c>
    </row>
    <row r="176" spans="1:19" x14ac:dyDescent="0.4">
      <c r="A176" s="33"/>
      <c r="B176" s="33"/>
      <c r="C176" s="33"/>
      <c r="D176" s="33" t="s">
        <v>334</v>
      </c>
      <c r="E176" s="33"/>
      <c r="F176" s="33"/>
      <c r="G176" s="33"/>
      <c r="H176" s="42"/>
      <c r="I176" s="34"/>
      <c r="J176" s="42"/>
      <c r="K176" s="34"/>
      <c r="L176" s="42"/>
      <c r="M176" s="34"/>
      <c r="O176" s="34"/>
      <c r="Q176" s="34"/>
      <c r="R176" s="34"/>
    </row>
    <row r="177" spans="1:19" x14ac:dyDescent="0.4">
      <c r="A177" s="33"/>
      <c r="B177" s="33"/>
      <c r="C177" s="33"/>
      <c r="D177" s="33"/>
      <c r="E177" s="33" t="s">
        <v>335</v>
      </c>
      <c r="F177" s="33"/>
      <c r="G177" s="33"/>
      <c r="H177" s="42"/>
      <c r="I177" s="34"/>
      <c r="J177" s="42"/>
      <c r="K177" s="34"/>
      <c r="L177" s="42"/>
      <c r="M177" s="34"/>
      <c r="O177" s="34"/>
      <c r="Q177" s="34"/>
      <c r="R177" s="34"/>
    </row>
    <row r="178" spans="1:19" x14ac:dyDescent="0.4">
      <c r="A178" s="33"/>
      <c r="B178" s="33"/>
      <c r="C178" s="33"/>
      <c r="D178" s="33"/>
      <c r="E178" s="33"/>
      <c r="F178" s="33" t="s">
        <v>336</v>
      </c>
      <c r="G178" s="33"/>
      <c r="H178" s="42"/>
      <c r="I178" s="34">
        <f>7437.26+483.28</f>
        <v>7920.54</v>
      </c>
      <c r="J178" s="42"/>
      <c r="K178" s="34">
        <f>9660.22+600.21</f>
        <v>10260.43</v>
      </c>
      <c r="L178" s="42"/>
      <c r="M178" s="34">
        <f>23842.43+1434.99</f>
        <v>25277.420000000002</v>
      </c>
      <c r="O178" s="34">
        <f>33781.3+2737.51</f>
        <v>36518.810000000005</v>
      </c>
      <c r="Q178" s="34">
        <f>18493.34+991.64</f>
        <v>19484.98</v>
      </c>
      <c r="R178" s="34"/>
    </row>
    <row r="179" spans="1:19" x14ac:dyDescent="0.4">
      <c r="A179" s="33"/>
      <c r="B179" s="33"/>
      <c r="C179" s="33"/>
      <c r="D179" s="33"/>
      <c r="E179" s="33"/>
      <c r="F179" s="33" t="s">
        <v>337</v>
      </c>
      <c r="G179" s="33"/>
      <c r="H179" s="42"/>
      <c r="I179" s="34"/>
      <c r="J179" s="42"/>
      <c r="K179" s="34"/>
      <c r="L179" s="42"/>
      <c r="M179" s="34"/>
      <c r="O179" s="34"/>
      <c r="Q179" s="34"/>
      <c r="R179" s="34"/>
    </row>
    <row r="180" spans="1:19" x14ac:dyDescent="0.4">
      <c r="A180" s="33"/>
      <c r="B180" s="33"/>
      <c r="C180" s="33"/>
      <c r="D180" s="33"/>
      <c r="E180" s="33"/>
      <c r="F180" s="33"/>
      <c r="G180" s="33" t="s">
        <v>338</v>
      </c>
      <c r="H180" s="42"/>
      <c r="I180" s="34">
        <f>27060.2+2683.6</f>
        <v>29743.8</v>
      </c>
      <c r="J180" s="42"/>
      <c r="K180" s="34">
        <f>32225.6+3128.12</f>
        <v>35353.72</v>
      </c>
      <c r="L180" s="42"/>
      <c r="M180" s="34">
        <f>32537.91+3194.66</f>
        <v>35732.57</v>
      </c>
      <c r="O180" s="34">
        <f>37827.66+3498.83</f>
        <v>41326.490000000005</v>
      </c>
      <c r="Q180" s="34">
        <f>38501.59+3762.96</f>
        <v>42264.549999999996</v>
      </c>
      <c r="R180" s="34"/>
    </row>
    <row r="181" spans="1:19" x14ac:dyDescent="0.4">
      <c r="A181" s="33"/>
      <c r="B181" s="33"/>
      <c r="C181" s="33"/>
      <c r="D181" s="33"/>
      <c r="E181" s="33"/>
      <c r="F181" s="33"/>
      <c r="G181" s="33" t="s">
        <v>339</v>
      </c>
      <c r="H181" s="42"/>
      <c r="I181" s="34">
        <v>6546.35</v>
      </c>
      <c r="J181" s="42"/>
      <c r="K181" s="34">
        <v>8649.41</v>
      </c>
      <c r="L181" s="42"/>
      <c r="M181" s="34">
        <v>7442.46</v>
      </c>
      <c r="O181" s="34">
        <f>8268.06+817.72</f>
        <v>9085.7799999999988</v>
      </c>
      <c r="Q181" s="34">
        <f>8496.39+840.3</f>
        <v>9336.6899999999987</v>
      </c>
      <c r="R181" s="34"/>
    </row>
    <row r="182" spans="1:19" ht="15" thickBot="1" x14ac:dyDescent="0.45">
      <c r="A182" s="33"/>
      <c r="B182" s="33"/>
      <c r="C182" s="33"/>
      <c r="D182" s="33"/>
      <c r="E182" s="33"/>
      <c r="F182" s="33"/>
      <c r="G182" s="33" t="s">
        <v>340</v>
      </c>
      <c r="H182" s="42"/>
      <c r="I182" s="34"/>
      <c r="J182" s="42"/>
      <c r="K182" s="34"/>
      <c r="L182" s="42"/>
      <c r="M182" s="34"/>
      <c r="O182" s="34">
        <v>-350.46</v>
      </c>
      <c r="Q182" s="34">
        <v>337.18</v>
      </c>
      <c r="R182" s="34"/>
    </row>
    <row r="183" spans="1:19" ht="15" thickBot="1" x14ac:dyDescent="0.45">
      <c r="A183" s="33"/>
      <c r="B183" s="33"/>
      <c r="C183" s="33"/>
      <c r="D183" s="33"/>
      <c r="E183" s="33"/>
      <c r="F183" s="33" t="s">
        <v>341</v>
      </c>
      <c r="G183" s="33"/>
      <c r="H183" s="42"/>
      <c r="I183" s="44">
        <f>ROUND(SUM(I179:I182),5)</f>
        <v>36290.15</v>
      </c>
      <c r="J183" s="42"/>
      <c r="K183" s="44">
        <f>ROUND(SUM(K179:K182),5)</f>
        <v>44003.13</v>
      </c>
      <c r="L183" s="42"/>
      <c r="M183" s="44">
        <f>ROUND(SUM(M179:M182),5)</f>
        <v>43175.03</v>
      </c>
      <c r="O183" s="44">
        <f>ROUND(SUM(O179:O182),5)</f>
        <v>50061.81</v>
      </c>
      <c r="Q183" s="44">
        <f>ROUND(SUM(Q179:Q182),5)</f>
        <v>51938.42</v>
      </c>
      <c r="R183" s="34"/>
    </row>
    <row r="184" spans="1:19" ht="15" thickBot="1" x14ac:dyDescent="0.45">
      <c r="A184" s="33"/>
      <c r="B184" s="33"/>
      <c r="C184" s="33"/>
      <c r="D184" s="33"/>
      <c r="E184" s="33" t="s">
        <v>342</v>
      </c>
      <c r="F184" s="33"/>
      <c r="G184" s="33"/>
      <c r="H184" s="42"/>
      <c r="I184" s="53">
        <f>ROUND(SUM(I177:I178)+I183,5)</f>
        <v>44210.69</v>
      </c>
      <c r="J184" s="42"/>
      <c r="K184" s="53">
        <f>ROUND(SUM(K177:K178)+K183,5)</f>
        <v>54263.56</v>
      </c>
      <c r="L184" s="42"/>
      <c r="M184" s="53">
        <f>ROUND(SUM(M177:M178)+M183,5)</f>
        <v>68452.45</v>
      </c>
      <c r="O184" s="53">
        <f>ROUND(SUM(O177:O178)+O183,5)</f>
        <v>86580.62</v>
      </c>
      <c r="Q184" s="53">
        <f>ROUND(SUM(Q177:Q178)+Q183,5)</f>
        <v>71423.399999999994</v>
      </c>
      <c r="R184" s="34"/>
    </row>
    <row r="185" spans="1:19" x14ac:dyDescent="0.4">
      <c r="A185" s="33"/>
      <c r="B185" s="33"/>
      <c r="C185" s="33"/>
      <c r="D185" s="33" t="s">
        <v>343</v>
      </c>
      <c r="E185" s="33"/>
      <c r="F185" s="33"/>
      <c r="G185" s="33"/>
      <c r="H185" s="42"/>
      <c r="I185" s="34">
        <f>ROUND(I176+I184,5)</f>
        <v>44210.69</v>
      </c>
      <c r="J185" s="42"/>
      <c r="K185" s="34">
        <f>ROUND(K176+K184,5)</f>
        <v>54263.56</v>
      </c>
      <c r="L185" s="42"/>
      <c r="M185" s="34">
        <f>ROUND(M176+M184,5)</f>
        <v>68452.45</v>
      </c>
      <c r="O185" s="34">
        <f>ROUND(O176+O184,5)</f>
        <v>86580.62</v>
      </c>
      <c r="Q185" s="34">
        <f>ROUND(Q176+Q184,5)</f>
        <v>71423.399999999994</v>
      </c>
      <c r="R185" s="34"/>
      <c r="S185" t="s">
        <v>344</v>
      </c>
    </row>
    <row r="186" spans="1:19" x14ac:dyDescent="0.4">
      <c r="A186" s="33"/>
      <c r="B186" s="33"/>
      <c r="C186" s="33"/>
      <c r="D186" s="33" t="s">
        <v>345</v>
      </c>
      <c r="E186" s="33"/>
      <c r="F186" s="33"/>
      <c r="G186" s="33"/>
      <c r="H186" s="42"/>
      <c r="I186" s="34"/>
      <c r="J186" s="42"/>
      <c r="K186" s="34"/>
      <c r="L186" s="42"/>
      <c r="M186" s="34"/>
      <c r="O186" s="34"/>
      <c r="Q186" s="34"/>
      <c r="R186" s="34"/>
    </row>
    <row r="187" spans="1:19" x14ac:dyDescent="0.4">
      <c r="A187" s="33"/>
      <c r="B187" s="33"/>
      <c r="C187" s="33"/>
      <c r="D187" s="33"/>
      <c r="E187" s="33" t="s">
        <v>346</v>
      </c>
      <c r="F187" s="33"/>
      <c r="G187" s="33"/>
      <c r="H187" s="42"/>
      <c r="I187" s="34"/>
      <c r="J187" s="42"/>
      <c r="K187" s="34"/>
      <c r="L187" s="42"/>
      <c r="M187" s="34"/>
      <c r="O187" s="34"/>
      <c r="Q187" s="34"/>
      <c r="R187" s="34"/>
    </row>
    <row r="188" spans="1:19" x14ac:dyDescent="0.4">
      <c r="A188" s="33"/>
      <c r="B188" s="33"/>
      <c r="C188" s="33"/>
      <c r="D188" s="33"/>
      <c r="E188" s="33"/>
      <c r="F188" s="33" t="s">
        <v>347</v>
      </c>
      <c r="G188" s="33"/>
      <c r="H188" s="42"/>
      <c r="I188" s="34"/>
      <c r="J188" s="42"/>
      <c r="K188" s="34"/>
      <c r="L188" s="42"/>
      <c r="M188" s="34"/>
      <c r="O188" s="34"/>
      <c r="Q188" s="34"/>
      <c r="R188" s="34"/>
    </row>
    <row r="189" spans="1:19" x14ac:dyDescent="0.4">
      <c r="A189" s="33"/>
      <c r="B189" s="33"/>
      <c r="C189" s="33"/>
      <c r="D189" s="33"/>
      <c r="E189" s="33"/>
      <c r="F189" s="33"/>
      <c r="G189" s="33" t="s">
        <v>348</v>
      </c>
      <c r="H189" s="42"/>
      <c r="I189" s="34">
        <f>2835.73+259.79</f>
        <v>3095.52</v>
      </c>
      <c r="J189" s="42"/>
      <c r="K189" s="34">
        <f>2094.73+205.33</f>
        <v>2300.06</v>
      </c>
      <c r="L189" s="42"/>
      <c r="M189" s="34">
        <f>2214.8+219.07</f>
        <v>2433.8700000000003</v>
      </c>
      <c r="O189" s="34">
        <f>2326.32+228.19</f>
        <v>2554.5100000000002</v>
      </c>
      <c r="Q189" s="34">
        <f>3460.68+342.26</f>
        <v>3802.9399999999996</v>
      </c>
      <c r="R189" s="34"/>
    </row>
    <row r="190" spans="1:19" x14ac:dyDescent="0.4">
      <c r="A190" s="33"/>
      <c r="B190" s="33"/>
      <c r="C190" s="33"/>
      <c r="D190" s="33"/>
      <c r="E190" s="33"/>
      <c r="F190" s="33"/>
      <c r="G190" s="33" t="s">
        <v>349</v>
      </c>
      <c r="H190" s="42"/>
      <c r="I190" s="34">
        <f>1997.34+197.54</f>
        <v>2194.88</v>
      </c>
      <c r="J190" s="42"/>
      <c r="K190" s="34">
        <f>163.47+16.17</f>
        <v>179.64</v>
      </c>
      <c r="L190" s="42"/>
      <c r="M190" s="34">
        <f>15.92+1.57</f>
        <v>17.489999999999998</v>
      </c>
      <c r="O190" s="34">
        <f>4472.34+629.45</f>
        <v>5101.79</v>
      </c>
      <c r="Q190" s="34">
        <f>11146.29+1102.38</f>
        <v>12248.670000000002</v>
      </c>
      <c r="R190" s="34"/>
    </row>
    <row r="191" spans="1:19" ht="15" thickBot="1" x14ac:dyDescent="0.45">
      <c r="A191" s="33"/>
      <c r="B191" s="33"/>
      <c r="C191" s="33"/>
      <c r="D191" s="33"/>
      <c r="E191" s="33"/>
      <c r="F191" s="33"/>
      <c r="G191" s="33" t="s">
        <v>350</v>
      </c>
      <c r="H191" s="42"/>
      <c r="I191" s="35">
        <v>49.9</v>
      </c>
      <c r="J191" s="42"/>
      <c r="K191" s="35">
        <v>-18.63</v>
      </c>
      <c r="L191" s="42"/>
      <c r="M191" s="35">
        <v>0</v>
      </c>
      <c r="O191" s="34">
        <v>-226.76</v>
      </c>
      <c r="Q191" s="34"/>
      <c r="R191" s="34"/>
    </row>
    <row r="192" spans="1:19" x14ac:dyDescent="0.4">
      <c r="A192" s="33"/>
      <c r="B192" s="33"/>
      <c r="C192" s="33"/>
      <c r="D192" s="33"/>
      <c r="E192" s="33"/>
      <c r="F192" s="33" t="s">
        <v>351</v>
      </c>
      <c r="G192" s="33"/>
      <c r="H192" s="42"/>
      <c r="I192" s="34">
        <f>ROUND(SUM(I188:I191),5)</f>
        <v>5340.3</v>
      </c>
      <c r="J192" s="42"/>
      <c r="K192" s="34">
        <f>ROUND(SUM(K188:K191),5)</f>
        <v>2461.0700000000002</v>
      </c>
      <c r="L192" s="42"/>
      <c r="M192" s="34">
        <f>ROUND(SUM(M188:M191),5)</f>
        <v>2451.36</v>
      </c>
      <c r="O192" s="44">
        <f>ROUND(SUM(O188:O191),5)</f>
        <v>7429.54</v>
      </c>
      <c r="Q192" s="44">
        <f>ROUND(SUM(Q188:Q191),5)</f>
        <v>16051.61</v>
      </c>
      <c r="R192" s="34"/>
    </row>
    <row r="193" spans="1:19" ht="15" thickBot="1" x14ac:dyDescent="0.45">
      <c r="A193" s="33"/>
      <c r="B193" s="33"/>
      <c r="C193" s="33"/>
      <c r="D193" s="33"/>
      <c r="E193" s="33"/>
      <c r="F193" s="33" t="s">
        <v>352</v>
      </c>
      <c r="G193" s="33"/>
      <c r="H193" s="42"/>
      <c r="I193" s="34">
        <v>504.5</v>
      </c>
      <c r="J193" s="42"/>
      <c r="K193" s="34">
        <v>0</v>
      </c>
      <c r="L193" s="42"/>
      <c r="M193" s="34"/>
      <c r="O193" s="35"/>
      <c r="Q193" s="35"/>
      <c r="R193" s="34"/>
    </row>
    <row r="194" spans="1:19" ht="15" thickBot="1" x14ac:dyDescent="0.45">
      <c r="A194" s="33"/>
      <c r="B194" s="33"/>
      <c r="C194" s="33"/>
      <c r="D194" s="33"/>
      <c r="E194" s="33" t="s">
        <v>353</v>
      </c>
      <c r="F194" s="33"/>
      <c r="G194" s="33"/>
      <c r="H194" s="42"/>
      <c r="I194" s="53">
        <f>ROUND(I187+SUM(I192:I193),5)</f>
        <v>5844.8</v>
      </c>
      <c r="J194" s="42"/>
      <c r="K194" s="53">
        <f>ROUND(K187+SUM(K192:K193),5)</f>
        <v>2461.0700000000002</v>
      </c>
      <c r="L194" s="42"/>
      <c r="M194" s="53">
        <f>ROUND(M187+M192,5)</f>
        <v>2451.36</v>
      </c>
      <c r="O194" s="53">
        <f>ROUND(O187+SUM(O192:O193),5)</f>
        <v>7429.54</v>
      </c>
      <c r="Q194" s="35">
        <f>ROUND(Q187+Q192,5)</f>
        <v>16051.61</v>
      </c>
      <c r="R194" s="34"/>
    </row>
    <row r="195" spans="1:19" x14ac:dyDescent="0.4">
      <c r="A195" s="33"/>
      <c r="B195" s="33"/>
      <c r="C195" s="33"/>
      <c r="D195" s="33" t="s">
        <v>354</v>
      </c>
      <c r="E195" s="33"/>
      <c r="F195" s="33"/>
      <c r="G195" s="33"/>
      <c r="H195" s="42"/>
      <c r="I195" s="34">
        <f>ROUND(I186+I194,5)</f>
        <v>5844.8</v>
      </c>
      <c r="J195" s="42"/>
      <c r="K195" s="34">
        <f>ROUND(K186+K194,5)</f>
        <v>2461.0700000000002</v>
      </c>
      <c r="L195" s="42"/>
      <c r="M195" s="34">
        <f>ROUND(M186+M194,5)</f>
        <v>2451.36</v>
      </c>
      <c r="O195" s="34">
        <f>ROUND(O186+O194,5)</f>
        <v>7429.54</v>
      </c>
      <c r="Q195" s="34">
        <f>ROUND(Q186+Q194,5)</f>
        <v>16051.61</v>
      </c>
      <c r="R195" s="34"/>
      <c r="S195" t="s">
        <v>355</v>
      </c>
    </row>
    <row r="196" spans="1:19" x14ac:dyDescent="0.4">
      <c r="A196" s="33"/>
      <c r="B196" s="33"/>
      <c r="C196" s="33"/>
      <c r="D196" s="33" t="s">
        <v>144</v>
      </c>
      <c r="E196" s="33"/>
      <c r="F196" s="33"/>
      <c r="G196" s="33"/>
      <c r="H196" s="42"/>
      <c r="I196" s="34"/>
      <c r="J196" s="42"/>
      <c r="K196" s="34"/>
      <c r="L196" s="42"/>
      <c r="M196" s="34"/>
      <c r="O196" s="34"/>
      <c r="Q196" s="34"/>
      <c r="R196" s="34"/>
    </row>
    <row r="197" spans="1:19" x14ac:dyDescent="0.4">
      <c r="A197" s="33"/>
      <c r="B197" s="33"/>
      <c r="C197" s="33"/>
      <c r="D197" s="33"/>
      <c r="E197" s="33" t="s">
        <v>145</v>
      </c>
      <c r="F197" s="33"/>
      <c r="G197" s="33"/>
      <c r="H197" s="42"/>
      <c r="I197" s="34"/>
      <c r="J197" s="42"/>
      <c r="K197" s="34"/>
      <c r="L197" s="42"/>
      <c r="M197" s="34"/>
      <c r="O197" s="34"/>
      <c r="Q197" s="34"/>
      <c r="R197" s="34"/>
    </row>
    <row r="198" spans="1:19" x14ac:dyDescent="0.4">
      <c r="A198" s="33"/>
      <c r="B198" s="33"/>
      <c r="C198" s="33"/>
      <c r="D198" s="33"/>
      <c r="E198" s="33"/>
      <c r="F198" s="33" t="s">
        <v>146</v>
      </c>
      <c r="G198" s="33"/>
      <c r="H198" s="42"/>
      <c r="I198" s="34"/>
      <c r="J198" s="42"/>
      <c r="K198" s="34"/>
      <c r="L198" s="42"/>
      <c r="M198" s="34"/>
      <c r="O198" s="34"/>
      <c r="Q198" s="34"/>
      <c r="R198" s="34"/>
    </row>
    <row r="199" spans="1:19" ht="15" thickBot="1" x14ac:dyDescent="0.45">
      <c r="A199" s="33"/>
      <c r="B199" s="33"/>
      <c r="C199" s="33"/>
      <c r="D199" s="33"/>
      <c r="E199" s="33"/>
      <c r="F199" s="33"/>
      <c r="G199" s="33" t="s">
        <v>147</v>
      </c>
      <c r="H199" s="42"/>
      <c r="I199" s="35">
        <v>5942.58</v>
      </c>
      <c r="J199" s="42"/>
      <c r="K199" s="35">
        <v>7158.48</v>
      </c>
      <c r="L199" s="42"/>
      <c r="M199" s="35">
        <v>6128.19</v>
      </c>
      <c r="O199" s="35">
        <v>6384.14</v>
      </c>
      <c r="Q199" s="35">
        <v>8430.27</v>
      </c>
      <c r="R199" s="34"/>
    </row>
    <row r="200" spans="1:19" x14ac:dyDescent="0.4">
      <c r="A200" s="33"/>
      <c r="B200" s="33"/>
      <c r="C200" s="33"/>
      <c r="D200" s="33"/>
      <c r="E200" s="33"/>
      <c r="F200" s="33" t="s">
        <v>148</v>
      </c>
      <c r="G200" s="33"/>
      <c r="H200" s="42"/>
      <c r="I200" s="34">
        <f>ROUND(SUM(I198:I199),5)</f>
        <v>5942.58</v>
      </c>
      <c r="J200" s="42"/>
      <c r="K200" s="34">
        <f>ROUND(SUM(K198:K199),5)</f>
        <v>7158.48</v>
      </c>
      <c r="L200" s="42"/>
      <c r="M200" s="34">
        <f>ROUND(SUM(M198:M199),5)</f>
        <v>6128.19</v>
      </c>
      <c r="O200" s="34">
        <f>ROUND(SUM(O198:O199),5)</f>
        <v>6384.14</v>
      </c>
      <c r="Q200" s="34">
        <f>ROUND(SUM(Q198:Q199),5)</f>
        <v>8430.27</v>
      </c>
      <c r="R200" s="34"/>
    </row>
    <row r="201" spans="1:19" x14ac:dyDescent="0.4">
      <c r="A201" s="33"/>
      <c r="B201" s="33"/>
      <c r="C201" s="33"/>
      <c r="D201" s="33"/>
      <c r="E201" s="33"/>
      <c r="F201" s="33" t="s">
        <v>149</v>
      </c>
      <c r="G201" s="33"/>
      <c r="H201" s="42"/>
      <c r="I201" s="34"/>
      <c r="J201" s="42"/>
      <c r="K201" s="34"/>
      <c r="L201" s="42"/>
      <c r="M201" s="34"/>
      <c r="O201" s="34"/>
      <c r="Q201" s="34"/>
      <c r="R201" s="34"/>
    </row>
    <row r="202" spans="1:19" x14ac:dyDescent="0.4">
      <c r="A202" s="33"/>
      <c r="B202" s="33"/>
      <c r="C202" s="33"/>
      <c r="D202" s="33"/>
      <c r="E202" s="33"/>
      <c r="F202" s="33"/>
      <c r="G202" s="33" t="s">
        <v>150</v>
      </c>
      <c r="H202" s="42"/>
      <c r="I202" s="34">
        <v>0</v>
      </c>
      <c r="J202" s="42"/>
      <c r="K202" s="34">
        <v>405.07</v>
      </c>
      <c r="L202" s="42"/>
      <c r="M202" s="34">
        <v>0</v>
      </c>
      <c r="O202" s="34"/>
      <c r="Q202" s="34"/>
      <c r="R202" s="34"/>
    </row>
    <row r="203" spans="1:19" x14ac:dyDescent="0.4">
      <c r="A203" s="33"/>
      <c r="B203" s="33"/>
      <c r="C203" s="33"/>
      <c r="D203" s="33"/>
      <c r="E203" s="33"/>
      <c r="F203" s="33"/>
      <c r="G203" s="33" t="s">
        <v>151</v>
      </c>
      <c r="H203" s="42"/>
      <c r="I203" s="34">
        <v>0</v>
      </c>
      <c r="J203" s="42"/>
      <c r="K203" s="34">
        <f>253.32+25.05</f>
        <v>278.37</v>
      </c>
      <c r="L203" s="42"/>
      <c r="M203" s="34">
        <v>1038.79</v>
      </c>
      <c r="O203" s="34"/>
      <c r="Q203" s="34"/>
      <c r="R203" s="34"/>
    </row>
    <row r="204" spans="1:19" x14ac:dyDescent="0.4">
      <c r="A204" s="33"/>
      <c r="B204" s="33"/>
      <c r="C204" s="33"/>
      <c r="D204" s="33"/>
      <c r="E204" s="33"/>
      <c r="F204" s="33"/>
      <c r="G204" s="33" t="s">
        <v>152</v>
      </c>
      <c r="H204" s="42"/>
      <c r="I204" s="34">
        <f>8700.12+707.82</f>
        <v>9407.94</v>
      </c>
      <c r="J204" s="42"/>
      <c r="K204" s="34">
        <f>1787.21+785.5</f>
        <v>2572.71</v>
      </c>
      <c r="L204" s="42"/>
      <c r="M204" s="34">
        <f>1424.78+517.77</f>
        <v>1942.55</v>
      </c>
      <c r="O204" s="34">
        <f>1825.34+390.1</f>
        <v>2215.44</v>
      </c>
      <c r="Q204" s="34">
        <f>69.14+211.18</f>
        <v>280.32</v>
      </c>
      <c r="R204" s="34"/>
    </row>
    <row r="205" spans="1:19" x14ac:dyDescent="0.4">
      <c r="A205" s="33"/>
      <c r="B205" s="33"/>
      <c r="C205" s="33"/>
      <c r="D205" s="33"/>
      <c r="E205" s="33"/>
      <c r="F205" s="33"/>
      <c r="G205" s="33" t="s">
        <v>153</v>
      </c>
      <c r="H205" s="42"/>
      <c r="I205" s="34">
        <f>24605.77+2423.25</f>
        <v>27029.02</v>
      </c>
      <c r="J205" s="42"/>
      <c r="K205" s="34">
        <f>28844.24+2835.74</f>
        <v>31679.980000000003</v>
      </c>
      <c r="L205" s="42"/>
      <c r="M205" s="34">
        <f>35229.12+3291.03</f>
        <v>38520.15</v>
      </c>
      <c r="O205" s="34">
        <f>36149.06+3562.06</f>
        <v>39711.119999999995</v>
      </c>
      <c r="Q205" s="34">
        <f>37729.17+3730.47</f>
        <v>41459.64</v>
      </c>
      <c r="R205" s="34"/>
    </row>
    <row r="206" spans="1:19" x14ac:dyDescent="0.4">
      <c r="A206" s="33"/>
      <c r="B206" s="33"/>
      <c r="C206" s="33"/>
      <c r="D206" s="33"/>
      <c r="E206" s="33"/>
      <c r="F206" s="33"/>
      <c r="G206" s="33" t="s">
        <v>154</v>
      </c>
      <c r="H206" s="42"/>
      <c r="I206" s="34">
        <v>23369.39</v>
      </c>
      <c r="J206" s="42"/>
      <c r="K206" s="34">
        <v>22084.94</v>
      </c>
      <c r="L206" s="42"/>
      <c r="M206" s="34">
        <f>24154.75+6343.08</f>
        <v>30497.83</v>
      </c>
      <c r="O206" s="34">
        <f>28890.21+7517.29</f>
        <v>36407.5</v>
      </c>
      <c r="Q206" s="34">
        <f>21753.34+6893.76</f>
        <v>28647.1</v>
      </c>
      <c r="R206" s="34"/>
    </row>
    <row r="207" spans="1:19" x14ac:dyDescent="0.4">
      <c r="A207" s="33"/>
      <c r="B207" s="33"/>
      <c r="C207" s="33"/>
      <c r="D207" s="33"/>
      <c r="E207" s="33"/>
      <c r="F207" s="33"/>
      <c r="G207" s="33" t="s">
        <v>155</v>
      </c>
      <c r="H207" s="42"/>
      <c r="I207" s="34">
        <f>184+83.73</f>
        <v>267.73</v>
      </c>
      <c r="J207" s="42"/>
      <c r="K207" s="34">
        <f>200+21.3</f>
        <v>221.3</v>
      </c>
      <c r="L207" s="42"/>
      <c r="M207" s="34">
        <f>107.55+40.3</f>
        <v>147.85</v>
      </c>
      <c r="O207" s="34">
        <f>47+3.18</f>
        <v>50.18</v>
      </c>
      <c r="Q207" s="34">
        <v>110</v>
      </c>
      <c r="R207" s="34"/>
    </row>
    <row r="208" spans="1:19" x14ac:dyDescent="0.4">
      <c r="A208" s="33"/>
      <c r="B208" s="33"/>
      <c r="C208" s="33"/>
      <c r="D208" s="33"/>
      <c r="E208" s="33"/>
      <c r="F208" s="33"/>
      <c r="G208" s="33" t="s">
        <v>156</v>
      </c>
      <c r="H208" s="42"/>
      <c r="I208" s="34">
        <v>41356.15</v>
      </c>
      <c r="J208" s="42"/>
      <c r="K208" s="34">
        <v>38564.26</v>
      </c>
      <c r="L208" s="42"/>
      <c r="M208" s="34">
        <v>43116.42</v>
      </c>
      <c r="O208" s="34">
        <v>43625.47</v>
      </c>
      <c r="Q208" s="34">
        <v>55221.95</v>
      </c>
      <c r="R208" s="34"/>
    </row>
    <row r="209" spans="1:18" x14ac:dyDescent="0.4">
      <c r="A209" s="33"/>
      <c r="B209" s="33"/>
      <c r="C209" s="33"/>
      <c r="D209" s="33"/>
      <c r="E209" s="33"/>
      <c r="F209" s="33"/>
      <c r="G209" s="33" t="s">
        <v>157</v>
      </c>
      <c r="H209" s="42"/>
      <c r="I209" s="34"/>
      <c r="J209" s="42"/>
      <c r="K209" s="34"/>
      <c r="L209" s="42"/>
      <c r="M209" s="34"/>
      <c r="O209" s="34">
        <f>690+65</f>
        <v>755</v>
      </c>
      <c r="Q209" s="34">
        <v>585</v>
      </c>
      <c r="R209" s="34"/>
    </row>
    <row r="210" spans="1:18" x14ac:dyDescent="0.4">
      <c r="A210" s="33"/>
      <c r="B210" s="33"/>
      <c r="C210" s="33"/>
      <c r="D210" s="33"/>
      <c r="E210" s="33"/>
      <c r="F210" s="33"/>
      <c r="G210" s="33" t="s">
        <v>158</v>
      </c>
      <c r="H210" s="42"/>
      <c r="I210" s="34">
        <f>555.97+42.58</f>
        <v>598.55000000000007</v>
      </c>
      <c r="J210" s="42"/>
      <c r="K210" s="34">
        <f>303.94+30.06</f>
        <v>334</v>
      </c>
      <c r="L210" s="42"/>
      <c r="M210" s="34">
        <f>909.09+89.91</f>
        <v>999</v>
      </c>
      <c r="O210" s="34">
        <f>-226.91+133.19</f>
        <v>-93.72</v>
      </c>
      <c r="Q210" s="34"/>
      <c r="R210" s="34"/>
    </row>
    <row r="211" spans="1:18" x14ac:dyDescent="0.4">
      <c r="A211" s="33"/>
      <c r="B211" s="33"/>
      <c r="C211" s="33"/>
      <c r="D211" s="33"/>
      <c r="E211" s="33"/>
      <c r="F211" s="33"/>
      <c r="G211" s="33" t="s">
        <v>159</v>
      </c>
      <c r="H211" s="42"/>
      <c r="I211" s="34">
        <f>39098.99+4462.06</f>
        <v>43561.049999999996</v>
      </c>
      <c r="J211" s="42"/>
      <c r="K211" s="34">
        <f>40340.29+3961.17</f>
        <v>44301.46</v>
      </c>
      <c r="L211" s="42"/>
      <c r="M211" s="34">
        <f>41463.03+4059.91</f>
        <v>45522.94</v>
      </c>
      <c r="O211" s="34">
        <f>46167.04+4566.04</f>
        <v>50733.08</v>
      </c>
      <c r="Q211" s="34">
        <f>39729.64+4032.23</f>
        <v>43761.87</v>
      </c>
      <c r="R211" s="34"/>
    </row>
    <row r="212" spans="1:18" x14ac:dyDescent="0.4">
      <c r="A212" s="33"/>
      <c r="B212" s="33"/>
      <c r="C212" s="33"/>
      <c r="D212" s="33"/>
      <c r="E212" s="33"/>
      <c r="F212" s="33"/>
      <c r="G212" s="33" t="s">
        <v>160</v>
      </c>
      <c r="H212" s="42"/>
      <c r="I212" s="34">
        <v>8357.1</v>
      </c>
      <c r="J212" s="42"/>
      <c r="K212" s="34">
        <v>7376.49</v>
      </c>
      <c r="L212" s="42"/>
      <c r="M212" s="34">
        <v>8070.77</v>
      </c>
      <c r="O212" s="34">
        <v>8168.29</v>
      </c>
      <c r="Q212" s="34">
        <v>6747.83</v>
      </c>
      <c r="R212" s="34"/>
    </row>
    <row r="213" spans="1:18" ht="15" thickBot="1" x14ac:dyDescent="0.45">
      <c r="A213" s="33"/>
      <c r="B213" s="33"/>
      <c r="C213" s="33"/>
      <c r="D213" s="33"/>
      <c r="E213" s="33"/>
      <c r="F213" s="33"/>
      <c r="G213" s="33" t="s">
        <v>161</v>
      </c>
      <c r="H213" s="42"/>
      <c r="I213" s="35">
        <f>201.93+7105.94+34.92</f>
        <v>7342.79</v>
      </c>
      <c r="J213" s="42"/>
      <c r="K213" s="35">
        <v>6563.52</v>
      </c>
      <c r="L213" s="42"/>
      <c r="M213" s="35">
        <f>832.89+105.28</f>
        <v>938.17</v>
      </c>
      <c r="O213" s="35">
        <v>25.28</v>
      </c>
      <c r="Q213" s="35">
        <v>482.63</v>
      </c>
      <c r="R213" s="34"/>
    </row>
    <row r="214" spans="1:18" x14ac:dyDescent="0.4">
      <c r="A214" s="33"/>
      <c r="B214" s="33"/>
      <c r="C214" s="33"/>
      <c r="D214" s="33"/>
      <c r="E214" s="33"/>
      <c r="F214" s="33" t="s">
        <v>162</v>
      </c>
      <c r="G214" s="33"/>
      <c r="H214" s="42"/>
      <c r="I214" s="34">
        <f>ROUND(SUM(I201:I213),5)</f>
        <v>161289.72</v>
      </c>
      <c r="J214" s="42"/>
      <c r="K214" s="34">
        <f>ROUND(SUM(K201:K213),5)</f>
        <v>154382.1</v>
      </c>
      <c r="L214" s="42"/>
      <c r="M214" s="34">
        <f>ROUND(SUM(M201:M213),5)</f>
        <v>170794.47</v>
      </c>
      <c r="O214" s="34">
        <f>ROUND(SUM(O201:O213),5)</f>
        <v>181597.64</v>
      </c>
      <c r="Q214" s="34">
        <f>ROUND(SUM(Q201:Q213),5)</f>
        <v>177296.34</v>
      </c>
      <c r="R214" s="34"/>
    </row>
    <row r="215" spans="1:18" x14ac:dyDescent="0.4">
      <c r="A215" s="33"/>
      <c r="B215" s="33"/>
      <c r="C215" s="33"/>
      <c r="D215" s="33"/>
      <c r="E215" s="33"/>
      <c r="F215" s="33" t="s">
        <v>163</v>
      </c>
      <c r="G215" s="33"/>
      <c r="H215" s="42"/>
      <c r="I215" s="34"/>
      <c r="J215" s="42"/>
      <c r="K215" s="34"/>
      <c r="L215" s="42"/>
      <c r="M215" s="34"/>
      <c r="O215" s="34"/>
      <c r="Q215" s="34"/>
      <c r="R215" s="34"/>
    </row>
    <row r="216" spans="1:18" x14ac:dyDescent="0.4">
      <c r="A216" s="33"/>
      <c r="B216" s="33"/>
      <c r="C216" s="33"/>
      <c r="D216" s="33"/>
      <c r="E216" s="33"/>
      <c r="F216" s="33"/>
      <c r="G216" s="33" t="s">
        <v>164</v>
      </c>
      <c r="H216" s="42"/>
      <c r="I216" s="34">
        <f>4313.15+1981.75</f>
        <v>6294.9</v>
      </c>
      <c r="J216" s="42"/>
      <c r="K216" s="34">
        <f>7819.97+2050.2</f>
        <v>9870.17</v>
      </c>
      <c r="L216" s="42"/>
      <c r="M216" s="34">
        <f>7442.18+2371.53</f>
        <v>9813.7100000000009</v>
      </c>
      <c r="O216" s="34">
        <f>6687.45+2414.75</f>
        <v>9102.2000000000007</v>
      </c>
      <c r="Q216" s="34">
        <f>6692.25+2414.75</f>
        <v>9107</v>
      </c>
      <c r="R216" s="34"/>
    </row>
    <row r="217" spans="1:18" x14ac:dyDescent="0.4">
      <c r="A217" s="33"/>
      <c r="B217" s="33"/>
      <c r="C217" s="33"/>
      <c r="D217" s="33"/>
      <c r="E217" s="33"/>
      <c r="F217" s="33"/>
      <c r="G217" s="33" t="s">
        <v>165</v>
      </c>
      <c r="H217" s="42"/>
      <c r="I217" s="34">
        <f>7039.44+71176.56</f>
        <v>78216</v>
      </c>
      <c r="J217" s="42"/>
      <c r="K217" s="34">
        <f>60701.6+1058.4</f>
        <v>61760</v>
      </c>
      <c r="L217" s="42"/>
      <c r="M217" s="34">
        <f>72659+2241</f>
        <v>74900</v>
      </c>
      <c r="O217" s="34">
        <f>73332.75+992.25</f>
        <v>74325</v>
      </c>
      <c r="Q217" s="34">
        <f>71424.25+1275.75</f>
        <v>72700</v>
      </c>
      <c r="R217" s="34"/>
    </row>
    <row r="218" spans="1:18" x14ac:dyDescent="0.4">
      <c r="A218" s="33"/>
      <c r="B218" s="33"/>
      <c r="C218" s="33"/>
      <c r="D218" s="33"/>
      <c r="E218" s="33"/>
      <c r="F218" s="33"/>
      <c r="G218" s="33" t="s">
        <v>166</v>
      </c>
      <c r="H218" s="42"/>
      <c r="I218" s="34">
        <f>6006+571.5</f>
        <v>6577.5</v>
      </c>
      <c r="J218" s="42"/>
      <c r="K218" s="34">
        <f>5016.38+496.12</f>
        <v>5512.5</v>
      </c>
      <c r="L218" s="42"/>
      <c r="M218" s="34">
        <f>36900.65+2587.2</f>
        <v>39487.85</v>
      </c>
      <c r="O218" s="34">
        <f>66723.08+6537.74</f>
        <v>73260.820000000007</v>
      </c>
      <c r="Q218" s="34">
        <f>35221.77+2583.63</f>
        <v>37805.399999999994</v>
      </c>
      <c r="R218" s="34"/>
    </row>
    <row r="219" spans="1:18" x14ac:dyDescent="0.4">
      <c r="A219" s="33"/>
      <c r="B219" s="33"/>
      <c r="C219" s="33"/>
      <c r="D219" s="33"/>
      <c r="E219" s="33"/>
      <c r="F219" s="33"/>
      <c r="G219" s="33" t="s">
        <v>167</v>
      </c>
      <c r="H219" s="42"/>
      <c r="I219" s="34">
        <v>4176.72</v>
      </c>
      <c r="J219" s="42"/>
      <c r="K219" s="34">
        <v>0</v>
      </c>
      <c r="L219" s="42"/>
      <c r="M219" s="34">
        <v>0</v>
      </c>
      <c r="O219" s="34"/>
      <c r="Q219" s="34"/>
      <c r="R219" s="34"/>
    </row>
    <row r="220" spans="1:18" x14ac:dyDescent="0.4">
      <c r="A220" s="33"/>
      <c r="B220" s="33"/>
      <c r="C220" s="33"/>
      <c r="D220" s="33"/>
      <c r="E220" s="33"/>
      <c r="F220" s="33"/>
      <c r="G220" s="33" t="s">
        <v>168</v>
      </c>
      <c r="H220" s="42"/>
      <c r="I220" s="34">
        <v>57548.25</v>
      </c>
      <c r="J220" s="42"/>
      <c r="K220" s="34">
        <v>79631.5</v>
      </c>
      <c r="L220" s="42"/>
      <c r="M220" s="34">
        <v>72619.5</v>
      </c>
      <c r="O220" s="34">
        <v>50654.25</v>
      </c>
      <c r="Q220" s="34">
        <f>48778.39+5172.86</f>
        <v>53951.25</v>
      </c>
      <c r="R220" s="34"/>
    </row>
    <row r="221" spans="1:18" ht="15" thickBot="1" x14ac:dyDescent="0.45">
      <c r="A221" s="33"/>
      <c r="B221" s="33"/>
      <c r="C221" s="33"/>
      <c r="D221" s="33"/>
      <c r="E221" s="33"/>
      <c r="F221" s="33"/>
      <c r="G221" s="33" t="s">
        <v>169</v>
      </c>
      <c r="H221" s="42"/>
      <c r="I221" s="35"/>
      <c r="J221" s="42"/>
      <c r="K221" s="35"/>
      <c r="L221" s="42"/>
      <c r="M221" s="35"/>
      <c r="O221" s="35">
        <v>-619.27</v>
      </c>
      <c r="Q221" s="35">
        <v>-189.67</v>
      </c>
      <c r="R221" s="34"/>
    </row>
    <row r="222" spans="1:18" x14ac:dyDescent="0.4">
      <c r="A222" s="33"/>
      <c r="B222" s="33"/>
      <c r="C222" s="33"/>
      <c r="D222" s="33"/>
      <c r="E222" s="33"/>
      <c r="F222" s="33" t="s">
        <v>170</v>
      </c>
      <c r="G222" s="33"/>
      <c r="H222" s="42"/>
      <c r="I222" s="34">
        <f>ROUND(SUM(I215:I221),5)</f>
        <v>152813.37</v>
      </c>
      <c r="J222" s="42"/>
      <c r="K222" s="34">
        <f>ROUND(SUM(K215:K221),5)</f>
        <v>156774.17000000001</v>
      </c>
      <c r="L222" s="42"/>
      <c r="M222" s="34">
        <f>ROUND(SUM(M215:M221),5)</f>
        <v>196821.06</v>
      </c>
      <c r="O222" s="34">
        <f>ROUND(SUM(O215:O221),5)</f>
        <v>206723</v>
      </c>
      <c r="Q222" s="34">
        <f>ROUND(SUM(Q215:Q221),5)</f>
        <v>173373.98</v>
      </c>
      <c r="R222" s="34"/>
    </row>
    <row r="223" spans="1:18" x14ac:dyDescent="0.4">
      <c r="A223" s="33"/>
      <c r="B223" s="33"/>
      <c r="C223" s="33"/>
      <c r="D223" s="33"/>
      <c r="E223" s="33"/>
      <c r="F223" s="33" t="s">
        <v>171</v>
      </c>
      <c r="G223" s="33"/>
      <c r="H223" s="42"/>
      <c r="I223" s="34"/>
      <c r="J223" s="42"/>
      <c r="K223" s="34"/>
      <c r="L223" s="42"/>
      <c r="M223" s="34"/>
      <c r="O223" s="34"/>
      <c r="Q223" s="34"/>
      <c r="R223" s="34"/>
    </row>
    <row r="224" spans="1:18" x14ac:dyDescent="0.4">
      <c r="A224" s="33"/>
      <c r="B224" s="33"/>
      <c r="C224" s="33"/>
      <c r="D224" s="33"/>
      <c r="E224" s="33"/>
      <c r="F224" s="33"/>
      <c r="G224" s="33" t="s">
        <v>172</v>
      </c>
      <c r="H224" s="42"/>
      <c r="I224" s="34">
        <f>46787.42+4627.33</f>
        <v>51414.75</v>
      </c>
      <c r="J224" s="42"/>
      <c r="K224" s="34">
        <f>3022.08+44535.86</f>
        <v>47557.94</v>
      </c>
      <c r="L224" s="42"/>
      <c r="M224" s="34">
        <f>54199.37+5360.37</f>
        <v>59559.740000000005</v>
      </c>
      <c r="O224" s="34">
        <f>44441.67+4395.33</f>
        <v>48837</v>
      </c>
      <c r="Q224" s="34">
        <f>89270.34+8828.93</f>
        <v>98099.26999999999</v>
      </c>
      <c r="R224" s="34"/>
    </row>
    <row r="225" spans="1:18" x14ac:dyDescent="0.4">
      <c r="A225" s="33"/>
      <c r="B225" s="33"/>
      <c r="C225" s="33"/>
      <c r="D225" s="33"/>
      <c r="E225" s="33"/>
      <c r="F225" s="33"/>
      <c r="G225" s="33" t="s">
        <v>173</v>
      </c>
      <c r="H225" s="42"/>
      <c r="I225" s="34"/>
      <c r="J225" s="42"/>
      <c r="K225" s="34"/>
      <c r="L225" s="42"/>
      <c r="M225" s="34"/>
      <c r="O225" s="34"/>
      <c r="Q225" s="34">
        <f>16705.07+1652.15</f>
        <v>18357.22</v>
      </c>
      <c r="R225" s="34"/>
    </row>
    <row r="226" spans="1:18" x14ac:dyDescent="0.4">
      <c r="A226" s="33"/>
      <c r="B226" s="33"/>
      <c r="C226" s="33"/>
      <c r="D226" s="33"/>
      <c r="E226" s="33"/>
      <c r="F226" s="33"/>
      <c r="G226" s="33" t="s">
        <v>174</v>
      </c>
      <c r="H226" s="42"/>
      <c r="I226" s="34">
        <f>13776.67+1239.9</f>
        <v>15016.57</v>
      </c>
      <c r="J226" s="42"/>
      <c r="K226" s="34">
        <f>4176+413.01</f>
        <v>4589.01</v>
      </c>
      <c r="L226" s="42"/>
      <c r="M226" s="34">
        <f>59552.47+5795.91</f>
        <v>65348.380000000005</v>
      </c>
      <c r="O226" s="34"/>
      <c r="Q226" s="34">
        <f>71593.3+7080.66</f>
        <v>78673.960000000006</v>
      </c>
      <c r="R226" s="34"/>
    </row>
    <row r="227" spans="1:18" x14ac:dyDescent="0.4">
      <c r="A227" s="33"/>
      <c r="B227" s="33"/>
      <c r="C227" s="33"/>
      <c r="D227" s="33"/>
      <c r="E227" s="33"/>
      <c r="F227" s="33"/>
      <c r="G227" s="33" t="s">
        <v>175</v>
      </c>
      <c r="H227" s="42"/>
      <c r="I227" s="34">
        <v>3005.17</v>
      </c>
      <c r="J227" s="42"/>
      <c r="K227" s="34">
        <v>3337.87</v>
      </c>
      <c r="L227" s="42"/>
      <c r="M227" s="34">
        <v>3709.83</v>
      </c>
      <c r="O227" s="34">
        <v>4121.1499999999996</v>
      </c>
      <c r="Q227" s="34">
        <v>4567.66</v>
      </c>
      <c r="R227" s="34"/>
    </row>
    <row r="228" spans="1:18" x14ac:dyDescent="0.4">
      <c r="A228" s="33"/>
      <c r="B228" s="33"/>
      <c r="C228" s="33"/>
      <c r="D228" s="33"/>
      <c r="E228" s="33"/>
      <c r="F228" s="33"/>
      <c r="G228" s="33" t="s">
        <v>176</v>
      </c>
      <c r="H228" s="42"/>
      <c r="I228" s="34">
        <f>4816+476.31</f>
        <v>5292.31</v>
      </c>
      <c r="J228" s="42"/>
      <c r="K228" s="34">
        <f>5559.04+549.8</f>
        <v>6108.84</v>
      </c>
      <c r="L228" s="42"/>
      <c r="M228" s="34">
        <f>10138.8+1002.74</f>
        <v>11141.539999999999</v>
      </c>
      <c r="O228" s="34">
        <f>7689.12+760.46</f>
        <v>8449.58</v>
      </c>
      <c r="Q228" s="34">
        <f>50115.37+4956.47</f>
        <v>55071.840000000004</v>
      </c>
      <c r="R228" s="34"/>
    </row>
    <row r="229" spans="1:18" x14ac:dyDescent="0.4">
      <c r="A229" s="33"/>
      <c r="B229" s="33"/>
      <c r="C229" s="33"/>
      <c r="D229" s="33"/>
      <c r="E229" s="33"/>
      <c r="F229" s="33"/>
      <c r="G229" s="33" t="s">
        <v>177</v>
      </c>
      <c r="H229" s="42"/>
      <c r="I229" s="34">
        <f>29329.76+2900.74</f>
        <v>32230.5</v>
      </c>
      <c r="J229" s="42"/>
      <c r="K229" s="34">
        <f>20155.75+1528.74</f>
        <v>21684.49</v>
      </c>
      <c r="L229" s="42"/>
      <c r="M229" s="34">
        <f>12183.54+1204.97</f>
        <v>13388.51</v>
      </c>
      <c r="O229" s="34">
        <f>7103.07+787.05</f>
        <v>7890.12</v>
      </c>
      <c r="Q229" s="34">
        <f>12774.88+1263.45</f>
        <v>14038.33</v>
      </c>
      <c r="R229" s="34"/>
    </row>
    <row r="230" spans="1:18" x14ac:dyDescent="0.4">
      <c r="A230" s="33"/>
      <c r="B230" s="33"/>
      <c r="C230" s="33"/>
      <c r="D230" s="33"/>
      <c r="E230" s="33"/>
      <c r="F230" s="33"/>
      <c r="G230" s="33" t="s">
        <v>178</v>
      </c>
      <c r="H230" s="42"/>
      <c r="I230" s="34"/>
      <c r="J230" s="42"/>
      <c r="K230" s="34"/>
      <c r="L230" s="42"/>
      <c r="M230" s="34"/>
      <c r="O230" s="34">
        <v>3137</v>
      </c>
      <c r="Q230" s="34">
        <f>2564.63+253.64</f>
        <v>2818.27</v>
      </c>
      <c r="R230" s="34"/>
    </row>
    <row r="231" spans="1:18" x14ac:dyDescent="0.4">
      <c r="A231" s="33"/>
      <c r="B231" s="33"/>
      <c r="C231" s="33"/>
      <c r="D231" s="33"/>
      <c r="E231" s="33"/>
      <c r="F231" s="33"/>
      <c r="G231" s="33" t="s">
        <v>179</v>
      </c>
      <c r="H231" s="42"/>
      <c r="I231" s="34">
        <f>13522.82+1337.42</f>
        <v>14860.24</v>
      </c>
      <c r="J231" s="42"/>
      <c r="K231" s="34">
        <f>3552.56+351.35</f>
        <v>3903.91</v>
      </c>
      <c r="L231" s="42"/>
      <c r="M231" s="34">
        <v>0</v>
      </c>
      <c r="O231" s="34"/>
      <c r="Q231" s="34"/>
      <c r="R231" s="34"/>
    </row>
    <row r="232" spans="1:18" ht="15" thickBot="1" x14ac:dyDescent="0.45">
      <c r="A232" s="33"/>
      <c r="B232" s="33"/>
      <c r="C232" s="33"/>
      <c r="D232" s="33"/>
      <c r="E232" s="33"/>
      <c r="F232" s="33"/>
      <c r="G232" s="33" t="s">
        <v>180</v>
      </c>
      <c r="H232" s="42"/>
      <c r="I232" s="35">
        <v>-1239.9000000000001</v>
      </c>
      <c r="J232" s="42"/>
      <c r="K232" s="35">
        <v>0</v>
      </c>
      <c r="L232" s="42"/>
      <c r="M232" s="35"/>
      <c r="O232" s="35"/>
      <c r="Q232" s="35"/>
      <c r="R232" s="34"/>
    </row>
    <row r="233" spans="1:18" x14ac:dyDescent="0.4">
      <c r="A233" s="33"/>
      <c r="B233" s="33"/>
      <c r="C233" s="33"/>
      <c r="D233" s="33"/>
      <c r="E233" s="33"/>
      <c r="F233" s="33" t="s">
        <v>181</v>
      </c>
      <c r="G233" s="33"/>
      <c r="H233" s="42"/>
      <c r="I233" s="34">
        <f>ROUND(SUM(I223:I232),5)</f>
        <v>120579.64</v>
      </c>
      <c r="J233" s="42"/>
      <c r="K233" s="34">
        <f>ROUND(SUM(K223:K232),5)</f>
        <v>87182.06</v>
      </c>
      <c r="L233" s="42"/>
      <c r="M233" s="34">
        <f>ROUND(SUM(M223:M232),5)</f>
        <v>153148</v>
      </c>
      <c r="O233" s="34">
        <f>ROUND(SUM(O223:O232),5)</f>
        <v>72434.850000000006</v>
      </c>
      <c r="Q233" s="34">
        <f>ROUND(SUM(Q223:Q232),5)</f>
        <v>271626.55</v>
      </c>
      <c r="R233" s="34"/>
    </row>
    <row r="234" spans="1:18" x14ac:dyDescent="0.4">
      <c r="A234" s="33"/>
      <c r="B234" s="33"/>
      <c r="C234" s="33"/>
      <c r="D234" s="33"/>
      <c r="E234" s="33"/>
      <c r="F234" s="33" t="s">
        <v>182</v>
      </c>
      <c r="G234" s="33"/>
      <c r="H234" s="42"/>
      <c r="I234" s="34">
        <f>202968.58+11397.22</f>
        <v>214365.8</v>
      </c>
      <c r="J234" s="42"/>
      <c r="K234" s="34">
        <f>232295.13+14676.55</f>
        <v>246971.68</v>
      </c>
      <c r="L234" s="42"/>
      <c r="M234" s="34">
        <f>240735.69+12763.02</f>
        <v>253498.71</v>
      </c>
      <c r="O234" s="34">
        <f>250056.03+10305.08</f>
        <v>260361.11</v>
      </c>
      <c r="Q234" s="34">
        <f>275718.33+13510.28</f>
        <v>289228.61000000004</v>
      </c>
      <c r="R234" s="34"/>
    </row>
    <row r="235" spans="1:18" x14ac:dyDescent="0.4">
      <c r="A235" s="33"/>
      <c r="B235" s="33"/>
      <c r="C235" s="33"/>
      <c r="D235" s="33"/>
      <c r="E235" s="33"/>
      <c r="F235" s="33" t="s">
        <v>183</v>
      </c>
      <c r="G235" s="33"/>
      <c r="H235" s="42"/>
      <c r="I235" s="34"/>
      <c r="J235" s="42"/>
      <c r="K235" s="34"/>
      <c r="L235" s="42"/>
      <c r="M235" s="34"/>
      <c r="O235" s="34"/>
      <c r="Q235" s="34">
        <f>2700.45+113.33</f>
        <v>2813.7799999999997</v>
      </c>
      <c r="R235" s="34"/>
    </row>
    <row r="236" spans="1:18" x14ac:dyDescent="0.4">
      <c r="A236" s="33"/>
      <c r="B236" s="33"/>
      <c r="C236" s="33"/>
      <c r="D236" s="33"/>
      <c r="E236" s="33"/>
      <c r="F236" s="33"/>
      <c r="G236" s="33" t="s">
        <v>184</v>
      </c>
      <c r="H236" s="42"/>
      <c r="I236" s="34">
        <v>0</v>
      </c>
      <c r="J236" s="42"/>
      <c r="K236" s="34">
        <v>0</v>
      </c>
      <c r="L236" s="42"/>
      <c r="M236" s="34">
        <v>0</v>
      </c>
      <c r="O236" s="34">
        <v>-2059.91</v>
      </c>
      <c r="Q236" s="34"/>
      <c r="R236" s="34"/>
    </row>
    <row r="237" spans="1:18" ht="15" thickBot="1" x14ac:dyDescent="0.45">
      <c r="A237" s="33"/>
      <c r="B237" s="33"/>
      <c r="C237" s="33"/>
      <c r="D237" s="33"/>
      <c r="E237" s="33"/>
      <c r="F237" s="33"/>
      <c r="G237" s="33" t="s">
        <v>185</v>
      </c>
      <c r="H237" s="42"/>
      <c r="I237" s="35">
        <v>915.59</v>
      </c>
      <c r="J237" s="42"/>
      <c r="K237" s="35">
        <v>2615.1</v>
      </c>
      <c r="L237" s="42"/>
      <c r="M237" s="35">
        <f>2832.96+181.91</f>
        <v>3014.87</v>
      </c>
      <c r="O237" s="35">
        <f>-684.43+116</f>
        <v>-568.42999999999995</v>
      </c>
      <c r="Q237" s="35"/>
      <c r="R237" s="34"/>
    </row>
    <row r="238" spans="1:18" x14ac:dyDescent="0.4">
      <c r="A238" s="33"/>
      <c r="B238" s="33"/>
      <c r="C238" s="33"/>
      <c r="D238" s="33"/>
      <c r="E238" s="33"/>
      <c r="F238" s="33" t="s">
        <v>186</v>
      </c>
      <c r="G238" s="33"/>
      <c r="H238" s="42"/>
      <c r="I238" s="34">
        <f>ROUND(SUM(I235:I237),5)</f>
        <v>915.59</v>
      </c>
      <c r="J238" s="42"/>
      <c r="K238" s="34">
        <f>ROUND(SUM(K235:K237),5)</f>
        <v>2615.1</v>
      </c>
      <c r="L238" s="42"/>
      <c r="M238" s="34">
        <f>ROUND(SUM(M235:M237),5)</f>
        <v>3014.87</v>
      </c>
      <c r="O238" s="34">
        <f>ROUND(SUM(O235:O237),5)</f>
        <v>-2628.34</v>
      </c>
      <c r="Q238" s="34">
        <f>ROUND(SUM(Q235:Q237),5)</f>
        <v>2813.78</v>
      </c>
      <c r="R238" s="34"/>
    </row>
    <row r="239" spans="1:18" x14ac:dyDescent="0.4">
      <c r="A239" s="33"/>
      <c r="B239" s="33"/>
      <c r="C239" s="33"/>
      <c r="D239" s="33"/>
      <c r="E239" s="33"/>
      <c r="F239" s="33" t="s">
        <v>187</v>
      </c>
      <c r="G239" s="33"/>
      <c r="H239" s="42"/>
      <c r="I239" s="34">
        <f>32760+3240+2443.65</f>
        <v>38443.65</v>
      </c>
      <c r="J239" s="42"/>
      <c r="K239" s="34">
        <f>32760+3240+2533.31</f>
        <v>38533.31</v>
      </c>
      <c r="L239" s="42"/>
      <c r="M239" s="34">
        <f>38083.5+2689.06+3766.5</f>
        <v>44539.06</v>
      </c>
      <c r="O239" s="34">
        <f>37984.5+3142.09+3726</f>
        <v>44852.59</v>
      </c>
      <c r="Q239" s="34">
        <f>38274+2398.94+3726</f>
        <v>44398.94</v>
      </c>
      <c r="R239" s="34"/>
    </row>
    <row r="240" spans="1:18" ht="15" thickBot="1" x14ac:dyDescent="0.45">
      <c r="A240" s="33"/>
      <c r="B240" s="33"/>
      <c r="C240" s="33"/>
      <c r="D240" s="33"/>
      <c r="E240" s="33"/>
      <c r="F240" s="33" t="s">
        <v>188</v>
      </c>
      <c r="G240" s="33"/>
      <c r="H240" s="42"/>
      <c r="I240" s="35">
        <v>0</v>
      </c>
      <c r="J240" s="42"/>
      <c r="K240" s="35">
        <v>0</v>
      </c>
      <c r="L240" s="42"/>
      <c r="M240" s="34">
        <v>34.21</v>
      </c>
      <c r="O240" s="35">
        <v>-2070.0700000000002</v>
      </c>
      <c r="Q240" s="35"/>
      <c r="R240" s="34"/>
    </row>
    <row r="241" spans="1:19" x14ac:dyDescent="0.4">
      <c r="A241" s="33"/>
      <c r="B241" s="33"/>
      <c r="C241" s="33"/>
      <c r="D241" s="33"/>
      <c r="E241" s="33" t="s">
        <v>189</v>
      </c>
      <c r="F241" s="33"/>
      <c r="G241" s="33"/>
      <c r="H241" s="42"/>
      <c r="I241" s="34">
        <f>ROUND(I197+I200+I214+I222+SUM(I233:I234)+SUM(I238:I240),5)</f>
        <v>694350.35</v>
      </c>
      <c r="J241" s="42"/>
      <c r="K241" s="34">
        <f>ROUND(K197+K200+K214+K222+SUM(K233:K234)+SUM(K238:K240),5)</f>
        <v>693616.9</v>
      </c>
      <c r="L241" s="42"/>
      <c r="M241" s="44">
        <f>ROUND(M197+M200+M214+M222+SUM(M233:M234)+SUM(M238:M240),5)</f>
        <v>827978.57</v>
      </c>
      <c r="O241" s="34">
        <f>ROUND(O197+O200+O214+O222+SUM(O233:O234)+SUM(O238:O240),5)</f>
        <v>767654.92</v>
      </c>
      <c r="Q241" s="34">
        <f>ROUND(Q197+Q200+Q214+Q222+SUM(Q233:Q234)+SUM(Q238:Q240),5)</f>
        <v>967168.47</v>
      </c>
      <c r="R241" s="34"/>
    </row>
    <row r="242" spans="1:19" ht="15" thickBot="1" x14ac:dyDescent="0.45">
      <c r="A242" s="33"/>
      <c r="B242" s="33"/>
      <c r="C242" s="33"/>
      <c r="D242" s="33"/>
      <c r="E242" s="33" t="s">
        <v>190</v>
      </c>
      <c r="F242" s="33"/>
      <c r="G242" s="33"/>
      <c r="H242" s="42"/>
      <c r="I242" s="35">
        <v>0</v>
      </c>
      <c r="J242" s="42"/>
      <c r="K242" s="35">
        <v>0</v>
      </c>
      <c r="L242" s="42"/>
      <c r="M242" s="35"/>
      <c r="O242" s="35">
        <v>9244.8700000000008</v>
      </c>
      <c r="Q242" s="35"/>
      <c r="R242" s="34"/>
    </row>
    <row r="243" spans="1:19" x14ac:dyDescent="0.4">
      <c r="A243" s="33"/>
      <c r="B243" s="33"/>
      <c r="C243" s="33"/>
      <c r="D243" s="33" t="s">
        <v>191</v>
      </c>
      <c r="E243" s="33"/>
      <c r="F243" s="33"/>
      <c r="G243" s="33"/>
      <c r="H243" s="42"/>
      <c r="I243" s="34">
        <f>ROUND(I196+SUM(I241:I242),5)</f>
        <v>694350.35</v>
      </c>
      <c r="J243" s="42"/>
      <c r="K243" s="34">
        <f>ROUND(K196+SUM(K241:K242),5)</f>
        <v>693616.9</v>
      </c>
      <c r="L243" s="42"/>
      <c r="M243" s="34" cm="1">
        <f t="array" ref="M243:M244">ROUND(M196+M241:M242,5)</f>
        <v>827978.57</v>
      </c>
      <c r="O243" s="34">
        <f>ROUND(O196+SUM(O241:O242),5)</f>
        <v>776899.79</v>
      </c>
      <c r="Q243" s="34">
        <f>ROUND(Q196+SUM(Q241:Q242),5)</f>
        <v>967168.47</v>
      </c>
      <c r="R243" s="34"/>
      <c r="S243" t="s">
        <v>192</v>
      </c>
    </row>
    <row r="244" spans="1:19" x14ac:dyDescent="0.4">
      <c r="A244" s="33"/>
      <c r="B244" s="33"/>
      <c r="C244" s="33"/>
      <c r="D244" s="33" t="s">
        <v>356</v>
      </c>
      <c r="E244" s="33"/>
      <c r="F244" s="33"/>
      <c r="G244" s="33"/>
      <c r="H244" s="42"/>
      <c r="I244" s="34"/>
      <c r="J244" s="42"/>
      <c r="K244" s="34"/>
      <c r="L244" s="42"/>
      <c r="M244" s="34">
        <v>0</v>
      </c>
      <c r="O244" s="34"/>
      <c r="Q244" s="34"/>
      <c r="R244" s="34"/>
    </row>
    <row r="245" spans="1:19" x14ac:dyDescent="0.4">
      <c r="A245" s="33"/>
      <c r="B245" s="33"/>
      <c r="C245" s="33"/>
      <c r="D245" s="33"/>
      <c r="E245" s="33" t="s">
        <v>357</v>
      </c>
      <c r="F245" s="33"/>
      <c r="G245" s="33"/>
      <c r="H245" s="42"/>
      <c r="I245" s="34">
        <f>344.07+117.66</f>
        <v>461.73</v>
      </c>
      <c r="J245" s="42"/>
      <c r="K245" s="34">
        <f>41.67+56.36</f>
        <v>98.03</v>
      </c>
      <c r="L245" s="42"/>
      <c r="M245" s="34">
        <v>0</v>
      </c>
      <c r="O245" s="34"/>
      <c r="Q245" s="34">
        <f>200.37+62.42</f>
        <v>262.79000000000002</v>
      </c>
      <c r="R245" s="34"/>
      <c r="S245" t="s">
        <v>333</v>
      </c>
    </row>
    <row r="246" spans="1:19" x14ac:dyDescent="0.4">
      <c r="A246" s="33"/>
      <c r="B246" s="33"/>
      <c r="C246" s="33"/>
      <c r="D246" s="33"/>
      <c r="E246" s="33" t="s">
        <v>358</v>
      </c>
      <c r="F246" s="33"/>
      <c r="G246" s="33"/>
      <c r="H246" s="42"/>
      <c r="I246" s="34"/>
      <c r="J246" s="42"/>
      <c r="K246" s="34"/>
      <c r="L246" s="42"/>
      <c r="M246" s="34"/>
      <c r="O246" s="34"/>
      <c r="Q246" s="34"/>
      <c r="R246" s="34"/>
    </row>
    <row r="247" spans="1:19" x14ac:dyDescent="0.4">
      <c r="A247" s="33"/>
      <c r="B247" s="33"/>
      <c r="C247" s="33"/>
      <c r="D247" s="33"/>
      <c r="E247" s="33"/>
      <c r="F247" s="33" t="s">
        <v>359</v>
      </c>
      <c r="G247" s="33"/>
      <c r="H247" s="42"/>
      <c r="I247" s="34">
        <v>640.11</v>
      </c>
      <c r="J247" s="42"/>
      <c r="K247" s="34">
        <v>1889.9</v>
      </c>
      <c r="L247" s="42"/>
      <c r="M247" s="34">
        <v>0</v>
      </c>
      <c r="O247" s="34">
        <v>0</v>
      </c>
      <c r="Q247" s="34">
        <v>231.5</v>
      </c>
      <c r="R247" s="34"/>
    </row>
    <row r="248" spans="1:19" x14ac:dyDescent="0.4">
      <c r="A248" s="33"/>
      <c r="B248" s="33"/>
      <c r="C248" s="33"/>
      <c r="D248" s="33"/>
      <c r="E248" s="33"/>
      <c r="F248" s="33" t="s">
        <v>360</v>
      </c>
      <c r="G248" s="33"/>
      <c r="H248" s="42"/>
      <c r="I248" s="34">
        <v>0</v>
      </c>
      <c r="J248" s="42"/>
      <c r="K248" s="34">
        <v>0</v>
      </c>
      <c r="L248" s="42"/>
      <c r="M248" s="34">
        <v>885.08</v>
      </c>
      <c r="O248" s="34"/>
      <c r="Q248" s="34"/>
      <c r="R248" s="34"/>
    </row>
    <row r="249" spans="1:19" x14ac:dyDescent="0.4">
      <c r="A249" s="33"/>
      <c r="B249" s="33"/>
      <c r="C249" s="33"/>
      <c r="D249" s="33"/>
      <c r="E249" s="33"/>
      <c r="F249" s="33" t="s">
        <v>361</v>
      </c>
      <c r="G249" s="33"/>
      <c r="H249" s="42"/>
      <c r="I249" s="34"/>
      <c r="J249" s="42"/>
      <c r="K249" s="34"/>
      <c r="L249" s="42"/>
      <c r="M249" s="34"/>
      <c r="O249" s="34"/>
      <c r="Q249" s="34"/>
      <c r="R249" s="34"/>
    </row>
    <row r="250" spans="1:19" x14ac:dyDescent="0.4">
      <c r="A250" s="33"/>
      <c r="B250" s="33"/>
      <c r="C250" s="33"/>
      <c r="D250" s="33"/>
      <c r="E250" s="33"/>
      <c r="F250" s="33"/>
      <c r="G250" s="33" t="s">
        <v>362</v>
      </c>
      <c r="H250" s="42"/>
      <c r="I250" s="34">
        <f>12309.47+1475.06</f>
        <v>13784.529999999999</v>
      </c>
      <c r="J250" s="42"/>
      <c r="K250" s="34">
        <f>10408.4+6111.04</f>
        <v>16519.439999999999</v>
      </c>
      <c r="L250" s="42"/>
      <c r="M250" s="34">
        <v>15684.78</v>
      </c>
      <c r="O250" s="34">
        <v>13613.01</v>
      </c>
      <c r="Q250" s="34">
        <v>16233.15</v>
      </c>
      <c r="R250" s="34"/>
    </row>
    <row r="251" spans="1:19" ht="15" thickBot="1" x14ac:dyDescent="0.45">
      <c r="A251" s="33"/>
      <c r="B251" s="33"/>
      <c r="C251" s="33"/>
      <c r="D251" s="33"/>
      <c r="E251" s="33"/>
      <c r="F251" s="33"/>
      <c r="G251" s="33" t="s">
        <v>363</v>
      </c>
      <c r="H251" s="42"/>
      <c r="I251" s="34">
        <v>10263</v>
      </c>
      <c r="J251" s="42"/>
      <c r="K251" s="34">
        <v>8108.66</v>
      </c>
      <c r="L251" s="42"/>
      <c r="M251" s="34">
        <v>6541.58</v>
      </c>
      <c r="O251" s="34">
        <v>6300.15</v>
      </c>
      <c r="Q251" s="35">
        <v>6049.68</v>
      </c>
      <c r="R251" s="34"/>
    </row>
    <row r="252" spans="1:19" ht="15" thickBot="1" x14ac:dyDescent="0.45">
      <c r="A252" s="33"/>
      <c r="B252" s="33"/>
      <c r="C252" s="33"/>
      <c r="D252" s="33"/>
      <c r="E252" s="33"/>
      <c r="F252" s="33" t="s">
        <v>364</v>
      </c>
      <c r="G252" s="33"/>
      <c r="H252" s="42"/>
      <c r="I252" s="53">
        <f>ROUND(SUM(I249:I251),5)</f>
        <v>24047.53</v>
      </c>
      <c r="J252" s="42"/>
      <c r="K252" s="53">
        <f>ROUND(SUM(K249:K251),5)</f>
        <v>24628.1</v>
      </c>
      <c r="L252" s="42"/>
      <c r="M252" s="53">
        <f>ROUND(SUM(M249:M251),5)</f>
        <v>22226.36</v>
      </c>
      <c r="O252" s="53">
        <f>ROUND(SUM(O249:O251),5)</f>
        <v>19913.16</v>
      </c>
      <c r="Q252" s="34">
        <f>ROUND(SUM(Q249:Q251),5)</f>
        <v>22282.83</v>
      </c>
      <c r="R252" s="34"/>
    </row>
    <row r="253" spans="1:19" ht="15" thickBot="1" x14ac:dyDescent="0.45">
      <c r="A253" s="33"/>
      <c r="B253" s="33"/>
      <c r="C253" s="33"/>
      <c r="D253" s="33"/>
      <c r="E253" s="33"/>
      <c r="F253" s="33" t="s">
        <v>365</v>
      </c>
      <c r="G253" s="33"/>
      <c r="H253" s="42"/>
      <c r="I253" s="34"/>
      <c r="J253" s="42"/>
      <c r="K253" s="34"/>
      <c r="L253" s="42"/>
      <c r="M253" s="34"/>
      <c r="O253" s="34"/>
      <c r="Q253" s="35">
        <v>176.29</v>
      </c>
      <c r="R253" s="34"/>
    </row>
    <row r="254" spans="1:19" x14ac:dyDescent="0.4">
      <c r="A254" s="33"/>
      <c r="B254" s="33"/>
      <c r="C254" s="33"/>
      <c r="D254" s="33"/>
      <c r="E254" s="33" t="s">
        <v>366</v>
      </c>
      <c r="F254" s="33"/>
      <c r="G254" s="33"/>
      <c r="H254" s="42"/>
      <c r="I254" s="34">
        <f>ROUND(SUM(I246:I248)+I252,5)</f>
        <v>24687.64</v>
      </c>
      <c r="J254" s="42"/>
      <c r="K254" s="34">
        <f>ROUND(SUM(K246:K248)+K252,5)</f>
        <v>26518</v>
      </c>
      <c r="L254" s="42"/>
      <c r="M254" s="34">
        <f>ROUND(SUM(M246:M248)+M252,5)</f>
        <v>23111.439999999999</v>
      </c>
      <c r="O254" s="34">
        <f>ROUND(SUM(O246:O247)+O252,5)</f>
        <v>19913.16</v>
      </c>
      <c r="Q254" s="34">
        <f>ROUND(SUM(Q246:Q247)+SUM(Q252:Q253),5)</f>
        <v>22690.62</v>
      </c>
      <c r="R254" s="34"/>
      <c r="S254" t="s">
        <v>333</v>
      </c>
    </row>
    <row r="255" spans="1:19" x14ac:dyDescent="0.4">
      <c r="A255" s="33"/>
      <c r="B255" s="33"/>
      <c r="C255" s="33"/>
      <c r="D255" s="33"/>
      <c r="E255" s="33" t="s">
        <v>367</v>
      </c>
      <c r="F255" s="33"/>
      <c r="G255" s="33"/>
      <c r="H255" s="42"/>
      <c r="I255" s="34">
        <v>16494</v>
      </c>
      <c r="J255" s="42"/>
      <c r="K255" s="34">
        <v>16575</v>
      </c>
      <c r="L255" s="42"/>
      <c r="M255" s="34">
        <v>16489</v>
      </c>
      <c r="O255" s="34">
        <v>15399</v>
      </c>
      <c r="Q255" s="34">
        <v>14157</v>
      </c>
      <c r="R255" s="34"/>
    </row>
    <row r="256" spans="1:19" x14ac:dyDescent="0.4">
      <c r="A256" s="33"/>
      <c r="B256" s="33"/>
      <c r="C256" s="33"/>
      <c r="D256" s="33"/>
      <c r="E256" s="33"/>
      <c r="F256" s="33" t="s">
        <v>368</v>
      </c>
      <c r="G256" s="33"/>
      <c r="H256" s="42"/>
      <c r="I256" s="34">
        <v>17104</v>
      </c>
      <c r="J256" s="42"/>
      <c r="K256" s="34">
        <v>15781</v>
      </c>
      <c r="L256" s="42"/>
      <c r="M256" s="34">
        <v>15689</v>
      </c>
      <c r="O256" s="34">
        <v>16142</v>
      </c>
      <c r="Q256" s="34">
        <v>16231</v>
      </c>
      <c r="R256" s="34"/>
    </row>
    <row r="257" spans="1:19" x14ac:dyDescent="0.4">
      <c r="A257" s="33"/>
      <c r="B257" s="33"/>
      <c r="C257" s="33"/>
      <c r="D257" s="33"/>
      <c r="E257" s="33"/>
      <c r="F257" s="33" t="s">
        <v>369</v>
      </c>
      <c r="G257" s="33"/>
      <c r="H257" s="42"/>
      <c r="I257" s="34">
        <v>26077</v>
      </c>
      <c r="J257" s="42"/>
      <c r="K257" s="34">
        <v>30964</v>
      </c>
      <c r="L257" s="42"/>
      <c r="M257" s="34">
        <v>32701</v>
      </c>
      <c r="O257" s="34">
        <v>32733</v>
      </c>
      <c r="Q257" s="34">
        <v>27927</v>
      </c>
      <c r="R257" s="34"/>
    </row>
    <row r="258" spans="1:19" x14ac:dyDescent="0.4">
      <c r="A258" s="33"/>
      <c r="B258" s="33"/>
      <c r="C258" s="33"/>
      <c r="D258" s="33"/>
      <c r="E258" s="33"/>
      <c r="F258" s="33" t="s">
        <v>370</v>
      </c>
      <c r="G258" s="33"/>
      <c r="H258" s="42"/>
      <c r="I258" s="34">
        <v>15381</v>
      </c>
      <c r="J258" s="42"/>
      <c r="K258" s="34">
        <v>15358</v>
      </c>
      <c r="L258" s="42"/>
      <c r="M258" s="34">
        <v>15390</v>
      </c>
      <c r="O258" s="34">
        <v>15358</v>
      </c>
      <c r="Q258" s="34">
        <v>15643</v>
      </c>
      <c r="R258" s="34"/>
    </row>
    <row r="259" spans="1:19" x14ac:dyDescent="0.4">
      <c r="A259" s="33"/>
      <c r="B259" s="33"/>
      <c r="C259" s="33"/>
      <c r="D259" s="33"/>
      <c r="E259" s="33"/>
      <c r="F259" s="33" t="s">
        <v>371</v>
      </c>
      <c r="G259" s="33"/>
      <c r="H259" s="42"/>
      <c r="I259" s="34">
        <v>15441</v>
      </c>
      <c r="J259" s="42"/>
      <c r="K259" s="34">
        <v>17114.810000000001</v>
      </c>
      <c r="L259" s="42"/>
      <c r="M259" s="34">
        <v>10864</v>
      </c>
      <c r="O259" s="34">
        <v>-73</v>
      </c>
      <c r="Q259" s="34">
        <v>-12728</v>
      </c>
      <c r="R259" s="34"/>
    </row>
    <row r="260" spans="1:19" x14ac:dyDescent="0.4">
      <c r="A260" s="33"/>
      <c r="B260" s="33"/>
      <c r="C260" s="33"/>
      <c r="D260" s="33"/>
      <c r="E260" s="33"/>
      <c r="F260" s="33" t="s">
        <v>372</v>
      </c>
      <c r="G260" s="33"/>
      <c r="H260" s="42"/>
      <c r="I260" s="34">
        <v>325</v>
      </c>
      <c r="J260" s="42"/>
      <c r="K260" s="34">
        <v>129</v>
      </c>
      <c r="L260" s="42"/>
      <c r="M260" s="34">
        <v>129</v>
      </c>
      <c r="O260" s="34">
        <v>116</v>
      </c>
      <c r="Q260" s="34">
        <v>116</v>
      </c>
      <c r="R260" s="34"/>
    </row>
    <row r="261" spans="1:19" x14ac:dyDescent="0.4">
      <c r="A261" s="33"/>
      <c r="B261" s="33"/>
      <c r="C261" s="33"/>
      <c r="D261" s="33"/>
      <c r="E261" s="33"/>
      <c r="F261" s="33" t="s">
        <v>373</v>
      </c>
      <c r="G261" s="33"/>
      <c r="H261" s="42"/>
      <c r="I261" s="34">
        <v>36326</v>
      </c>
      <c r="J261" s="42"/>
      <c r="K261" s="34">
        <v>32034</v>
      </c>
      <c r="L261" s="42"/>
      <c r="M261" s="34">
        <v>29183</v>
      </c>
      <c r="O261" s="34">
        <v>25679</v>
      </c>
      <c r="Q261" s="34">
        <v>-8026</v>
      </c>
      <c r="R261" s="34"/>
    </row>
    <row r="262" spans="1:19" x14ac:dyDescent="0.4">
      <c r="A262" s="33"/>
      <c r="B262" s="33"/>
      <c r="C262" s="33"/>
      <c r="D262" s="33"/>
      <c r="E262" s="33"/>
      <c r="F262" s="33" t="s">
        <v>374</v>
      </c>
      <c r="G262" s="33"/>
      <c r="H262" s="42"/>
      <c r="I262" s="34">
        <v>51307</v>
      </c>
      <c r="J262" s="42"/>
      <c r="K262" s="34">
        <v>49976</v>
      </c>
      <c r="L262" s="42"/>
      <c r="M262" s="34">
        <v>49908</v>
      </c>
      <c r="O262" s="34">
        <v>50188</v>
      </c>
      <c r="Q262" s="34">
        <v>48765</v>
      </c>
      <c r="R262" s="34"/>
    </row>
    <row r="263" spans="1:19" x14ac:dyDescent="0.4">
      <c r="A263" s="33"/>
      <c r="B263" s="33"/>
      <c r="C263" s="33"/>
      <c r="D263" s="33"/>
      <c r="E263" s="33"/>
      <c r="F263" s="33" t="s">
        <v>375</v>
      </c>
      <c r="G263" s="33"/>
      <c r="H263" s="42"/>
      <c r="I263" s="34">
        <v>28513</v>
      </c>
      <c r="J263" s="42"/>
      <c r="K263" s="34">
        <v>28139</v>
      </c>
      <c r="L263" s="42"/>
      <c r="M263" s="34">
        <v>28111</v>
      </c>
      <c r="O263" s="34">
        <v>28098</v>
      </c>
      <c r="Q263" s="34">
        <v>26667</v>
      </c>
      <c r="R263" s="34"/>
    </row>
    <row r="264" spans="1:19" x14ac:dyDescent="0.4">
      <c r="A264" s="33"/>
      <c r="B264" s="33"/>
      <c r="C264" s="33"/>
      <c r="D264" s="33"/>
      <c r="E264" s="33"/>
      <c r="F264" s="33" t="s">
        <v>376</v>
      </c>
      <c r="G264" s="33"/>
      <c r="H264" s="42"/>
      <c r="I264" s="34">
        <v>2634</v>
      </c>
      <c r="J264" s="42"/>
      <c r="K264" s="34">
        <v>2625</v>
      </c>
      <c r="L264" s="42"/>
      <c r="M264" s="34">
        <v>2497</v>
      </c>
      <c r="O264" s="34">
        <v>2423</v>
      </c>
      <c r="Q264" s="34">
        <v>2405</v>
      </c>
      <c r="R264" s="34"/>
    </row>
    <row r="265" spans="1:19" x14ac:dyDescent="0.4">
      <c r="A265" s="33"/>
      <c r="B265" s="33"/>
      <c r="C265" s="33"/>
      <c r="D265" s="33"/>
      <c r="E265" s="33"/>
      <c r="F265" s="33" t="s">
        <v>377</v>
      </c>
      <c r="G265" s="33"/>
      <c r="H265" s="42"/>
      <c r="I265" s="34">
        <v>67884</v>
      </c>
      <c r="J265" s="42"/>
      <c r="K265" s="34">
        <v>63706</v>
      </c>
      <c r="L265" s="42"/>
      <c r="M265" s="34">
        <v>72932</v>
      </c>
      <c r="O265" s="34">
        <v>71981</v>
      </c>
      <c r="Q265" s="34">
        <v>71184</v>
      </c>
      <c r="R265" s="34"/>
    </row>
    <row r="266" spans="1:19" x14ac:dyDescent="0.4">
      <c r="A266" s="33"/>
      <c r="B266" s="33"/>
      <c r="C266" s="33"/>
      <c r="D266" s="33"/>
      <c r="E266" s="33"/>
      <c r="F266" s="33" t="s">
        <v>378</v>
      </c>
      <c r="G266" s="33"/>
      <c r="H266" s="42"/>
      <c r="I266" s="34">
        <v>66190</v>
      </c>
      <c r="J266" s="42"/>
      <c r="K266" s="34">
        <v>65651</v>
      </c>
      <c r="L266" s="42"/>
      <c r="M266" s="34">
        <v>64617</v>
      </c>
      <c r="O266" s="34">
        <v>54108</v>
      </c>
      <c r="Q266" s="34">
        <v>53789</v>
      </c>
      <c r="R266" s="34"/>
    </row>
    <row r="267" spans="1:19" x14ac:dyDescent="0.4">
      <c r="A267" s="33"/>
      <c r="B267" s="33"/>
      <c r="C267" s="33"/>
      <c r="D267" s="33"/>
      <c r="E267" s="33"/>
      <c r="F267" s="33" t="s">
        <v>379</v>
      </c>
      <c r="G267" s="33"/>
      <c r="H267" s="42"/>
      <c r="I267" s="34">
        <v>197</v>
      </c>
      <c r="J267" s="42"/>
      <c r="K267" s="34">
        <v>208</v>
      </c>
      <c r="L267" s="42"/>
      <c r="M267" s="34">
        <v>208</v>
      </c>
      <c r="O267" s="34">
        <v>208</v>
      </c>
      <c r="Q267" s="34">
        <v>208</v>
      </c>
      <c r="R267" s="34"/>
    </row>
    <row r="268" spans="1:19" ht="15" thickBot="1" x14ac:dyDescent="0.45">
      <c r="A268" s="33"/>
      <c r="B268" s="33"/>
      <c r="C268" s="33"/>
      <c r="D268" s="33"/>
      <c r="E268" s="33"/>
      <c r="F268" s="33" t="s">
        <v>380</v>
      </c>
      <c r="G268" s="33"/>
      <c r="H268" s="42"/>
      <c r="I268" s="35">
        <v>997</v>
      </c>
      <c r="J268" s="42"/>
      <c r="K268" s="35">
        <v>993</v>
      </c>
      <c r="L268" s="42"/>
      <c r="M268" s="35">
        <v>970</v>
      </c>
      <c r="O268" s="35">
        <v>970</v>
      </c>
      <c r="Q268" s="35">
        <v>950</v>
      </c>
      <c r="R268" s="34"/>
    </row>
    <row r="269" spans="1:19" x14ac:dyDescent="0.4">
      <c r="A269" s="33"/>
      <c r="B269" s="33"/>
      <c r="C269" s="33"/>
      <c r="D269" s="33"/>
      <c r="E269" s="33" t="s">
        <v>381</v>
      </c>
      <c r="F269" s="33"/>
      <c r="G269" s="33"/>
      <c r="H269" s="42"/>
      <c r="I269" s="34">
        <f>ROUND(SUM(I255:I268),5)</f>
        <v>344870</v>
      </c>
      <c r="J269" s="42"/>
      <c r="K269" s="34">
        <f>ROUND(SUM(K255:K268),5)</f>
        <v>339253.81</v>
      </c>
      <c r="L269" s="42"/>
      <c r="M269" s="34">
        <f>ROUND(SUM(M255:M268),5)</f>
        <v>339688</v>
      </c>
      <c r="O269" s="34">
        <f>ROUND(SUM(O255:O268),5)</f>
        <v>313330</v>
      </c>
      <c r="Q269" s="34">
        <f>ROUND(SUM(Q255:Q268),5)</f>
        <v>257288</v>
      </c>
      <c r="R269" s="34"/>
      <c r="S269" t="s">
        <v>382</v>
      </c>
    </row>
    <row r="270" spans="1:19" x14ac:dyDescent="0.4">
      <c r="A270" s="33"/>
      <c r="B270" s="33"/>
      <c r="C270" s="33"/>
      <c r="D270" s="33"/>
      <c r="E270" s="33" t="s">
        <v>383</v>
      </c>
      <c r="F270" s="33"/>
      <c r="G270" s="33"/>
      <c r="H270" s="42"/>
      <c r="I270" s="34">
        <v>5996.14</v>
      </c>
      <c r="J270" s="42"/>
      <c r="K270" s="34">
        <v>334.59</v>
      </c>
      <c r="L270" s="42"/>
      <c r="M270" s="34">
        <v>1440.14</v>
      </c>
      <c r="O270" s="34">
        <v>434.74</v>
      </c>
      <c r="Q270" s="34">
        <v>1420.84</v>
      </c>
      <c r="R270" s="34"/>
      <c r="S270" t="s">
        <v>333</v>
      </c>
    </row>
    <row r="271" spans="1:19" x14ac:dyDescent="0.4">
      <c r="A271" s="33"/>
      <c r="B271" s="33"/>
      <c r="C271" s="33"/>
      <c r="D271" s="33"/>
      <c r="E271" s="33" t="s">
        <v>384</v>
      </c>
      <c r="F271" s="33"/>
      <c r="G271" s="33"/>
      <c r="H271" s="42"/>
      <c r="I271" s="34">
        <f>36219.53+3582.15</f>
        <v>39801.68</v>
      </c>
      <c r="J271" s="42"/>
      <c r="K271" s="34">
        <f>46649.53+4613.67</f>
        <v>51263.199999999997</v>
      </c>
      <c r="L271" s="42"/>
      <c r="M271" s="34">
        <f>63515.54+6281.76</f>
        <v>69797.3</v>
      </c>
      <c r="O271" s="34">
        <f>57640.83+5700.74</f>
        <v>63341.57</v>
      </c>
      <c r="Q271" s="34">
        <f>49536.73+5025</f>
        <v>54561.73</v>
      </c>
      <c r="R271" s="34"/>
      <c r="S271" t="s">
        <v>333</v>
      </c>
    </row>
    <row r="272" spans="1:19" ht="15" thickBot="1" x14ac:dyDescent="0.45">
      <c r="A272" s="33"/>
      <c r="B272" s="33"/>
      <c r="C272" s="33"/>
      <c r="D272" s="33"/>
      <c r="E272" s="33" t="s">
        <v>385</v>
      </c>
      <c r="F272" s="33"/>
      <c r="G272" s="33"/>
      <c r="H272" s="42"/>
      <c r="I272" s="35">
        <v>4811</v>
      </c>
      <c r="J272" s="42"/>
      <c r="K272" s="35">
        <v>4808</v>
      </c>
      <c r="L272" s="42"/>
      <c r="M272" s="35">
        <v>4808</v>
      </c>
      <c r="O272" s="35">
        <v>4808</v>
      </c>
      <c r="Q272" s="35">
        <v>4808</v>
      </c>
      <c r="R272" s="34"/>
      <c r="S272" t="s">
        <v>386</v>
      </c>
    </row>
    <row r="273" spans="1:19" x14ac:dyDescent="0.4">
      <c r="A273" s="33"/>
      <c r="B273" s="33"/>
      <c r="C273" s="33"/>
      <c r="D273" s="33" t="s">
        <v>387</v>
      </c>
      <c r="E273" s="33"/>
      <c r="F273" s="33"/>
      <c r="G273" s="33"/>
      <c r="H273" s="42"/>
      <c r="I273" s="34">
        <f>ROUND(SUM(I244:I245)+I254+SUM(I269:I272),5)</f>
        <v>420628.19</v>
      </c>
      <c r="J273" s="42"/>
      <c r="K273" s="34">
        <f>ROUND(SUM(K244:K245)+K254+SUM(K269:K272),5)</f>
        <v>422275.63</v>
      </c>
      <c r="L273" s="42"/>
      <c r="M273" s="34">
        <f>ROUND(SUM(M244:M245)+M254+SUM(M269:M272),5)</f>
        <v>438844.88</v>
      </c>
      <c r="O273" s="34">
        <f>ROUND(O244+O254+SUM(O269:O272),5)</f>
        <v>401827.47</v>
      </c>
      <c r="Q273" s="34">
        <f>ROUND(SUM(Q244:Q245)+Q254+SUM(Q269:Q272),5)</f>
        <v>341031.98</v>
      </c>
      <c r="R273" s="34"/>
    </row>
    <row r="274" spans="1:19" x14ac:dyDescent="0.4">
      <c r="A274" s="33"/>
      <c r="B274" s="33"/>
      <c r="C274" s="33"/>
      <c r="D274" s="33" t="s">
        <v>388</v>
      </c>
      <c r="E274" s="33"/>
      <c r="F274" s="33"/>
      <c r="G274" s="33"/>
      <c r="H274" s="42"/>
      <c r="I274" s="34">
        <v>0</v>
      </c>
      <c r="J274" s="42"/>
      <c r="K274" s="34">
        <v>377.61</v>
      </c>
      <c r="L274" s="42"/>
      <c r="M274" s="34">
        <v>2299.4899999999998</v>
      </c>
      <c r="O274" s="34">
        <f>125.4+2007.56</f>
        <v>2132.96</v>
      </c>
      <c r="Q274" s="34">
        <f>3015.05+1822.34</f>
        <v>4837.3900000000003</v>
      </c>
      <c r="R274" s="34"/>
      <c r="S274" t="s">
        <v>333</v>
      </c>
    </row>
    <row r="275" spans="1:19" x14ac:dyDescent="0.4">
      <c r="A275" s="33"/>
      <c r="B275" s="33"/>
      <c r="C275" s="33"/>
      <c r="D275" s="33" t="s">
        <v>389</v>
      </c>
      <c r="E275" s="33"/>
      <c r="F275" s="33"/>
      <c r="G275" s="33"/>
      <c r="H275" s="42"/>
      <c r="I275" s="34">
        <f>4329.26+731.88</f>
        <v>5061.1400000000003</v>
      </c>
      <c r="J275" s="42"/>
      <c r="K275" s="34">
        <f>328.46+53.69</f>
        <v>382.15</v>
      </c>
      <c r="L275" s="42"/>
      <c r="M275" s="34">
        <f>319.8+55.16+4.06</f>
        <v>379.02000000000004</v>
      </c>
      <c r="O275" s="34">
        <f>1146.3+199.61</f>
        <v>1345.9099999999999</v>
      </c>
      <c r="Q275" s="34">
        <f>14506.75+2580</f>
        <v>17086.75</v>
      </c>
      <c r="R275" s="34"/>
      <c r="S275" t="s">
        <v>344</v>
      </c>
    </row>
    <row r="276" spans="1:19" x14ac:dyDescent="0.4">
      <c r="A276" s="33"/>
      <c r="B276" s="33"/>
      <c r="C276" s="33"/>
      <c r="D276" s="33" t="s">
        <v>193</v>
      </c>
      <c r="E276" s="33"/>
      <c r="F276" s="33"/>
      <c r="G276" s="33"/>
      <c r="H276" s="42"/>
      <c r="I276" s="34"/>
      <c r="J276" s="42"/>
      <c r="K276" s="34"/>
      <c r="L276" s="42"/>
      <c r="M276" s="34"/>
      <c r="O276" s="34"/>
      <c r="Q276" s="34"/>
      <c r="R276" s="34"/>
    </row>
    <row r="277" spans="1:19" x14ac:dyDescent="0.4">
      <c r="A277" s="33"/>
      <c r="B277" s="33"/>
      <c r="C277" s="33"/>
      <c r="D277" s="33"/>
      <c r="E277" s="33" t="s">
        <v>194</v>
      </c>
      <c r="F277" s="33"/>
      <c r="G277" s="33"/>
      <c r="H277" s="42"/>
      <c r="I277" s="34">
        <v>264.2</v>
      </c>
      <c r="J277" s="42"/>
      <c r="K277" s="34">
        <v>182.83</v>
      </c>
      <c r="L277" s="42"/>
      <c r="M277" s="34">
        <v>0</v>
      </c>
      <c r="O277" s="34"/>
      <c r="Q277" s="34"/>
      <c r="R277" s="34"/>
    </row>
    <row r="278" spans="1:19" x14ac:dyDescent="0.4">
      <c r="A278" s="33"/>
      <c r="B278" s="33"/>
      <c r="C278" s="33"/>
      <c r="D278" s="33"/>
      <c r="E278" s="33" t="s">
        <v>195</v>
      </c>
      <c r="F278" s="33"/>
      <c r="G278" s="33"/>
      <c r="H278" s="42"/>
      <c r="I278" s="34">
        <v>668239.53</v>
      </c>
      <c r="J278" s="42"/>
      <c r="K278" s="34">
        <v>661616.36</v>
      </c>
      <c r="L278" s="42"/>
      <c r="M278" s="34">
        <v>695644.54</v>
      </c>
      <c r="O278" s="34">
        <v>740851.63</v>
      </c>
      <c r="Q278" s="34">
        <v>712972.6</v>
      </c>
      <c r="R278" s="34"/>
    </row>
    <row r="279" spans="1:19" x14ac:dyDescent="0.4">
      <c r="A279" s="33"/>
      <c r="B279" s="33"/>
      <c r="C279" s="33"/>
      <c r="D279" s="33"/>
      <c r="E279" s="33" t="s">
        <v>196</v>
      </c>
      <c r="F279" s="33"/>
      <c r="G279" s="33"/>
      <c r="H279" s="42"/>
      <c r="I279" s="34">
        <v>42686.92</v>
      </c>
      <c r="J279" s="42"/>
      <c r="K279" s="34">
        <v>42315.15</v>
      </c>
      <c r="L279" s="42"/>
      <c r="M279" s="34">
        <v>44052.81</v>
      </c>
      <c r="O279" s="34">
        <v>47510.13</v>
      </c>
      <c r="Q279" s="34">
        <v>46343.69</v>
      </c>
      <c r="R279" s="34"/>
    </row>
    <row r="280" spans="1:19" x14ac:dyDescent="0.4">
      <c r="A280" s="33"/>
      <c r="B280" s="33"/>
      <c r="C280" s="33"/>
      <c r="D280" s="33"/>
      <c r="E280" s="33" t="s">
        <v>197</v>
      </c>
      <c r="F280" s="33"/>
      <c r="G280" s="33"/>
      <c r="H280" s="42"/>
      <c r="I280" s="34">
        <v>9983.69</v>
      </c>
      <c r="J280" s="42"/>
      <c r="K280" s="34">
        <v>9889.5</v>
      </c>
      <c r="L280" s="42"/>
      <c r="M280" s="34">
        <v>10302.950000000001</v>
      </c>
      <c r="O280" s="34">
        <v>11080.12</v>
      </c>
      <c r="Q280" s="34">
        <v>10814.62</v>
      </c>
      <c r="R280" s="34"/>
    </row>
    <row r="281" spans="1:19" x14ac:dyDescent="0.4">
      <c r="A281" s="33"/>
      <c r="B281" s="33"/>
      <c r="C281" s="33"/>
      <c r="D281" s="33"/>
      <c r="E281" s="33" t="s">
        <v>198</v>
      </c>
      <c r="F281" s="33"/>
      <c r="G281" s="33"/>
      <c r="H281" s="42"/>
      <c r="I281" s="34">
        <v>797.96</v>
      </c>
      <c r="J281" s="42"/>
      <c r="K281" s="34">
        <v>787.78</v>
      </c>
      <c r="L281" s="42"/>
      <c r="M281" s="34">
        <v>759.02</v>
      </c>
      <c r="O281" s="34">
        <v>713.99</v>
      </c>
      <c r="Q281" s="34">
        <v>408.65</v>
      </c>
      <c r="R281" s="34"/>
    </row>
    <row r="282" spans="1:19" x14ac:dyDescent="0.4">
      <c r="A282" s="33"/>
      <c r="B282" s="33"/>
      <c r="C282" s="33"/>
      <c r="D282" s="33"/>
      <c r="E282" s="33" t="s">
        <v>199</v>
      </c>
      <c r="F282" s="33"/>
      <c r="G282" s="33"/>
      <c r="H282" s="42"/>
      <c r="I282" s="34">
        <v>2870.84</v>
      </c>
      <c r="J282" s="42"/>
      <c r="K282" s="34">
        <v>1512.61</v>
      </c>
      <c r="L282" s="42"/>
      <c r="M282" s="34">
        <v>1333.87</v>
      </c>
      <c r="O282" s="34">
        <v>566.13</v>
      </c>
      <c r="Q282" s="34">
        <v>1071.44</v>
      </c>
      <c r="R282" s="34"/>
    </row>
    <row r="283" spans="1:19" x14ac:dyDescent="0.4">
      <c r="A283" s="33"/>
      <c r="B283" s="33"/>
      <c r="C283" s="33"/>
      <c r="D283" s="33"/>
      <c r="E283" s="33" t="s">
        <v>200</v>
      </c>
      <c r="F283" s="33"/>
      <c r="G283" s="33"/>
      <c r="H283" s="42"/>
      <c r="I283" s="34">
        <v>1620</v>
      </c>
      <c r="J283" s="42"/>
      <c r="K283" s="34">
        <v>60</v>
      </c>
      <c r="L283" s="42"/>
      <c r="M283" s="34">
        <v>0</v>
      </c>
      <c r="O283" s="34">
        <v>4865.5600000000004</v>
      </c>
      <c r="Q283" s="34">
        <v>8023.57</v>
      </c>
      <c r="R283" s="34"/>
    </row>
    <row r="284" spans="1:19" ht="15" thickBot="1" x14ac:dyDescent="0.45">
      <c r="A284" s="33"/>
      <c r="B284" s="33"/>
      <c r="C284" s="33"/>
      <c r="D284" s="33"/>
      <c r="E284" s="33" t="s">
        <v>201</v>
      </c>
      <c r="F284" s="33"/>
      <c r="G284" s="33"/>
      <c r="H284" s="42"/>
      <c r="I284" s="35">
        <v>-112065.28</v>
      </c>
      <c r="J284" s="42"/>
      <c r="K284" s="35">
        <v>-111118.21</v>
      </c>
      <c r="L284" s="42"/>
      <c r="M284" s="35">
        <v>-88120.25</v>
      </c>
      <c r="O284" s="34">
        <v>-103889.66</v>
      </c>
      <c r="Q284" s="34">
        <v>-79363.56</v>
      </c>
      <c r="R284" s="34"/>
    </row>
    <row r="285" spans="1:19" x14ac:dyDescent="0.4">
      <c r="A285" s="33"/>
      <c r="B285" s="33"/>
      <c r="C285" s="33"/>
      <c r="D285" s="33" t="s">
        <v>202</v>
      </c>
      <c r="E285" s="33"/>
      <c r="F285" s="33"/>
      <c r="G285" s="33"/>
      <c r="H285" s="42"/>
      <c r="I285" s="34">
        <f>ROUND(SUM(I276:I284),5)</f>
        <v>614397.86</v>
      </c>
      <c r="J285" s="42"/>
      <c r="K285" s="34">
        <f>ROUND(SUM(K276:K284),5)</f>
        <v>605246.02</v>
      </c>
      <c r="L285" s="42"/>
      <c r="M285" s="34">
        <f>ROUND(SUM(M276:M284),5)</f>
        <v>663972.93999999994</v>
      </c>
      <c r="O285" s="44">
        <f>ROUND(SUM(O276:O284),5)</f>
        <v>701697.9</v>
      </c>
      <c r="Q285" s="44">
        <f>ROUND(SUM(Q276:Q284),5)</f>
        <v>700271.01</v>
      </c>
      <c r="R285" s="34"/>
      <c r="S285" t="s">
        <v>203</v>
      </c>
    </row>
    <row r="286" spans="1:19" ht="15" thickBot="1" x14ac:dyDescent="0.45">
      <c r="A286" s="33"/>
      <c r="B286" s="33"/>
      <c r="C286" s="33"/>
      <c r="D286" s="33" t="s">
        <v>390</v>
      </c>
      <c r="E286" s="33"/>
      <c r="F286" s="33"/>
      <c r="G286" s="33"/>
      <c r="H286" s="42"/>
      <c r="I286" s="34">
        <v>0</v>
      </c>
      <c r="J286" s="42"/>
      <c r="K286" s="34">
        <v>2</v>
      </c>
      <c r="L286" s="42"/>
      <c r="M286" s="34">
        <v>0</v>
      </c>
      <c r="O286" s="35"/>
      <c r="Q286" s="35"/>
      <c r="R286" s="34"/>
    </row>
    <row r="287" spans="1:19" ht="15" thickBot="1" x14ac:dyDescent="0.45">
      <c r="A287" s="33"/>
      <c r="B287" s="33"/>
      <c r="C287" s="33" t="s">
        <v>391</v>
      </c>
      <c r="D287" s="33"/>
      <c r="E287" s="33"/>
      <c r="F287" s="33"/>
      <c r="G287" s="33"/>
      <c r="H287" s="42"/>
      <c r="I287" s="44">
        <f>ROUND(I89+I102+SUM(I108:I109)+SUM(I134:I139)+I148+I175+I185+I195+I243+SUM(I273:I275)+SUM(I285:I286),5)</f>
        <v>2124844.48</v>
      </c>
      <c r="J287" s="42"/>
      <c r="K287" s="44">
        <f>ROUND(K89+K102+SUM(K108:K109)+SUM(K134:K139)+K148+K175+K185+K195+K243+SUM(K273:K275)+SUM(K285:K286),5)</f>
        <v>2046065.53</v>
      </c>
      <c r="L287" s="42"/>
      <c r="M287" s="44">
        <f>ROUND(M89+M102+M108+SUM(M134:M138)+M148+M175+M185+M195+M243+SUM(M273:M275)+SUM(M285:M286),5)</f>
        <v>2374415.2599999998</v>
      </c>
      <c r="N287" s="54"/>
      <c r="O287" s="34">
        <f>ROUND(O89+O102+SUM(O108:O109)+SUM(O134:O139)+O148+O175+O185+O195+O243+SUM(O273:O275)+SUM(O285:O286),5)</f>
        <v>2502244.23</v>
      </c>
      <c r="P287" s="54"/>
      <c r="Q287" s="34">
        <f>ROUND(Q89+Q102+Q108+SUM(Q134:Q138)+Q148+Q175+Q185+Q195+Q243+SUM(Q273:Q275)+Q285,5)</f>
        <v>2453996.84</v>
      </c>
      <c r="R287" s="34"/>
      <c r="S287" s="54"/>
    </row>
    <row r="288" spans="1:19" ht="15" thickBot="1" x14ac:dyDescent="0.45">
      <c r="B288" s="33" t="s">
        <v>392</v>
      </c>
      <c r="C288" s="33"/>
      <c r="D288" s="33"/>
      <c r="E288" s="33"/>
      <c r="F288" s="33"/>
      <c r="G288" s="33"/>
      <c r="H288" s="33"/>
      <c r="I288" s="55">
        <f>ROUND(I88-I287,5)</f>
        <v>491558.96</v>
      </c>
      <c r="J288" s="33"/>
      <c r="K288" s="55">
        <f>ROUND(K88-K287,5)</f>
        <v>49881.22</v>
      </c>
      <c r="L288" s="33"/>
      <c r="M288" s="55">
        <f>ROUND(M88-M287,5)</f>
        <v>387177.1</v>
      </c>
      <c r="O288" s="55">
        <f>ROUND(O88-O287,5)</f>
        <v>731598.5</v>
      </c>
      <c r="Q288" s="55">
        <f>ROUND(Q88-Q287,5)</f>
        <v>-508455.85</v>
      </c>
      <c r="R288" s="56"/>
    </row>
    <row r="289" spans="7:19" ht="15" thickTop="1" x14ac:dyDescent="0.4">
      <c r="N289" s="57"/>
    </row>
    <row r="296" spans="7:19" x14ac:dyDescent="0.4">
      <c r="G296" s="58" t="s">
        <v>393</v>
      </c>
      <c r="H296" s="59"/>
      <c r="I296" s="59">
        <v>456613.76</v>
      </c>
      <c r="J296" s="59"/>
      <c r="K296" s="59">
        <v>84703.81</v>
      </c>
      <c r="L296" s="59"/>
      <c r="M296" s="60">
        <v>221353.94</v>
      </c>
      <c r="N296" s="60"/>
      <c r="O296" s="60">
        <v>388304.95</v>
      </c>
      <c r="P296" s="60"/>
      <c r="Q296" s="61">
        <v>-585406.26</v>
      </c>
      <c r="S296" t="s">
        <v>394</v>
      </c>
    </row>
    <row r="297" spans="7:19" x14ac:dyDescent="0.4">
      <c r="G297" s="62" t="s">
        <v>395</v>
      </c>
      <c r="H297" s="63"/>
      <c r="I297" s="63">
        <v>34945.199999999997</v>
      </c>
      <c r="J297" s="63"/>
      <c r="K297" s="63">
        <v>-34822.589999999997</v>
      </c>
      <c r="L297" s="63"/>
      <c r="M297">
        <v>165823.16</v>
      </c>
      <c r="O297">
        <v>343293.55</v>
      </c>
      <c r="Q297" s="64">
        <v>76950.41</v>
      </c>
      <c r="S297" t="s">
        <v>396</v>
      </c>
    </row>
    <row r="298" spans="7:19" x14ac:dyDescent="0.4">
      <c r="G298" s="62"/>
      <c r="H298" s="63"/>
      <c r="I298" s="63"/>
      <c r="J298" s="63"/>
      <c r="K298" s="63"/>
      <c r="L298" s="63"/>
      <c r="Q298" s="64"/>
    </row>
    <row r="299" spans="7:19" x14ac:dyDescent="0.4">
      <c r="G299" s="65" t="s">
        <v>397</v>
      </c>
      <c r="H299" s="66"/>
      <c r="I299" s="66">
        <f>+I297+I296</f>
        <v>491558.96</v>
      </c>
      <c r="J299" s="66"/>
      <c r="K299" s="66">
        <f>+K297+K296</f>
        <v>49881.22</v>
      </c>
      <c r="L299" s="66"/>
      <c r="M299" s="67">
        <f>+M297+M296</f>
        <v>387177.1</v>
      </c>
      <c r="N299" s="67"/>
      <c r="O299" s="67">
        <f>SUM(O296:O297)</f>
        <v>731598.5</v>
      </c>
      <c r="P299" s="67"/>
      <c r="Q299" s="68">
        <f>Q296+Q297</f>
        <v>-508455.85</v>
      </c>
      <c r="S299" t="s">
        <v>398</v>
      </c>
    </row>
    <row r="300" spans="7:19" x14ac:dyDescent="0.4">
      <c r="H300" s="63"/>
      <c r="I300" s="63"/>
      <c r="J300" s="63"/>
      <c r="K300" s="63"/>
      <c r="L300" s="63"/>
      <c r="M300" s="57"/>
    </row>
    <row r="301" spans="7:19" x14ac:dyDescent="0.4">
      <c r="H301" s="43"/>
      <c r="I301" s="43"/>
      <c r="J301" s="43"/>
      <c r="K301" s="43"/>
      <c r="L301" s="43"/>
      <c r="Q301" s="69"/>
      <c r="R301" s="69"/>
    </row>
    <row r="302" spans="7:19" x14ac:dyDescent="0.4">
      <c r="G302" s="54" t="s">
        <v>399</v>
      </c>
      <c r="H302" s="43"/>
      <c r="I302" s="43">
        <f t="shared" ref="I302:Q302" si="0">+I285+I234</f>
        <v>828763.65999999992</v>
      </c>
      <c r="J302" s="43"/>
      <c r="K302" s="43">
        <f t="shared" si="0"/>
        <v>852217.7</v>
      </c>
      <c r="L302" s="43"/>
      <c r="M302" s="43">
        <f t="shared" si="0"/>
        <v>917471.64999999991</v>
      </c>
      <c r="N302" s="43"/>
      <c r="O302" s="43">
        <f t="shared" si="0"/>
        <v>962059.01</v>
      </c>
      <c r="P302" s="43"/>
      <c r="Q302" s="43">
        <f t="shared" si="0"/>
        <v>989499.62000000011</v>
      </c>
      <c r="R302" s="43"/>
    </row>
    <row r="311" spans="19:19" x14ac:dyDescent="0.4">
      <c r="S311" t="s">
        <v>400</v>
      </c>
    </row>
    <row r="328" spans="15:18" x14ac:dyDescent="0.4">
      <c r="O328" s="43"/>
    </row>
    <row r="330" spans="15:18" x14ac:dyDescent="0.4">
      <c r="O330" s="54"/>
    </row>
    <row r="332" spans="15:18" x14ac:dyDescent="0.4">
      <c r="Q332" s="54"/>
      <c r="R332" s="54"/>
    </row>
    <row r="346" spans="13:13" x14ac:dyDescent="0.4">
      <c r="M346" s="54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05E48-450D-45CB-8FB7-90BA5F25452B}">
  <dimension ref="A1:N11"/>
  <sheetViews>
    <sheetView workbookViewId="0">
      <selection sqref="A1:C1"/>
    </sheetView>
  </sheetViews>
  <sheetFormatPr defaultRowHeight="14.6" x14ac:dyDescent="0.4"/>
  <cols>
    <col min="1" max="2" width="3.3046875" customWidth="1"/>
    <col min="3" max="3" width="26.3828125" customWidth="1"/>
    <col min="4" max="4" width="10" bestFit="1" customWidth="1"/>
    <col min="6" max="6" width="10" bestFit="1" customWidth="1"/>
    <col min="8" max="8" width="10" bestFit="1" customWidth="1"/>
    <col min="10" max="10" width="10" bestFit="1" customWidth="1"/>
    <col min="12" max="12" width="10.15234375" bestFit="1" customWidth="1"/>
  </cols>
  <sheetData>
    <row r="1" spans="1:14" ht="18.899999999999999" thickBot="1" x14ac:dyDescent="0.55000000000000004">
      <c r="A1" s="89" t="s">
        <v>226</v>
      </c>
      <c r="B1" s="89"/>
      <c r="C1" s="85"/>
      <c r="D1" s="36"/>
      <c r="E1" s="38"/>
      <c r="F1" s="36"/>
      <c r="G1" s="38"/>
      <c r="H1" s="39"/>
    </row>
    <row r="2" spans="1:14" ht="15.45" thickTop="1" thickBot="1" x14ac:dyDescent="0.45">
      <c r="D2" s="40" t="s">
        <v>98</v>
      </c>
      <c r="E2" s="41"/>
      <c r="F2" s="40" t="s">
        <v>99</v>
      </c>
      <c r="G2" s="41"/>
      <c r="H2" s="40" t="s">
        <v>100</v>
      </c>
      <c r="I2" s="3"/>
      <c r="J2" s="40" t="s">
        <v>101</v>
      </c>
      <c r="K2" s="3"/>
      <c r="L2" s="40" t="s">
        <v>102</v>
      </c>
    </row>
    <row r="3" spans="1:14" ht="15" thickTop="1" x14ac:dyDescent="0.4">
      <c r="A3" s="33"/>
      <c r="B3" s="33" t="s">
        <v>225</v>
      </c>
      <c r="C3" s="33"/>
      <c r="D3" s="34">
        <v>136.6</v>
      </c>
      <c r="E3" s="42"/>
      <c r="F3" s="34">
        <v>131.24</v>
      </c>
      <c r="G3" s="42"/>
      <c r="H3" s="34">
        <v>122.36</v>
      </c>
      <c r="J3" s="34">
        <v>129.25</v>
      </c>
      <c r="L3" s="34">
        <v>122.37</v>
      </c>
      <c r="M3" s="34"/>
      <c r="N3" t="s">
        <v>236</v>
      </c>
    </row>
    <row r="4" spans="1:14" x14ac:dyDescent="0.4">
      <c r="A4" s="33"/>
      <c r="B4" s="33" t="s">
        <v>235</v>
      </c>
      <c r="C4" s="33"/>
      <c r="D4" s="34">
        <f>420.07+95.13</f>
        <v>515.20000000000005</v>
      </c>
      <c r="E4" s="42"/>
      <c r="F4" s="34">
        <f>441.87+117.66</f>
        <v>559.53</v>
      </c>
      <c r="G4" s="42"/>
      <c r="H4" s="34">
        <f>460.91+144.02</f>
        <v>604.93000000000006</v>
      </c>
      <c r="J4" s="34">
        <f>450.99+138.22</f>
        <v>589.21</v>
      </c>
      <c r="L4" s="34">
        <f>467.63+99.22</f>
        <v>566.85</v>
      </c>
      <c r="M4" s="34"/>
      <c r="N4" t="s">
        <v>236</v>
      </c>
    </row>
    <row r="5" spans="1:14" x14ac:dyDescent="0.4">
      <c r="A5" s="33"/>
      <c r="B5" s="33" t="s">
        <v>237</v>
      </c>
      <c r="C5" s="33"/>
      <c r="D5" s="34">
        <v>16827.78</v>
      </c>
      <c r="E5" s="42"/>
      <c r="F5" s="34">
        <v>33594.39</v>
      </c>
      <c r="G5" s="42"/>
      <c r="H5" s="34">
        <f>25148.36+50</f>
        <v>25198.36</v>
      </c>
      <c r="J5" s="34">
        <v>11243.94</v>
      </c>
      <c r="L5" s="34">
        <f>10421.99-1-5</f>
        <v>10415.99</v>
      </c>
      <c r="M5" s="34"/>
      <c r="N5" t="s">
        <v>236</v>
      </c>
    </row>
    <row r="6" spans="1:14" x14ac:dyDescent="0.4">
      <c r="A6" s="33"/>
      <c r="B6" s="33" t="s">
        <v>238</v>
      </c>
      <c r="C6" s="33"/>
      <c r="D6" s="34">
        <f>696465.97+73983+1800</f>
        <v>772248.97</v>
      </c>
      <c r="E6" s="42"/>
      <c r="F6" s="34">
        <f>686084.91+73684+1800</f>
        <v>761568.91</v>
      </c>
      <c r="G6" s="42"/>
      <c r="H6" s="34">
        <f>673603.2+74646+1800</f>
        <v>750049.2</v>
      </c>
      <c r="J6" s="34">
        <f>666616.07+74451+1800</f>
        <v>742867.07</v>
      </c>
      <c r="L6" s="34">
        <f>660177+75828+1800</f>
        <v>737805</v>
      </c>
      <c r="M6" s="34"/>
      <c r="N6" t="s">
        <v>236</v>
      </c>
    </row>
    <row r="7" spans="1:14" ht="15" thickBot="1" x14ac:dyDescent="0.45">
      <c r="A7" s="33"/>
      <c r="B7" s="33" t="s">
        <v>239</v>
      </c>
      <c r="C7" s="33"/>
      <c r="D7" s="35">
        <v>261368.24</v>
      </c>
      <c r="E7" s="42"/>
      <c r="F7" s="35">
        <v>3776.8</v>
      </c>
      <c r="G7" s="42"/>
      <c r="H7" s="35">
        <v>0</v>
      </c>
      <c r="J7" s="35"/>
      <c r="L7" s="35"/>
      <c r="M7" s="34"/>
    </row>
    <row r="10" spans="1:14" x14ac:dyDescent="0.4">
      <c r="L10" t="s">
        <v>401</v>
      </c>
    </row>
    <row r="11" spans="1:14" x14ac:dyDescent="0.4">
      <c r="L11" s="57">
        <f>SUM(L3:L6)</f>
        <v>748910.21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AG DR1-17 LIHEAP</vt:lpstr>
      <vt:lpstr>AG DR1-32 G&amp;A</vt:lpstr>
      <vt:lpstr>AG DR1-42 CapEx</vt:lpstr>
      <vt:lpstr>AG DR1-60 GCR</vt:lpstr>
      <vt:lpstr>AG DR1-80 L&amp;U</vt:lpstr>
      <vt:lpstr>AG DR1-83 NonOpRev</vt:lpstr>
      <vt:lpstr>AG DR1-87 ReslRev</vt:lpstr>
      <vt:lpstr>AG DR1-91 OpsRvExp</vt:lpstr>
      <vt:lpstr>AG DR1-93 OthGasRv</vt:lpstr>
      <vt:lpstr>AG DR1-94 OutServs</vt:lpstr>
      <vt:lpstr>AG DR1-97 Insur</vt:lpstr>
      <vt:lpstr>AG DR1-108 Payroll</vt:lpstr>
      <vt:lpstr>AG DR1-125 SAO</vt:lpstr>
      <vt:lpstr>AG DR1-125 RvRq</vt:lpstr>
      <vt:lpstr>AG DR1-127 Taxes xInc</vt:lpstr>
      <vt:lpstr>AG DR1-130 BDWO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 Shute</dc:creator>
  <cp:lastModifiedBy>Steve Shute</cp:lastModifiedBy>
  <cp:lastPrinted>2025-11-15T17:15:53Z</cp:lastPrinted>
  <dcterms:created xsi:type="dcterms:W3CDTF">2025-11-06T23:22:55Z</dcterms:created>
  <dcterms:modified xsi:type="dcterms:W3CDTF">2025-11-19T16:34:39Z</dcterms:modified>
</cp:coreProperties>
</file>