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3930 - Kentucky Frontier\0002 - 2025 Rate Case\Drafts\Staff's PHDR\Final to File\"/>
    </mc:Choice>
  </mc:AlternateContent>
  <xr:revisionPtr revIDLastSave="0" documentId="8_{407783B1-3370-431B-9072-4A2834BA649E}" xr6:coauthVersionLast="47" xr6:coauthVersionMax="47" xr10:uidLastSave="{00000000-0000-0000-0000-000000000000}"/>
  <bookViews>
    <workbookView xWindow="-103" yWindow="-103" windowWidth="21600" windowHeight="13869" xr2:uid="{E01CBF78-97FD-4D30-A587-B80C05FE9F05}"/>
  </bookViews>
  <sheets>
    <sheet name="PHDR Stf-4" sheetId="8" r:id="rId1"/>
    <sheet name="PHDR Stf-6b" sheetId="1" r:id="rId2"/>
    <sheet name="PHDR Stf-6b2" sheetId="2" r:id="rId3"/>
    <sheet name="PHDR Stf-7" sheetId="4" r:id="rId4"/>
    <sheet name="PHDR Stf-12" sheetId="10" r:id="rId5"/>
    <sheet name="PHDR Stf-13" sheetId="5" r:id="rId6"/>
  </sheets>
  <externalReferences>
    <externalReference r:id="rId7"/>
  </externalReferences>
  <definedNames>
    <definedName name="Depr_Life">#REF!</definedName>
    <definedName name="Dr">[1]Sheet2!$D$20</definedName>
    <definedName name="FD">[1]Sheet2!$D$7</definedName>
    <definedName name="Fl">[1]Sheet2!$D$15</definedName>
    <definedName name="Ho">[1]Sheet2!$D$16</definedName>
    <definedName name="ID">[1]Sheet2!$D$6</definedName>
    <definedName name="In">[1]Sheet2!$D$13</definedName>
    <definedName name="LC">[1]Sheet2!$D$18</definedName>
    <definedName name="LD">[1]Sheet2!$D$4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">[1]Sheet2!$D$17</definedName>
    <definedName name="Mf">[1]Sheet2!$D$14</definedName>
    <definedName name="MU">[1]Sheet2!$D$12</definedName>
    <definedName name="Of">[1]Sheet2!$D$10</definedName>
    <definedName name="PO">[1]Sheet2!$D$19</definedName>
    <definedName name="_xlnm.Print_Area" localSheetId="2">'PHDR Stf-6b2'!$A$1:$N$13</definedName>
    <definedName name="_xlnm.Print_Area" localSheetId="3">'PHDR Stf-7'!$A$1:$M$33</definedName>
    <definedName name="_xlnm.Print_Titles" localSheetId="4">'PHDR Stf-12'!#REF!,'PHDR Stf-12'!$6:$6</definedName>
    <definedName name="QB_BASIS_4" localSheetId="4" hidden="1">'PHDR Stf-12'!$T$5</definedName>
    <definedName name="QB_COLUMN_1" localSheetId="4" hidden="1">'PHDR Stf-12'!#REF!</definedName>
    <definedName name="QB_COLUMN_17" localSheetId="4" hidden="1">'PHDR Stf-12'!$L$6</definedName>
    <definedName name="QB_COLUMN_19" localSheetId="4" hidden="1">'PHDR Stf-12'!$N$6</definedName>
    <definedName name="QB_COLUMN_20" localSheetId="4" hidden="1">'PHDR Stf-12'!$P$6</definedName>
    <definedName name="QB_COLUMN_3" localSheetId="4" hidden="1">'PHDR Stf-12'!$B$6</definedName>
    <definedName name="QB_COLUMN_30" localSheetId="4" hidden="1">'PHDR Stf-12'!$R$6</definedName>
    <definedName name="QB_COLUMN_31" localSheetId="4" hidden="1">'PHDR Stf-12'!$T$6</definedName>
    <definedName name="QB_COLUMN_4" localSheetId="4" hidden="1">'PHDR Stf-12'!$D$6</definedName>
    <definedName name="QB_COLUMN_5" localSheetId="4" hidden="1">'PHDR Stf-12'!$F$6</definedName>
    <definedName name="QB_COLUMN_7" localSheetId="4" hidden="1">'PHDR Stf-12'!$H$6</definedName>
    <definedName name="QB_COLUMN_8" localSheetId="4" hidden="1">'PHDR Stf-12'!$J$6</definedName>
    <definedName name="QB_COMPANY_0" localSheetId="4" hidden="1">'PHDR Stf-12'!#REF!</definedName>
    <definedName name="QB_DATA_0" localSheetId="4" hidden="1">'PHDR Stf-12'!$7:$7,'PHDR Stf-12'!$8:$8,'PHDR Stf-12'!$9:$9,'PHDR Stf-12'!$10:$10,'PHDR Stf-12'!$11:$11,'PHDR Stf-12'!$12:$12,'PHDR Stf-12'!$13:$13,'PHDR Stf-12'!$14:$14,'PHDR Stf-12'!$15:$15,'PHDR Stf-12'!$16:$16,'PHDR Stf-12'!$17:$17,'PHDR Stf-12'!$18:$18,'PHDR Stf-12'!$19:$19,'PHDR Stf-12'!$20:$20,'PHDR Stf-12'!$21:$21,'PHDR Stf-12'!$22:$22</definedName>
    <definedName name="QB_DATA_1" localSheetId="4" hidden="1">'PHDR Stf-12'!$23:$23,'PHDR Stf-12'!$24:$24,'PHDR Stf-12'!$25:$25,'PHDR Stf-12'!$26:$26,'PHDR Stf-12'!$27:$27,'PHDR Stf-12'!$28:$28,'PHDR Stf-12'!$29:$29,'PHDR Stf-12'!$30:$30,'PHDR Stf-12'!$31:$31,'PHDR Stf-12'!$32:$32,'PHDR Stf-12'!$33:$33,'PHDR Stf-12'!$34:$34,'PHDR Stf-12'!$35:$35,'PHDR Stf-12'!$36:$36,'PHDR Stf-12'!$37:$37,'PHDR Stf-12'!$38:$38</definedName>
    <definedName name="QB_DATA_2" localSheetId="4" hidden="1">'PHDR Stf-12'!$39:$39,'PHDR Stf-12'!$40:$40,'PHDR Stf-12'!$41:$41,'PHDR Stf-12'!$42:$42,'PHDR Stf-12'!$43:$43,'PHDR Stf-12'!$44:$44,'PHDR Stf-12'!$45:$45,'PHDR Stf-12'!$46:$46,'PHDR Stf-12'!$47:$47,'PHDR Stf-12'!$48:$48,'PHDR Stf-12'!$49:$49,'PHDR Stf-12'!$50:$50,'PHDR Stf-12'!$51:$51,'PHDR Stf-12'!$52:$52,'PHDR Stf-12'!$53:$53,'PHDR Stf-12'!$54:$54</definedName>
    <definedName name="QB_DATA_3" localSheetId="4" hidden="1">'PHDR Stf-12'!$55:$55,'PHDR Stf-12'!$56:$56,'PHDR Stf-12'!$57:$57,'PHDR Stf-12'!$58:$58,'PHDR Stf-12'!$59:$59,'PHDR Stf-12'!$60:$60,'PHDR Stf-12'!$61:$61,'PHDR Stf-12'!$62:$62,'PHDR Stf-12'!$63:$63,'PHDR Stf-12'!$64:$64,'PHDR Stf-12'!$65:$65,'PHDR Stf-12'!$66:$66,'PHDR Stf-12'!$67:$67,'PHDR Stf-12'!$68:$68,'PHDR Stf-12'!$69:$69,'PHDR Stf-12'!$70:$70</definedName>
    <definedName name="QB_DATA_4" localSheetId="4" hidden="1">'PHDR Stf-12'!$71:$71,'PHDR Stf-12'!$72:$72,'PHDR Stf-12'!$73:$73,'PHDR Stf-12'!$74:$74,'PHDR Stf-12'!$75:$75,'PHDR Stf-12'!$76:$76,'PHDR Stf-12'!$77:$77,'PHDR Stf-12'!$78:$78,'PHDR Stf-12'!$79:$79,'PHDR Stf-12'!$80:$80,'PHDR Stf-12'!$81:$81,'PHDR Stf-12'!$82:$82,'PHDR Stf-12'!$83:$83,'PHDR Stf-12'!$84:$84,'PHDR Stf-12'!$85:$85,'PHDR Stf-12'!$86:$86</definedName>
    <definedName name="QB_DATA_5" localSheetId="4" hidden="1">'PHDR Stf-12'!$87:$87,'PHDR Stf-12'!$88:$88,'PHDR Stf-12'!$89:$89,'PHDR Stf-12'!$90:$90,'PHDR Stf-12'!$91:$91,'PHDR Stf-12'!$92:$92,'PHDR Stf-12'!$93:$93,'PHDR Stf-12'!$94:$94,'PHDR Stf-12'!$95:$95,'PHDR Stf-12'!$96:$96,'PHDR Stf-12'!$97:$97,'PHDR Stf-12'!$98:$98,'PHDR Stf-12'!$99:$99,'PHDR Stf-12'!$100:$100,'PHDR Stf-12'!$101:$101,'PHDR Stf-12'!$102:$102</definedName>
    <definedName name="QB_DATA_6" localSheetId="4" hidden="1">'PHDR Stf-12'!$103:$103,'PHDR Stf-12'!$104:$104,'PHDR Stf-12'!$105:$105,'PHDR Stf-12'!$106:$106,'PHDR Stf-12'!$107:$107,'PHDR Stf-12'!$108:$108,'PHDR Stf-12'!$109:$109,'PHDR Stf-12'!$110:$110,'PHDR Stf-12'!$111:$111,'PHDR Stf-12'!$112:$112,'PHDR Stf-12'!$113:$113,'PHDR Stf-12'!$114:$114,'PHDR Stf-12'!$115:$115,'PHDR Stf-12'!$116:$116,'PHDR Stf-12'!$117:$117,'PHDR Stf-12'!$118:$118</definedName>
    <definedName name="QB_DATA_7" localSheetId="4" hidden="1">'PHDR Stf-12'!$119:$119,'PHDR Stf-12'!$120:$120,'PHDR Stf-12'!$121:$121,'PHDR Stf-12'!$122:$122,'PHDR Stf-12'!$123:$123,'PHDR Stf-12'!$124:$124,'PHDR Stf-12'!$125:$125,'PHDR Stf-12'!$126:$126,'PHDR Stf-12'!$127:$127,'PHDR Stf-12'!$128:$128,'PHDR Stf-12'!$129:$129,'PHDR Stf-12'!$130:$130,'PHDR Stf-12'!$131:$131,'PHDR Stf-12'!$132:$132,'PHDR Stf-12'!$133:$133,'PHDR Stf-12'!$134:$134</definedName>
    <definedName name="QB_DATA_8" localSheetId="4" hidden="1">'PHDR Stf-12'!$135:$135,'PHDR Stf-12'!$136:$136,'PHDR Stf-12'!$137:$137,'PHDR Stf-12'!$138:$138,'PHDR Stf-12'!$139:$139,'PHDR Stf-12'!$140:$140,'PHDR Stf-12'!$141:$141,'PHDR Stf-12'!$142:$142,'PHDR Stf-12'!$143:$143,'PHDR Stf-12'!$144:$144</definedName>
    <definedName name="QB_DATE_1" localSheetId="4" hidden="1">'PHDR Stf-12'!$T$4</definedName>
    <definedName name="QB_FORMULA_0" localSheetId="4" hidden="1">'PHDR Stf-12'!$T$10,'PHDR Stf-12'!$T$11,'PHDR Stf-12'!$T$12,'PHDR Stf-12'!$T$13,'PHDR Stf-12'!$T$14,'PHDR Stf-12'!$T$15,'PHDR Stf-12'!$T$16,'PHDR Stf-12'!$T$17,'PHDR Stf-12'!$T$18,'PHDR Stf-12'!$T$19,'PHDR Stf-12'!$T$20,'PHDR Stf-12'!$T$21,'PHDR Stf-12'!$T$22,'PHDR Stf-12'!$T$23,'PHDR Stf-12'!$T$24,'PHDR Stf-12'!$T$25</definedName>
    <definedName name="QB_FORMULA_1" localSheetId="4" hidden="1">'PHDR Stf-12'!$T$26,'PHDR Stf-12'!$T$27,'PHDR Stf-12'!$T$28,'PHDR Stf-12'!$T$29,'PHDR Stf-12'!$T$30,'PHDR Stf-12'!$T$31,'PHDR Stf-12'!$T$32,'PHDR Stf-12'!$T$33,'PHDR Stf-12'!$T$34,'PHDR Stf-12'!$T$35,'PHDR Stf-12'!$T$36,'PHDR Stf-12'!$T$37,'PHDR Stf-12'!$T$38,'PHDR Stf-12'!$T$39,'PHDR Stf-12'!$T$40,'PHDR Stf-12'!$T$41</definedName>
    <definedName name="QB_FORMULA_2" localSheetId="4" hidden="1">'PHDR Stf-12'!$T$42,'PHDR Stf-12'!$T$43,'PHDR Stf-12'!$T$44,'PHDR Stf-12'!$T$45,'PHDR Stf-12'!$T$46,'PHDR Stf-12'!$T$47,'PHDR Stf-12'!$T$48,'PHDR Stf-12'!$T$49,'PHDR Stf-12'!$T$50,'PHDR Stf-12'!$T$51,'PHDR Stf-12'!$T$52,'PHDR Stf-12'!$T$53,'PHDR Stf-12'!$T$54,'PHDR Stf-12'!$T$55,'PHDR Stf-12'!$T$56,'PHDR Stf-12'!$T$57</definedName>
    <definedName name="QB_FORMULA_3" localSheetId="4" hidden="1">'PHDR Stf-12'!$T$58,'PHDR Stf-12'!$T$59,'PHDR Stf-12'!$T$60,'PHDR Stf-12'!$T$61,'PHDR Stf-12'!$T$62,'PHDR Stf-12'!$T$63,'PHDR Stf-12'!$T$64,'PHDR Stf-12'!$T$65,'PHDR Stf-12'!$T$66,'PHDR Stf-12'!$T$67,'PHDR Stf-12'!$T$68,'PHDR Stf-12'!$T$69,'PHDR Stf-12'!$T$70,'PHDR Stf-12'!$T$71,'PHDR Stf-12'!$T$72,'PHDR Stf-12'!$T$73</definedName>
    <definedName name="QB_FORMULA_4" localSheetId="4" hidden="1">'PHDR Stf-12'!$T$74,'PHDR Stf-12'!$T$75,'PHDR Stf-12'!$T$76,'PHDR Stf-12'!$T$77,'PHDR Stf-12'!$T$78,'PHDR Stf-12'!$T$79,'PHDR Stf-12'!$T$80,'PHDR Stf-12'!$T$81,'PHDR Stf-12'!$T$82,'PHDR Stf-12'!$T$83,'PHDR Stf-12'!$T$84,'PHDR Stf-12'!$T$85,'PHDR Stf-12'!$T$86,'PHDR Stf-12'!$T$87,'PHDR Stf-12'!$T$88,'PHDR Stf-12'!$T$89</definedName>
    <definedName name="QB_FORMULA_5" localSheetId="4" hidden="1">'PHDR Stf-12'!$T$90,'PHDR Stf-12'!$T$91,'PHDR Stf-12'!$T$92,'PHDR Stf-12'!$T$93,'PHDR Stf-12'!$T$94,'PHDR Stf-12'!$T$95,'PHDR Stf-12'!$T$96,'PHDR Stf-12'!$T$97,'PHDR Stf-12'!$T$98,'PHDR Stf-12'!$T$99,'PHDR Stf-12'!$T$100,'PHDR Stf-12'!$T$101,'PHDR Stf-12'!$T$102,'PHDR Stf-12'!$T$103,'PHDR Stf-12'!$T$104,'PHDR Stf-12'!$T$105</definedName>
    <definedName name="QB_FORMULA_6" localSheetId="4" hidden="1">'PHDR Stf-12'!$T$106,'PHDR Stf-12'!$T$107,'PHDR Stf-12'!$T$108,'PHDR Stf-12'!$T$109,'PHDR Stf-12'!$T$110,'PHDR Stf-12'!$T$111,'PHDR Stf-12'!$T$112,'PHDR Stf-12'!$T$113,'PHDR Stf-12'!$T$114,'PHDR Stf-12'!$T$115,'PHDR Stf-12'!$T$116,'PHDR Stf-12'!$T$117,'PHDR Stf-12'!$T$118,'PHDR Stf-12'!$T$119,'PHDR Stf-12'!$T$120,'PHDR Stf-12'!$T$121</definedName>
    <definedName name="QB_FORMULA_7" localSheetId="4" hidden="1">'PHDR Stf-12'!$T$122,'PHDR Stf-12'!$T$123,'PHDR Stf-12'!$T$124,'PHDR Stf-12'!$T$125,'PHDR Stf-12'!$T$126,'PHDR Stf-12'!$T$127,'PHDR Stf-12'!$T$128,'PHDR Stf-12'!$T$129,'PHDR Stf-12'!$T$130,'PHDR Stf-12'!$T$131,'PHDR Stf-12'!$T$132,'PHDR Stf-12'!$T$133,'PHDR Stf-12'!$T$134,'PHDR Stf-12'!$T$135,'PHDR Stf-12'!$T$136,'PHDR Stf-12'!$T$137</definedName>
    <definedName name="QB_FORMULA_8" localSheetId="4" hidden="1">'PHDR Stf-12'!$T$138,'PHDR Stf-12'!$T$139,'PHDR Stf-12'!$T$140,'PHDR Stf-12'!$T$141,'PHDR Stf-12'!$T$142,'PHDR Stf-12'!$T$143,'PHDR Stf-12'!$R$145,'PHDR Stf-12'!$T$145,'PHDR Stf-12'!$R$146,'PHDR Stf-12'!$T$146,'PHDR Stf-12'!$R$147,'PHDR Stf-12'!$T$147</definedName>
    <definedName name="QB_ROW_136010" localSheetId="4" hidden="1">'PHDR Stf-12'!#REF!</definedName>
    <definedName name="QB_ROW_136310" localSheetId="4" hidden="1">'PHDR Stf-12'!#REF!</definedName>
    <definedName name="QB_ROW_25301" localSheetId="4" hidden="1">'PHDR Stf-12'!#REF!</definedName>
    <definedName name="QB_ROW_436020" localSheetId="4" hidden="1">'PHDR Stf-12'!#REF!</definedName>
    <definedName name="QB_ROW_436320" localSheetId="4" hidden="1">'PHDR Stf-12'!#REF!</definedName>
    <definedName name="QB_ROW_437030" localSheetId="4" hidden="1">'PHDR Stf-12'!#REF!</definedName>
    <definedName name="QB_ROW_437330" localSheetId="4" hidden="1">'PHDR Stf-12'!#REF!</definedName>
    <definedName name="QB_SUBTITLE_3" localSheetId="4" hidden="1">'PHDR Stf-12'!#REF!</definedName>
    <definedName name="QB_TIME_5" localSheetId="4" hidden="1">'PHDR Stf-12'!$T$3</definedName>
    <definedName name="QB_TITLE_2" localSheetId="4" hidden="1">'PHDR Stf-12'!#REF!</definedName>
    <definedName name="QBCANSUPPORTUPDATE" localSheetId="4">TRUE</definedName>
    <definedName name="QBCOMPANYFILENAME" localSheetId="4">"\\KFG-CORE-11\KFG-Acct\kentucky frontier gas, llc.QBW"</definedName>
    <definedName name="QBENDDATE" localSheetId="4">20251231</definedName>
    <definedName name="QBHEADERSONSCREEN" localSheetId="4">TRUE</definedName>
    <definedName name="QBMETADATASIZE" localSheetId="4">7652</definedName>
    <definedName name="QBPRESERVECOLOR" localSheetId="4">TRUE</definedName>
    <definedName name="QBPRESERVEFONT" localSheetId="4">TRUE</definedName>
    <definedName name="QBPRESERVEROWHEIGHT" localSheetId="4">TRUE</definedName>
    <definedName name="QBPRESERVESPACE" localSheetId="4">TRUE</definedName>
    <definedName name="QBREPORTCOLAXIS" localSheetId="4">0</definedName>
    <definedName name="QBREPORTCOMPANYID" localSheetId="4">"12e063b0fdd84ecaa0c321f58e249e42"</definedName>
    <definedName name="QBREPORTCOMPARECOL_ANNUALBUDGET" localSheetId="4">FALSE</definedName>
    <definedName name="QBREPORTCOMPARECOL_AVGCOGS" localSheetId="4">FALSE</definedName>
    <definedName name="QBREPORTCOMPARECOL_AVGPRICE" localSheetId="4">FALSE</definedName>
    <definedName name="QBREPORTCOMPARECOL_BUDDIFF" localSheetId="4">FALSE</definedName>
    <definedName name="QBREPORTCOMPARECOL_BUDGET" localSheetId="4">FALSE</definedName>
    <definedName name="QBREPORTCOMPARECOL_BUDPCT" localSheetId="4">FALSE</definedName>
    <definedName name="QBREPORTCOMPARECOL_COGS" localSheetId="4">FALSE</definedName>
    <definedName name="QBREPORTCOMPARECOL_EXCLUDEAMOUNT" localSheetId="4">FALSE</definedName>
    <definedName name="QBREPORTCOMPARECOL_EXCLUDECURPERIOD" localSheetId="4">FALSE</definedName>
    <definedName name="QBREPORTCOMPARECOL_FORECAST" localSheetId="4">FALSE</definedName>
    <definedName name="QBREPORTCOMPARECOL_GROSSMARGIN" localSheetId="4">FALSE</definedName>
    <definedName name="QBREPORTCOMPARECOL_GROSSMARGINPCT" localSheetId="4">FALSE</definedName>
    <definedName name="QBREPORTCOMPARECOL_HOURS" localSheetId="4">FALSE</definedName>
    <definedName name="QBREPORTCOMPARECOL_PCTCOL" localSheetId="4">FALSE</definedName>
    <definedName name="QBREPORTCOMPARECOL_PCTEXPENSE" localSheetId="4">FALSE</definedName>
    <definedName name="QBREPORTCOMPARECOL_PCTINCOME" localSheetId="4">FALSE</definedName>
    <definedName name="QBREPORTCOMPARECOL_PCTOFSALES" localSheetId="4">FALSE</definedName>
    <definedName name="QBREPORTCOMPARECOL_PCTROW" localSheetId="4">FALSE</definedName>
    <definedName name="QBREPORTCOMPARECOL_PPDIFF" localSheetId="4">FALSE</definedName>
    <definedName name="QBREPORTCOMPARECOL_PPPCT" localSheetId="4">FALSE</definedName>
    <definedName name="QBREPORTCOMPARECOL_PREVPERIOD" localSheetId="4">FALSE</definedName>
    <definedName name="QBREPORTCOMPARECOL_PREVYEAR" localSheetId="4">FALSE</definedName>
    <definedName name="QBREPORTCOMPARECOL_PYDIFF" localSheetId="4">FALSE</definedName>
    <definedName name="QBREPORTCOMPARECOL_PYPCT" localSheetId="4">FALSE</definedName>
    <definedName name="QBREPORTCOMPARECOL_QTY" localSheetId="4">FALSE</definedName>
    <definedName name="QBREPORTCOMPARECOL_RATE" localSheetId="4">FALSE</definedName>
    <definedName name="QBREPORTCOMPARECOL_TRIPBILLEDMILES" localSheetId="4">FALSE</definedName>
    <definedName name="QBREPORTCOMPARECOL_TRIPBILLINGAMOUNT" localSheetId="4">FALSE</definedName>
    <definedName name="QBREPORTCOMPARECOL_TRIPMILES" localSheetId="4">FALSE</definedName>
    <definedName name="QBREPORTCOMPARECOL_TRIPNOTBILLABLEMILES" localSheetId="4">FALSE</definedName>
    <definedName name="QBREPORTCOMPARECOL_TRIPTAXDEDUCTIBLEAMOUNT" localSheetId="4">FALSE</definedName>
    <definedName name="QBREPORTCOMPARECOL_TRIPUNBILLEDMILES" localSheetId="4">FALSE</definedName>
    <definedName name="QBREPORTCOMPARECOL_YTD" localSheetId="4">FALSE</definedName>
    <definedName name="QBREPORTCOMPARECOL_YTDBUDGET" localSheetId="4">FALSE</definedName>
    <definedName name="QBREPORTCOMPARECOL_YTDPCT" localSheetId="4">FALSE</definedName>
    <definedName name="QBREPORTROWAXIS" localSheetId="4">12</definedName>
    <definedName name="QBREPORTSUBCOLAXIS" localSheetId="4">0</definedName>
    <definedName name="QBREPORTTYPE" localSheetId="4">109</definedName>
    <definedName name="QBROWHEADERS" localSheetId="4">4</definedName>
    <definedName name="QBSTARTDATE" localSheetId="4">20120101</definedName>
    <definedName name="RD">[1]Sheet2!$D$5</definedName>
    <definedName name="Rt">[1]Sheet2!$D$11</definedName>
    <definedName name="Ut">[1]Sheet2!$D$21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98" i="10" l="1"/>
  <c r="R899" i="10" s="1"/>
  <c r="R900" i="10" s="1"/>
  <c r="R901" i="10" s="1"/>
  <c r="T864" i="10"/>
  <c r="T865" i="10" s="1"/>
  <c r="T866" i="10" s="1"/>
  <c r="T867" i="10" s="1"/>
  <c r="T868" i="10" s="1"/>
  <c r="T869" i="10" s="1"/>
  <c r="T870" i="10" s="1"/>
  <c r="T871" i="10" s="1"/>
  <c r="T872" i="10" s="1"/>
  <c r="T873" i="10" s="1"/>
  <c r="T874" i="10" s="1"/>
  <c r="T875" i="10" s="1"/>
  <c r="T876" i="10" s="1"/>
  <c r="T877" i="10" s="1"/>
  <c r="T878" i="10" s="1"/>
  <c r="T879" i="10" s="1"/>
  <c r="T880" i="10" s="1"/>
  <c r="T881" i="10" s="1"/>
  <c r="T882" i="10" s="1"/>
  <c r="T883" i="10" s="1"/>
  <c r="T884" i="10" s="1"/>
  <c r="T885" i="10" s="1"/>
  <c r="T886" i="10" s="1"/>
  <c r="T887" i="10" s="1"/>
  <c r="T888" i="10" s="1"/>
  <c r="T889" i="10" s="1"/>
  <c r="T890" i="10" s="1"/>
  <c r="T891" i="10" s="1"/>
  <c r="T892" i="10" s="1"/>
  <c r="T893" i="10" s="1"/>
  <c r="T894" i="10" s="1"/>
  <c r="T895" i="10" s="1"/>
  <c r="T896" i="10" s="1"/>
  <c r="T897" i="10" s="1"/>
  <c r="T898" i="10" s="1"/>
  <c r="T899" i="10" s="1"/>
  <c r="T900" i="10" s="1"/>
  <c r="T901" i="10" s="1"/>
  <c r="R849" i="10"/>
  <c r="R850" i="10" s="1"/>
  <c r="R851" i="10" s="1"/>
  <c r="R852" i="10" s="1"/>
  <c r="T459" i="10"/>
  <c r="T460" i="10" s="1"/>
  <c r="T461" i="10" s="1"/>
  <c r="T462" i="10" s="1"/>
  <c r="T463" i="10" s="1"/>
  <c r="T464" i="10" s="1"/>
  <c r="T465" i="10" s="1"/>
  <c r="T466" i="10" s="1"/>
  <c r="T467" i="10" s="1"/>
  <c r="T468" i="10" s="1"/>
  <c r="T469" i="10" s="1"/>
  <c r="T470" i="10" s="1"/>
  <c r="T471" i="10" s="1"/>
  <c r="T472" i="10" s="1"/>
  <c r="T473" i="10" s="1"/>
  <c r="T474" i="10" s="1"/>
  <c r="T475" i="10" s="1"/>
  <c r="T476" i="10" s="1"/>
  <c r="T477" i="10" s="1"/>
  <c r="T478" i="10" s="1"/>
  <c r="T479" i="10" s="1"/>
  <c r="T480" i="10" s="1"/>
  <c r="T481" i="10" s="1"/>
  <c r="T482" i="10" s="1"/>
  <c r="T483" i="10" s="1"/>
  <c r="T484" i="10" s="1"/>
  <c r="T485" i="10" s="1"/>
  <c r="T486" i="10" s="1"/>
  <c r="T487" i="10" s="1"/>
  <c r="T488" i="10" s="1"/>
  <c r="T489" i="10" s="1"/>
  <c r="T490" i="10" s="1"/>
  <c r="T491" i="10" s="1"/>
  <c r="T492" i="10" s="1"/>
  <c r="T493" i="10" s="1"/>
  <c r="T494" i="10" s="1"/>
  <c r="T495" i="10" s="1"/>
  <c r="T496" i="10" s="1"/>
  <c r="T497" i="10" s="1"/>
  <c r="T498" i="10" s="1"/>
  <c r="T499" i="10" s="1"/>
  <c r="T500" i="10" s="1"/>
  <c r="T501" i="10" s="1"/>
  <c r="T502" i="10" s="1"/>
  <c r="T503" i="10" s="1"/>
  <c r="T504" i="10" s="1"/>
  <c r="T505" i="10" s="1"/>
  <c r="T506" i="10" s="1"/>
  <c r="T507" i="10" s="1"/>
  <c r="T508" i="10" s="1"/>
  <c r="T509" i="10" s="1"/>
  <c r="T510" i="10" s="1"/>
  <c r="T511" i="10" s="1"/>
  <c r="T512" i="10" s="1"/>
  <c r="T513" i="10" s="1"/>
  <c r="T514" i="10" s="1"/>
  <c r="T515" i="10" s="1"/>
  <c r="T516" i="10" s="1"/>
  <c r="T517" i="10" s="1"/>
  <c r="T518" i="10" s="1"/>
  <c r="T519" i="10" s="1"/>
  <c r="T520" i="10" s="1"/>
  <c r="T521" i="10" s="1"/>
  <c r="T522" i="10" s="1"/>
  <c r="T523" i="10" s="1"/>
  <c r="T524" i="10" s="1"/>
  <c r="T525" i="10" s="1"/>
  <c r="T526" i="10" s="1"/>
  <c r="T527" i="10" s="1"/>
  <c r="T528" i="10" s="1"/>
  <c r="T529" i="10" s="1"/>
  <c r="T530" i="10" s="1"/>
  <c r="T531" i="10" s="1"/>
  <c r="T532" i="10" s="1"/>
  <c r="T533" i="10" s="1"/>
  <c r="T534" i="10" s="1"/>
  <c r="T535" i="10" s="1"/>
  <c r="T536" i="10" s="1"/>
  <c r="T537" i="10" s="1"/>
  <c r="T538" i="10" s="1"/>
  <c r="T539" i="10" s="1"/>
  <c r="T540" i="10" s="1"/>
  <c r="T541" i="10" s="1"/>
  <c r="T542" i="10" s="1"/>
  <c r="T543" i="10" s="1"/>
  <c r="T544" i="10" s="1"/>
  <c r="T545" i="10" s="1"/>
  <c r="T546" i="10" s="1"/>
  <c r="T547" i="10" s="1"/>
  <c r="T548" i="10" s="1"/>
  <c r="T549" i="10" s="1"/>
  <c r="T550" i="10" s="1"/>
  <c r="T551" i="10" s="1"/>
  <c r="T552" i="10" s="1"/>
  <c r="T553" i="10" s="1"/>
  <c r="T554" i="10" s="1"/>
  <c r="T555" i="10" s="1"/>
  <c r="T556" i="10" s="1"/>
  <c r="T557" i="10" s="1"/>
  <c r="T558" i="10" s="1"/>
  <c r="T559" i="10" s="1"/>
  <c r="T560" i="10" s="1"/>
  <c r="T561" i="10" s="1"/>
  <c r="T562" i="10" s="1"/>
  <c r="T563" i="10" s="1"/>
  <c r="T564" i="10" s="1"/>
  <c r="T565" i="10" s="1"/>
  <c r="T566" i="10" s="1"/>
  <c r="T567" i="10" s="1"/>
  <c r="T568" i="10" s="1"/>
  <c r="T569" i="10" s="1"/>
  <c r="T570" i="10" s="1"/>
  <c r="T571" i="10" s="1"/>
  <c r="T572" i="10" s="1"/>
  <c r="T573" i="10" s="1"/>
  <c r="T574" i="10" s="1"/>
  <c r="T575" i="10" s="1"/>
  <c r="T576" i="10" s="1"/>
  <c r="T577" i="10" s="1"/>
  <c r="T578" i="10" s="1"/>
  <c r="T579" i="10" s="1"/>
  <c r="T580" i="10" s="1"/>
  <c r="T581" i="10" s="1"/>
  <c r="T582" i="10" s="1"/>
  <c r="T583" i="10" s="1"/>
  <c r="T584" i="10" s="1"/>
  <c r="T585" i="10" s="1"/>
  <c r="T586" i="10" s="1"/>
  <c r="T587" i="10" s="1"/>
  <c r="T588" i="10" s="1"/>
  <c r="T589" i="10" s="1"/>
  <c r="T590" i="10" s="1"/>
  <c r="T591" i="10" s="1"/>
  <c r="T592" i="10" s="1"/>
  <c r="T593" i="10" s="1"/>
  <c r="T594" i="10" s="1"/>
  <c r="T595" i="10" s="1"/>
  <c r="T596" i="10" s="1"/>
  <c r="T597" i="10" s="1"/>
  <c r="T598" i="10" s="1"/>
  <c r="T599" i="10" s="1"/>
  <c r="T600" i="10" s="1"/>
  <c r="T601" i="10" s="1"/>
  <c r="T602" i="10" s="1"/>
  <c r="T603" i="10" s="1"/>
  <c r="T604" i="10" s="1"/>
  <c r="T605" i="10" s="1"/>
  <c r="T606" i="10" s="1"/>
  <c r="T607" i="10" s="1"/>
  <c r="T608" i="10" s="1"/>
  <c r="T609" i="10" s="1"/>
  <c r="T610" i="10" s="1"/>
  <c r="T611" i="10" s="1"/>
  <c r="T612" i="10" s="1"/>
  <c r="T613" i="10" s="1"/>
  <c r="T614" i="10" s="1"/>
  <c r="T615" i="10" s="1"/>
  <c r="T616" i="10" s="1"/>
  <c r="T617" i="10" s="1"/>
  <c r="T618" i="10" s="1"/>
  <c r="T619" i="10" s="1"/>
  <c r="T620" i="10" s="1"/>
  <c r="T621" i="10" s="1"/>
  <c r="T622" i="10" s="1"/>
  <c r="T623" i="10" s="1"/>
  <c r="T624" i="10" s="1"/>
  <c r="T625" i="10" s="1"/>
  <c r="T626" i="10" s="1"/>
  <c r="T627" i="10" s="1"/>
  <c r="T628" i="10" s="1"/>
  <c r="T629" i="10" s="1"/>
  <c r="T630" i="10" s="1"/>
  <c r="T631" i="10" s="1"/>
  <c r="T632" i="10" s="1"/>
  <c r="T633" i="10" s="1"/>
  <c r="T634" i="10" s="1"/>
  <c r="T635" i="10" s="1"/>
  <c r="T636" i="10" s="1"/>
  <c r="T637" i="10" s="1"/>
  <c r="T638" i="10" s="1"/>
  <c r="T639" i="10" s="1"/>
  <c r="T640" i="10" s="1"/>
  <c r="T641" i="10" s="1"/>
  <c r="T642" i="10" s="1"/>
  <c r="T643" i="10" s="1"/>
  <c r="T644" i="10" s="1"/>
  <c r="T645" i="10" s="1"/>
  <c r="T646" i="10" s="1"/>
  <c r="T647" i="10" s="1"/>
  <c r="T648" i="10" s="1"/>
  <c r="T649" i="10" s="1"/>
  <c r="T650" i="10" s="1"/>
  <c r="T651" i="10" s="1"/>
  <c r="T652" i="10" s="1"/>
  <c r="T653" i="10" s="1"/>
  <c r="T654" i="10" s="1"/>
  <c r="T655" i="10" s="1"/>
  <c r="T656" i="10" s="1"/>
  <c r="T657" i="10" s="1"/>
  <c r="T658" i="10" s="1"/>
  <c r="T659" i="10" s="1"/>
  <c r="T660" i="10" s="1"/>
  <c r="T661" i="10" s="1"/>
  <c r="T662" i="10" s="1"/>
  <c r="T663" i="10" s="1"/>
  <c r="T664" i="10" s="1"/>
  <c r="T665" i="10" s="1"/>
  <c r="T666" i="10" s="1"/>
  <c r="T667" i="10" s="1"/>
  <c r="T668" i="10" s="1"/>
  <c r="T669" i="10" s="1"/>
  <c r="T670" i="10" s="1"/>
  <c r="T671" i="10" s="1"/>
  <c r="T672" i="10" s="1"/>
  <c r="T673" i="10" s="1"/>
  <c r="T674" i="10" s="1"/>
  <c r="T675" i="10" s="1"/>
  <c r="T676" i="10" s="1"/>
  <c r="T677" i="10" s="1"/>
  <c r="T678" i="10" s="1"/>
  <c r="T679" i="10" s="1"/>
  <c r="T680" i="10" s="1"/>
  <c r="T681" i="10" s="1"/>
  <c r="T682" i="10" s="1"/>
  <c r="T683" i="10" s="1"/>
  <c r="T684" i="10" s="1"/>
  <c r="T685" i="10" s="1"/>
  <c r="T686" i="10" s="1"/>
  <c r="T687" i="10" s="1"/>
  <c r="T688" i="10" s="1"/>
  <c r="T689" i="10" s="1"/>
  <c r="T690" i="10" s="1"/>
  <c r="T691" i="10" s="1"/>
  <c r="T692" i="10" s="1"/>
  <c r="T693" i="10" s="1"/>
  <c r="T694" i="10" s="1"/>
  <c r="T695" i="10" s="1"/>
  <c r="T696" i="10" s="1"/>
  <c r="T697" i="10" s="1"/>
  <c r="T698" i="10" s="1"/>
  <c r="T699" i="10" s="1"/>
  <c r="T700" i="10" s="1"/>
  <c r="T701" i="10" s="1"/>
  <c r="T702" i="10" s="1"/>
  <c r="T703" i="10" s="1"/>
  <c r="T704" i="10" s="1"/>
  <c r="T705" i="10" s="1"/>
  <c r="T706" i="10" s="1"/>
  <c r="T707" i="10" s="1"/>
  <c r="T708" i="10" s="1"/>
  <c r="T709" i="10" s="1"/>
  <c r="T710" i="10" s="1"/>
  <c r="T711" i="10" s="1"/>
  <c r="T712" i="10" s="1"/>
  <c r="T713" i="10" s="1"/>
  <c r="T714" i="10" s="1"/>
  <c r="T715" i="10" s="1"/>
  <c r="T716" i="10" s="1"/>
  <c r="T717" i="10" s="1"/>
  <c r="T718" i="10" s="1"/>
  <c r="T719" i="10" s="1"/>
  <c r="T720" i="10" s="1"/>
  <c r="T721" i="10" s="1"/>
  <c r="T722" i="10" s="1"/>
  <c r="T723" i="10" s="1"/>
  <c r="T724" i="10" s="1"/>
  <c r="T725" i="10" s="1"/>
  <c r="T726" i="10" s="1"/>
  <c r="T727" i="10" s="1"/>
  <c r="T728" i="10" s="1"/>
  <c r="T729" i="10" s="1"/>
  <c r="T730" i="10" s="1"/>
  <c r="T731" i="10" s="1"/>
  <c r="T732" i="10" s="1"/>
  <c r="T733" i="10" s="1"/>
  <c r="T734" i="10" s="1"/>
  <c r="T735" i="10" s="1"/>
  <c r="T736" i="10" s="1"/>
  <c r="T737" i="10" s="1"/>
  <c r="T738" i="10" s="1"/>
  <c r="T739" i="10" s="1"/>
  <c r="T740" i="10" s="1"/>
  <c r="T741" i="10" s="1"/>
  <c r="T742" i="10" s="1"/>
  <c r="T743" i="10" s="1"/>
  <c r="T744" i="10" s="1"/>
  <c r="T745" i="10" s="1"/>
  <c r="T746" i="10" s="1"/>
  <c r="T747" i="10" s="1"/>
  <c r="T748" i="10" s="1"/>
  <c r="T749" i="10" s="1"/>
  <c r="T750" i="10" s="1"/>
  <c r="T751" i="10" s="1"/>
  <c r="T752" i="10" s="1"/>
  <c r="T753" i="10" s="1"/>
  <c r="T754" i="10" s="1"/>
  <c r="T755" i="10" s="1"/>
  <c r="T756" i="10" s="1"/>
  <c r="T757" i="10" s="1"/>
  <c r="T758" i="10" s="1"/>
  <c r="T759" i="10" s="1"/>
  <c r="T760" i="10" s="1"/>
  <c r="T761" i="10" s="1"/>
  <c r="T762" i="10" s="1"/>
  <c r="T763" i="10" s="1"/>
  <c r="T764" i="10" s="1"/>
  <c r="T765" i="10" s="1"/>
  <c r="T766" i="10" s="1"/>
  <c r="T767" i="10" s="1"/>
  <c r="T768" i="10" s="1"/>
  <c r="T769" i="10" s="1"/>
  <c r="T770" i="10" s="1"/>
  <c r="T771" i="10" s="1"/>
  <c r="T772" i="10" s="1"/>
  <c r="T773" i="10" s="1"/>
  <c r="T774" i="10" s="1"/>
  <c r="T775" i="10" s="1"/>
  <c r="T776" i="10" s="1"/>
  <c r="T777" i="10" s="1"/>
  <c r="T778" i="10" s="1"/>
  <c r="T779" i="10" s="1"/>
  <c r="T780" i="10" s="1"/>
  <c r="T781" i="10" s="1"/>
  <c r="T782" i="10" s="1"/>
  <c r="T783" i="10" s="1"/>
  <c r="T784" i="10" s="1"/>
  <c r="T785" i="10" s="1"/>
  <c r="T786" i="10" s="1"/>
  <c r="T787" i="10" s="1"/>
  <c r="T788" i="10" s="1"/>
  <c r="T789" i="10" s="1"/>
  <c r="T790" i="10" s="1"/>
  <c r="T791" i="10" s="1"/>
  <c r="T792" i="10" s="1"/>
  <c r="T793" i="10" s="1"/>
  <c r="T794" i="10" s="1"/>
  <c r="T795" i="10" s="1"/>
  <c r="T796" i="10" s="1"/>
  <c r="T797" i="10" s="1"/>
  <c r="T798" i="10" s="1"/>
  <c r="T799" i="10" s="1"/>
  <c r="T800" i="10" s="1"/>
  <c r="T801" i="10" s="1"/>
  <c r="T802" i="10" s="1"/>
  <c r="T803" i="10" s="1"/>
  <c r="T804" i="10" s="1"/>
  <c r="T805" i="10" s="1"/>
  <c r="T806" i="10" s="1"/>
  <c r="T807" i="10" s="1"/>
  <c r="T808" i="10" s="1"/>
  <c r="T809" i="10" s="1"/>
  <c r="T810" i="10" s="1"/>
  <c r="T811" i="10" s="1"/>
  <c r="T812" i="10" s="1"/>
  <c r="T813" i="10" s="1"/>
  <c r="T814" i="10" s="1"/>
  <c r="T815" i="10" s="1"/>
  <c r="T816" i="10" s="1"/>
  <c r="T817" i="10" s="1"/>
  <c r="T818" i="10" s="1"/>
  <c r="T819" i="10" s="1"/>
  <c r="T820" i="10" s="1"/>
  <c r="T821" i="10" s="1"/>
  <c r="T822" i="10" s="1"/>
  <c r="T823" i="10" s="1"/>
  <c r="T824" i="10" s="1"/>
  <c r="T825" i="10" s="1"/>
  <c r="T826" i="10" s="1"/>
  <c r="T827" i="10" s="1"/>
  <c r="T828" i="10" s="1"/>
  <c r="T829" i="10" s="1"/>
  <c r="T830" i="10" s="1"/>
  <c r="T831" i="10" s="1"/>
  <c r="T832" i="10" s="1"/>
  <c r="T833" i="10" s="1"/>
  <c r="T834" i="10" s="1"/>
  <c r="T835" i="10" s="1"/>
  <c r="T836" i="10" s="1"/>
  <c r="T837" i="10" s="1"/>
  <c r="T838" i="10" s="1"/>
  <c r="T839" i="10" s="1"/>
  <c r="T840" i="10" s="1"/>
  <c r="T841" i="10" s="1"/>
  <c r="T842" i="10" s="1"/>
  <c r="T843" i="10" s="1"/>
  <c r="T844" i="10" s="1"/>
  <c r="T845" i="10" s="1"/>
  <c r="T846" i="10" s="1"/>
  <c r="T847" i="10" s="1"/>
  <c r="T848" i="10" s="1"/>
  <c r="T849" i="10" s="1"/>
  <c r="T850" i="10" s="1"/>
  <c r="T851" i="10" s="1"/>
  <c r="T852" i="10" s="1"/>
  <c r="R444" i="10"/>
  <c r="R445" i="10" s="1"/>
  <c r="R446" i="10" s="1"/>
  <c r="R447" i="10" s="1"/>
  <c r="T401" i="10"/>
  <c r="T402" i="10" s="1"/>
  <c r="T403" i="10" s="1"/>
  <c r="T404" i="10" s="1"/>
  <c r="T405" i="10" s="1"/>
  <c r="T406" i="10" s="1"/>
  <c r="T407" i="10" s="1"/>
  <c r="T408" i="10" s="1"/>
  <c r="T409" i="10" s="1"/>
  <c r="T410" i="10" s="1"/>
  <c r="T411" i="10" s="1"/>
  <c r="T412" i="10" s="1"/>
  <c r="T413" i="10" s="1"/>
  <c r="T414" i="10" s="1"/>
  <c r="T415" i="10" s="1"/>
  <c r="T416" i="10" s="1"/>
  <c r="T417" i="10" s="1"/>
  <c r="T418" i="10" s="1"/>
  <c r="T419" i="10" s="1"/>
  <c r="T420" i="10" s="1"/>
  <c r="T421" i="10" s="1"/>
  <c r="T422" i="10" s="1"/>
  <c r="T423" i="10" s="1"/>
  <c r="T424" i="10" s="1"/>
  <c r="T425" i="10" s="1"/>
  <c r="T426" i="10" s="1"/>
  <c r="T427" i="10" s="1"/>
  <c r="T428" i="10" s="1"/>
  <c r="T429" i="10" s="1"/>
  <c r="T430" i="10" s="1"/>
  <c r="T431" i="10" s="1"/>
  <c r="T432" i="10" s="1"/>
  <c r="T433" i="10" s="1"/>
  <c r="T434" i="10" s="1"/>
  <c r="T435" i="10" s="1"/>
  <c r="T436" i="10" s="1"/>
  <c r="T437" i="10" s="1"/>
  <c r="T438" i="10" s="1"/>
  <c r="T439" i="10" s="1"/>
  <c r="T440" i="10" s="1"/>
  <c r="T441" i="10" s="1"/>
  <c r="T442" i="10" s="1"/>
  <c r="T443" i="10" s="1"/>
  <c r="T444" i="10" s="1"/>
  <c r="T445" i="10" s="1"/>
  <c r="T446" i="10" s="1"/>
  <c r="T447" i="10" s="1"/>
  <c r="R386" i="10"/>
  <c r="R387" i="10" s="1"/>
  <c r="R388" i="10" s="1"/>
  <c r="R389" i="10" s="1"/>
  <c r="R390" i="10" s="1"/>
  <c r="T160" i="10"/>
  <c r="T161" i="10" s="1"/>
  <c r="T162" i="10" s="1"/>
  <c r="T163" i="10" s="1"/>
  <c r="T164" i="10" s="1"/>
  <c r="T165" i="10" s="1"/>
  <c r="T166" i="10" s="1"/>
  <c r="T167" i="10" s="1"/>
  <c r="T168" i="10" s="1"/>
  <c r="T169" i="10" s="1"/>
  <c r="T170" i="10" s="1"/>
  <c r="T171" i="10" s="1"/>
  <c r="T172" i="10" s="1"/>
  <c r="T173" i="10" s="1"/>
  <c r="T174" i="10" s="1"/>
  <c r="T175" i="10" s="1"/>
  <c r="T176" i="10" s="1"/>
  <c r="T177" i="10" s="1"/>
  <c r="T178" i="10" s="1"/>
  <c r="T179" i="10" s="1"/>
  <c r="T180" i="10" s="1"/>
  <c r="T181" i="10" s="1"/>
  <c r="T182" i="10" s="1"/>
  <c r="T183" i="10" s="1"/>
  <c r="T184" i="10" s="1"/>
  <c r="T185" i="10" s="1"/>
  <c r="T186" i="10" s="1"/>
  <c r="T187" i="10" s="1"/>
  <c r="T188" i="10" s="1"/>
  <c r="T189" i="10" s="1"/>
  <c r="T190" i="10" s="1"/>
  <c r="T191" i="10" s="1"/>
  <c r="T192" i="10" s="1"/>
  <c r="T193" i="10" s="1"/>
  <c r="T194" i="10" s="1"/>
  <c r="T195" i="10" s="1"/>
  <c r="T196" i="10" s="1"/>
  <c r="T197" i="10" s="1"/>
  <c r="T198" i="10" s="1"/>
  <c r="T199" i="10" s="1"/>
  <c r="T200" i="10" s="1"/>
  <c r="T201" i="10" s="1"/>
  <c r="T202" i="10" s="1"/>
  <c r="T203" i="10" s="1"/>
  <c r="T204" i="10" s="1"/>
  <c r="T205" i="10" s="1"/>
  <c r="T206" i="10" s="1"/>
  <c r="T207" i="10" s="1"/>
  <c r="T208" i="10" s="1"/>
  <c r="T209" i="10" s="1"/>
  <c r="T210" i="10" s="1"/>
  <c r="T211" i="10" s="1"/>
  <c r="T212" i="10" s="1"/>
  <c r="T213" i="10" s="1"/>
  <c r="T214" i="10" s="1"/>
  <c r="T215" i="10" s="1"/>
  <c r="T216" i="10" s="1"/>
  <c r="T217" i="10" s="1"/>
  <c r="T218" i="10" s="1"/>
  <c r="T219" i="10" s="1"/>
  <c r="T220" i="10" s="1"/>
  <c r="T221" i="10" s="1"/>
  <c r="T222" i="10" s="1"/>
  <c r="T223" i="10" s="1"/>
  <c r="T224" i="10" s="1"/>
  <c r="T225" i="10" s="1"/>
  <c r="T226" i="10" s="1"/>
  <c r="T227" i="10" s="1"/>
  <c r="T228" i="10" s="1"/>
  <c r="T229" i="10" s="1"/>
  <c r="T230" i="10" s="1"/>
  <c r="T231" i="10" s="1"/>
  <c r="T232" i="10" s="1"/>
  <c r="T233" i="10" s="1"/>
  <c r="T234" i="10" s="1"/>
  <c r="T235" i="10" s="1"/>
  <c r="T236" i="10" s="1"/>
  <c r="T237" i="10" s="1"/>
  <c r="T238" i="10" s="1"/>
  <c r="T239" i="10" s="1"/>
  <c r="T240" i="10" s="1"/>
  <c r="T241" i="10" s="1"/>
  <c r="T242" i="10" s="1"/>
  <c r="T243" i="10" s="1"/>
  <c r="T244" i="10" s="1"/>
  <c r="T245" i="10" s="1"/>
  <c r="T246" i="10" s="1"/>
  <c r="T247" i="10" s="1"/>
  <c r="T248" i="10" s="1"/>
  <c r="T249" i="10" s="1"/>
  <c r="T250" i="10" s="1"/>
  <c r="T251" i="10" s="1"/>
  <c r="T252" i="10" s="1"/>
  <c r="T253" i="10" s="1"/>
  <c r="T254" i="10" s="1"/>
  <c r="T255" i="10" s="1"/>
  <c r="T256" i="10" s="1"/>
  <c r="T257" i="10" s="1"/>
  <c r="T258" i="10" s="1"/>
  <c r="T259" i="10" s="1"/>
  <c r="T260" i="10" s="1"/>
  <c r="T261" i="10" s="1"/>
  <c r="T262" i="10" s="1"/>
  <c r="T263" i="10" s="1"/>
  <c r="T264" i="10" s="1"/>
  <c r="T265" i="10" s="1"/>
  <c r="T266" i="10" s="1"/>
  <c r="T267" i="10" s="1"/>
  <c r="T268" i="10" s="1"/>
  <c r="T269" i="10" s="1"/>
  <c r="T270" i="10" s="1"/>
  <c r="T271" i="10" s="1"/>
  <c r="T272" i="10" s="1"/>
  <c r="T273" i="10" s="1"/>
  <c r="T274" i="10" s="1"/>
  <c r="T275" i="10" s="1"/>
  <c r="T276" i="10" s="1"/>
  <c r="T277" i="10" s="1"/>
  <c r="T278" i="10" s="1"/>
  <c r="T279" i="10" s="1"/>
  <c r="T280" i="10" s="1"/>
  <c r="T281" i="10" s="1"/>
  <c r="T282" i="10" s="1"/>
  <c r="T283" i="10" s="1"/>
  <c r="T284" i="10" s="1"/>
  <c r="T285" i="10" s="1"/>
  <c r="T286" i="10" s="1"/>
  <c r="T287" i="10" s="1"/>
  <c r="T288" i="10" s="1"/>
  <c r="T289" i="10" s="1"/>
  <c r="T290" i="10" s="1"/>
  <c r="T291" i="10" s="1"/>
  <c r="T292" i="10" s="1"/>
  <c r="T293" i="10" s="1"/>
  <c r="T294" i="10" s="1"/>
  <c r="T295" i="10" s="1"/>
  <c r="T296" i="10" s="1"/>
  <c r="T297" i="10" s="1"/>
  <c r="T298" i="10" s="1"/>
  <c r="T299" i="10" s="1"/>
  <c r="T300" i="10" s="1"/>
  <c r="T301" i="10" s="1"/>
  <c r="T302" i="10" s="1"/>
  <c r="T303" i="10" s="1"/>
  <c r="T304" i="10" s="1"/>
  <c r="T305" i="10" s="1"/>
  <c r="T306" i="10" s="1"/>
  <c r="T307" i="10" s="1"/>
  <c r="T308" i="10" s="1"/>
  <c r="T309" i="10" s="1"/>
  <c r="T310" i="10" s="1"/>
  <c r="T311" i="10" s="1"/>
  <c r="T312" i="10" s="1"/>
  <c r="T313" i="10" s="1"/>
  <c r="T314" i="10" s="1"/>
  <c r="T315" i="10" s="1"/>
  <c r="T316" i="10" s="1"/>
  <c r="T317" i="10" s="1"/>
  <c r="T318" i="10" s="1"/>
  <c r="T319" i="10" s="1"/>
  <c r="T320" i="10" s="1"/>
  <c r="T321" i="10" s="1"/>
  <c r="T322" i="10" s="1"/>
  <c r="T323" i="10" s="1"/>
  <c r="T324" i="10" s="1"/>
  <c r="T325" i="10" s="1"/>
  <c r="T326" i="10" s="1"/>
  <c r="T327" i="10" s="1"/>
  <c r="T328" i="10" s="1"/>
  <c r="T329" i="10" s="1"/>
  <c r="T330" i="10" s="1"/>
  <c r="T331" i="10" s="1"/>
  <c r="T332" i="10" s="1"/>
  <c r="T333" i="10" s="1"/>
  <c r="T334" i="10" s="1"/>
  <c r="T335" i="10" s="1"/>
  <c r="T336" i="10" s="1"/>
  <c r="T337" i="10" s="1"/>
  <c r="T338" i="10" s="1"/>
  <c r="T339" i="10" s="1"/>
  <c r="T340" i="10" s="1"/>
  <c r="T341" i="10" s="1"/>
  <c r="T342" i="10" s="1"/>
  <c r="T343" i="10" s="1"/>
  <c r="T344" i="10" s="1"/>
  <c r="T345" i="10" s="1"/>
  <c r="T346" i="10" s="1"/>
  <c r="T347" i="10" s="1"/>
  <c r="T348" i="10" s="1"/>
  <c r="T349" i="10" s="1"/>
  <c r="T350" i="10" s="1"/>
  <c r="T351" i="10" s="1"/>
  <c r="T352" i="10" s="1"/>
  <c r="T353" i="10" s="1"/>
  <c r="T354" i="10" s="1"/>
  <c r="T355" i="10" s="1"/>
  <c r="T356" i="10" s="1"/>
  <c r="T357" i="10" s="1"/>
  <c r="T358" i="10" s="1"/>
  <c r="T359" i="10" s="1"/>
  <c r="T360" i="10" s="1"/>
  <c r="T361" i="10" s="1"/>
  <c r="T362" i="10" s="1"/>
  <c r="T363" i="10" s="1"/>
  <c r="T364" i="10" s="1"/>
  <c r="T365" i="10" s="1"/>
  <c r="T366" i="10" s="1"/>
  <c r="T367" i="10" s="1"/>
  <c r="T368" i="10" s="1"/>
  <c r="T369" i="10" s="1"/>
  <c r="T370" i="10" s="1"/>
  <c r="T371" i="10" s="1"/>
  <c r="T372" i="10" s="1"/>
  <c r="T373" i="10" s="1"/>
  <c r="T374" i="10" s="1"/>
  <c r="T375" i="10" s="1"/>
  <c r="T376" i="10" s="1"/>
  <c r="T377" i="10" s="1"/>
  <c r="T378" i="10" s="1"/>
  <c r="T379" i="10" s="1"/>
  <c r="T380" i="10" s="1"/>
  <c r="T381" i="10" s="1"/>
  <c r="T382" i="10" s="1"/>
  <c r="T383" i="10" s="1"/>
  <c r="T384" i="10" s="1"/>
  <c r="T385" i="10" s="1"/>
  <c r="T386" i="10" s="1"/>
  <c r="T387" i="10" s="1"/>
  <c r="T388" i="10" s="1"/>
  <c r="T389" i="10" s="1"/>
  <c r="T390" i="10" s="1"/>
  <c r="T145" i="10"/>
  <c r="T146" i="10" s="1"/>
  <c r="T147" i="10" s="1"/>
  <c r="R145" i="10"/>
  <c r="R146" i="10" s="1"/>
  <c r="R147" i="10" s="1"/>
  <c r="T10" i="10"/>
  <c r="T11" i="10" s="1"/>
  <c r="T12" i="10" s="1"/>
  <c r="T13" i="10" s="1"/>
  <c r="T14" i="10" s="1"/>
  <c r="T15" i="10" s="1"/>
  <c r="T16" i="10" s="1"/>
  <c r="T17" i="10" s="1"/>
  <c r="T18" i="10" s="1"/>
  <c r="T19" i="10" s="1"/>
  <c r="T20" i="10" s="1"/>
  <c r="T21" i="10" s="1"/>
  <c r="T22" i="10" s="1"/>
  <c r="T23" i="10" s="1"/>
  <c r="T24" i="10" s="1"/>
  <c r="T25" i="10" s="1"/>
  <c r="T26" i="10" s="1"/>
  <c r="T27" i="10" s="1"/>
  <c r="T28" i="10" s="1"/>
  <c r="T29" i="10" s="1"/>
  <c r="T30" i="10" s="1"/>
  <c r="T31" i="10" s="1"/>
  <c r="T32" i="10" s="1"/>
  <c r="T33" i="10" s="1"/>
  <c r="T34" i="10" s="1"/>
  <c r="T35" i="10" s="1"/>
  <c r="T36" i="10" s="1"/>
  <c r="T37" i="10" s="1"/>
  <c r="T38" i="10" s="1"/>
  <c r="T39" i="10" s="1"/>
  <c r="T40" i="10" s="1"/>
  <c r="T41" i="10" s="1"/>
  <c r="T42" i="10" s="1"/>
  <c r="T43" i="10" s="1"/>
  <c r="T44" i="10" s="1"/>
  <c r="T45" i="10" s="1"/>
  <c r="T46" i="10" s="1"/>
  <c r="T47" i="10" s="1"/>
  <c r="T48" i="10" s="1"/>
  <c r="T49" i="10" s="1"/>
  <c r="T50" i="10" s="1"/>
  <c r="T51" i="10" s="1"/>
  <c r="T52" i="10" s="1"/>
  <c r="T53" i="10" s="1"/>
  <c r="T54" i="10" s="1"/>
  <c r="T55" i="10" s="1"/>
  <c r="T56" i="10" s="1"/>
  <c r="T57" i="10" s="1"/>
  <c r="T58" i="10" s="1"/>
  <c r="T59" i="10" s="1"/>
  <c r="T60" i="10" s="1"/>
  <c r="T61" i="10" s="1"/>
  <c r="T62" i="10" s="1"/>
  <c r="T63" i="10" s="1"/>
  <c r="T64" i="10" s="1"/>
  <c r="T65" i="10" s="1"/>
  <c r="T66" i="10" s="1"/>
  <c r="T67" i="10" s="1"/>
  <c r="T68" i="10" s="1"/>
  <c r="T69" i="10" s="1"/>
  <c r="T70" i="10" s="1"/>
  <c r="T71" i="10" s="1"/>
  <c r="T72" i="10" s="1"/>
  <c r="T73" i="10" s="1"/>
  <c r="T74" i="10" s="1"/>
  <c r="T75" i="10" s="1"/>
  <c r="T76" i="10" s="1"/>
  <c r="T77" i="10" s="1"/>
  <c r="T78" i="10" s="1"/>
  <c r="T79" i="10" s="1"/>
  <c r="T80" i="10" s="1"/>
  <c r="T81" i="10" s="1"/>
  <c r="T82" i="10" s="1"/>
  <c r="T83" i="10" s="1"/>
  <c r="T84" i="10" s="1"/>
  <c r="T85" i="10" s="1"/>
  <c r="T86" i="10" s="1"/>
  <c r="T87" i="10" s="1"/>
  <c r="T88" i="10" s="1"/>
  <c r="T89" i="10" s="1"/>
  <c r="T90" i="10" s="1"/>
  <c r="T91" i="10" s="1"/>
  <c r="T92" i="10" s="1"/>
  <c r="T93" i="10" s="1"/>
  <c r="T94" i="10" s="1"/>
  <c r="T95" i="10" s="1"/>
  <c r="T96" i="10" s="1"/>
  <c r="T97" i="10" s="1"/>
  <c r="T98" i="10" s="1"/>
  <c r="T99" i="10" s="1"/>
  <c r="T100" i="10" s="1"/>
  <c r="T101" i="10" s="1"/>
  <c r="T102" i="10" s="1"/>
  <c r="T103" i="10" s="1"/>
  <c r="T104" i="10" s="1"/>
  <c r="T105" i="10" s="1"/>
  <c r="T106" i="10" s="1"/>
  <c r="T107" i="10" s="1"/>
  <c r="T108" i="10" s="1"/>
  <c r="T109" i="10" s="1"/>
  <c r="T110" i="10" s="1"/>
  <c r="T111" i="10" s="1"/>
  <c r="T112" i="10" s="1"/>
  <c r="T113" i="10" s="1"/>
  <c r="T114" i="10" s="1"/>
  <c r="T115" i="10" s="1"/>
  <c r="T116" i="10" s="1"/>
  <c r="T117" i="10" s="1"/>
  <c r="T118" i="10" s="1"/>
  <c r="T119" i="10" s="1"/>
  <c r="T120" i="10" s="1"/>
  <c r="T121" i="10" s="1"/>
  <c r="T122" i="10" s="1"/>
  <c r="T123" i="10" s="1"/>
  <c r="T124" i="10" s="1"/>
  <c r="T125" i="10" s="1"/>
  <c r="T126" i="10" s="1"/>
  <c r="T127" i="10" s="1"/>
  <c r="T128" i="10" s="1"/>
  <c r="T129" i="10" s="1"/>
  <c r="T130" i="10" s="1"/>
  <c r="T131" i="10" s="1"/>
  <c r="T132" i="10" s="1"/>
  <c r="T133" i="10" s="1"/>
  <c r="T134" i="10" s="1"/>
  <c r="T135" i="10" s="1"/>
  <c r="T136" i="10" s="1"/>
  <c r="T137" i="10" s="1"/>
  <c r="T138" i="10" s="1"/>
  <c r="T139" i="10" s="1"/>
  <c r="T140" i="10" s="1"/>
  <c r="T141" i="10" s="1"/>
  <c r="T142" i="10" s="1"/>
  <c r="T143" i="10" s="1"/>
  <c r="G16" i="5"/>
  <c r="G17" i="5"/>
  <c r="G18" i="5"/>
  <c r="G19" i="5"/>
  <c r="G7" i="5"/>
  <c r="G8" i="5"/>
  <c r="G9" i="5"/>
  <c r="G10" i="5"/>
  <c r="G11" i="5"/>
  <c r="G12" i="5"/>
  <c r="G13" i="5"/>
  <c r="G14" i="5"/>
  <c r="G15" i="5"/>
  <c r="G6" i="5"/>
  <c r="AM108" i="8"/>
  <c r="AJ108" i="8"/>
  <c r="AG108" i="8"/>
  <c r="AD108" i="8"/>
  <c r="AA108" i="8"/>
  <c r="X108" i="8"/>
  <c r="U108" i="8"/>
  <c r="R108" i="8"/>
  <c r="O108" i="8"/>
  <c r="L108" i="8"/>
  <c r="I108" i="8"/>
  <c r="F108" i="8"/>
  <c r="P105" i="8"/>
  <c r="N105" i="8"/>
  <c r="O105" i="8" s="1"/>
  <c r="M105" i="8"/>
  <c r="K105" i="8"/>
  <c r="AL102" i="8"/>
  <c r="AM102" i="8" s="1"/>
  <c r="AK102" i="8"/>
  <c r="AI102" i="8"/>
  <c r="AJ102" i="8" s="1"/>
  <c r="AH102" i="8"/>
  <c r="AF102" i="8"/>
  <c r="AG102" i="8" s="1"/>
  <c r="AE102" i="8"/>
  <c r="AC102" i="8"/>
  <c r="AD102" i="8" s="1"/>
  <c r="AB102" i="8"/>
  <c r="Z102" i="8"/>
  <c r="AA102" i="8" s="1"/>
  <c r="Y102" i="8"/>
  <c r="W102" i="8"/>
  <c r="X102" i="8" s="1"/>
  <c r="V102" i="8"/>
  <c r="T102" i="8"/>
  <c r="U102" i="8" s="1"/>
  <c r="S102" i="8"/>
  <c r="R102" i="8"/>
  <c r="Q102" i="8"/>
  <c r="P102" i="8"/>
  <c r="N102" i="8"/>
  <c r="O102" i="8" s="1"/>
  <c r="M102" i="8"/>
  <c r="K102" i="8"/>
  <c r="L102" i="8" s="1"/>
  <c r="J102" i="8"/>
  <c r="H102" i="8"/>
  <c r="I102" i="8" s="1"/>
  <c r="G102" i="8"/>
  <c r="E102" i="8"/>
  <c r="F102" i="8" s="1"/>
  <c r="D102" i="8"/>
  <c r="AO101" i="8"/>
  <c r="AP101" i="8" s="1"/>
  <c r="AN101" i="8"/>
  <c r="AN102" i="8" s="1"/>
  <c r="AM101" i="8"/>
  <c r="AJ101" i="8"/>
  <c r="AG101" i="8"/>
  <c r="AD101" i="8"/>
  <c r="AA101" i="8"/>
  <c r="X101" i="8"/>
  <c r="U101" i="8"/>
  <c r="R101" i="8"/>
  <c r="O101" i="8"/>
  <c r="L101" i="8"/>
  <c r="I101" i="8"/>
  <c r="F101" i="8"/>
  <c r="AO99" i="8"/>
  <c r="AP99" i="8" s="1"/>
  <c r="AN99" i="8"/>
  <c r="AM99" i="8"/>
  <c r="AI99" i="8"/>
  <c r="AH99" i="8"/>
  <c r="AJ99" i="8" s="1"/>
  <c r="AF99" i="8"/>
  <c r="AG99" i="8" s="1"/>
  <c r="AE99" i="8"/>
  <c r="AC99" i="8"/>
  <c r="AD99" i="8" s="1"/>
  <c r="AB99" i="8"/>
  <c r="Z99" i="8"/>
  <c r="AA99" i="8" s="1"/>
  <c r="Y99" i="8"/>
  <c r="W99" i="8"/>
  <c r="X99" i="8" s="1"/>
  <c r="V99" i="8"/>
  <c r="T99" i="8"/>
  <c r="U99" i="8" s="1"/>
  <c r="S99" i="8"/>
  <c r="Q99" i="8"/>
  <c r="R99" i="8" s="1"/>
  <c r="P99" i="8"/>
  <c r="N99" i="8"/>
  <c r="O99" i="8" s="1"/>
  <c r="M99" i="8"/>
  <c r="K99" i="8"/>
  <c r="L99" i="8" s="1"/>
  <c r="J99" i="8"/>
  <c r="H99" i="8"/>
  <c r="I99" i="8" s="1"/>
  <c r="G99" i="8"/>
  <c r="F99" i="8"/>
  <c r="E99" i="8"/>
  <c r="D99" i="8"/>
  <c r="AO98" i="8"/>
  <c r="AP98" i="8" s="1"/>
  <c r="AN98" i="8"/>
  <c r="AM98" i="8"/>
  <c r="AJ98" i="8"/>
  <c r="AG98" i="8"/>
  <c r="AD98" i="8"/>
  <c r="AA98" i="8"/>
  <c r="X98" i="8"/>
  <c r="U98" i="8"/>
  <c r="R98" i="8"/>
  <c r="O98" i="8"/>
  <c r="L98" i="8"/>
  <c r="I98" i="8"/>
  <c r="F98" i="8"/>
  <c r="AL96" i="8"/>
  <c r="AM96" i="8" s="1"/>
  <c r="AK96" i="8"/>
  <c r="AI96" i="8"/>
  <c r="AJ96" i="8" s="1"/>
  <c r="AH96" i="8"/>
  <c r="AF96" i="8"/>
  <c r="AG96" i="8" s="1"/>
  <c r="AE96" i="8"/>
  <c r="AC96" i="8"/>
  <c r="AD96" i="8" s="1"/>
  <c r="AB96" i="8"/>
  <c r="AA96" i="8"/>
  <c r="Z96" i="8"/>
  <c r="Y96" i="8"/>
  <c r="W96" i="8"/>
  <c r="X96" i="8" s="1"/>
  <c r="V96" i="8"/>
  <c r="T96" i="8"/>
  <c r="U96" i="8" s="1"/>
  <c r="S96" i="8"/>
  <c r="Q96" i="8"/>
  <c r="R96" i="8" s="1"/>
  <c r="P96" i="8"/>
  <c r="N96" i="8"/>
  <c r="O96" i="8" s="1"/>
  <c r="M96" i="8"/>
  <c r="K96" i="8"/>
  <c r="L96" i="8" s="1"/>
  <c r="J96" i="8"/>
  <c r="H96" i="8"/>
  <c r="I96" i="8" s="1"/>
  <c r="G96" i="8"/>
  <c r="E96" i="8"/>
  <c r="F96" i="8" s="1"/>
  <c r="D96" i="8"/>
  <c r="AO95" i="8"/>
  <c r="AP95" i="8" s="1"/>
  <c r="AN95" i="8"/>
  <c r="AN96" i="8" s="1"/>
  <c r="AM95" i="8"/>
  <c r="AJ95" i="8"/>
  <c r="AG95" i="8"/>
  <c r="AD95" i="8"/>
  <c r="AA95" i="8"/>
  <c r="X95" i="8"/>
  <c r="U95" i="8"/>
  <c r="R95" i="8"/>
  <c r="O95" i="8"/>
  <c r="L95" i="8"/>
  <c r="I95" i="8"/>
  <c r="F95" i="8"/>
  <c r="AL93" i="8"/>
  <c r="AM93" i="8" s="1"/>
  <c r="AI93" i="8"/>
  <c r="AJ93" i="8" s="1"/>
  <c r="AH93" i="8"/>
  <c r="AF93" i="8"/>
  <c r="AG93" i="8" s="1"/>
  <c r="AE93" i="8"/>
  <c r="AC93" i="8"/>
  <c r="AD93" i="8" s="1"/>
  <c r="AB93" i="8"/>
  <c r="Z93" i="8"/>
  <c r="AA93" i="8" s="1"/>
  <c r="Y93" i="8"/>
  <c r="W93" i="8"/>
  <c r="X93" i="8" s="1"/>
  <c r="V93" i="8"/>
  <c r="T93" i="8"/>
  <c r="U93" i="8" s="1"/>
  <c r="S93" i="8"/>
  <c r="Q93" i="8"/>
  <c r="R93" i="8" s="1"/>
  <c r="P93" i="8"/>
  <c r="N93" i="8"/>
  <c r="M93" i="8"/>
  <c r="O93" i="8" s="1"/>
  <c r="K93" i="8"/>
  <c r="L93" i="8" s="1"/>
  <c r="J93" i="8"/>
  <c r="H93" i="8"/>
  <c r="I93" i="8" s="1"/>
  <c r="G93" i="8"/>
  <c r="E93" i="8"/>
  <c r="F93" i="8" s="1"/>
  <c r="D93" i="8"/>
  <c r="AO92" i="8"/>
  <c r="AO93" i="8" s="1"/>
  <c r="AN92" i="8"/>
  <c r="AN93" i="8" s="1"/>
  <c r="AM92" i="8"/>
  <c r="AJ92" i="8"/>
  <c r="AG92" i="8"/>
  <c r="AD92" i="8"/>
  <c r="AA92" i="8"/>
  <c r="X92" i="8"/>
  <c r="U92" i="8"/>
  <c r="R92" i="8"/>
  <c r="O92" i="8"/>
  <c r="L92" i="8"/>
  <c r="I92" i="8"/>
  <c r="F92" i="8"/>
  <c r="AO90" i="8"/>
  <c r="AP90" i="8" s="1"/>
  <c r="AN90" i="8"/>
  <c r="AM90" i="8"/>
  <c r="AL90" i="8"/>
  <c r="AI90" i="8"/>
  <c r="AH90" i="8"/>
  <c r="AJ90" i="8" s="1"/>
  <c r="AF90" i="8"/>
  <c r="AG90" i="8" s="1"/>
  <c r="AE90" i="8"/>
  <c r="AC90" i="8"/>
  <c r="AD90" i="8" s="1"/>
  <c r="AB90" i="8"/>
  <c r="Z90" i="8"/>
  <c r="AA90" i="8" s="1"/>
  <c r="Y90" i="8"/>
  <c r="W90" i="8"/>
  <c r="X90" i="8" s="1"/>
  <c r="V90" i="8"/>
  <c r="T90" i="8"/>
  <c r="U90" i="8" s="1"/>
  <c r="S90" i="8"/>
  <c r="Q90" i="8"/>
  <c r="R90" i="8" s="1"/>
  <c r="P90" i="8"/>
  <c r="N90" i="8"/>
  <c r="O90" i="8" s="1"/>
  <c r="M90" i="8"/>
  <c r="K90" i="8"/>
  <c r="L90" i="8" s="1"/>
  <c r="J90" i="8"/>
  <c r="H90" i="8"/>
  <c r="I90" i="8" s="1"/>
  <c r="G90" i="8"/>
  <c r="F90" i="8"/>
  <c r="E90" i="8"/>
  <c r="D90" i="8"/>
  <c r="AO89" i="8"/>
  <c r="AP89" i="8" s="1"/>
  <c r="AN89" i="8"/>
  <c r="AM89" i="8"/>
  <c r="AJ89" i="8"/>
  <c r="AG89" i="8"/>
  <c r="AD89" i="8"/>
  <c r="AA89" i="8"/>
  <c r="X89" i="8"/>
  <c r="U89" i="8"/>
  <c r="R89" i="8"/>
  <c r="O89" i="8"/>
  <c r="L89" i="8"/>
  <c r="I89" i="8"/>
  <c r="F89" i="8"/>
  <c r="AL87" i="8"/>
  <c r="AM87" i="8" s="1"/>
  <c r="AI87" i="8"/>
  <c r="AJ87" i="8" s="1"/>
  <c r="AH87" i="8"/>
  <c r="AF87" i="8"/>
  <c r="AG87" i="8" s="1"/>
  <c r="AE87" i="8"/>
  <c r="AC87" i="8"/>
  <c r="AD87" i="8" s="1"/>
  <c r="AB87" i="8"/>
  <c r="AA87" i="8"/>
  <c r="Z87" i="8"/>
  <c r="Y87" i="8"/>
  <c r="W87" i="8"/>
  <c r="X87" i="8" s="1"/>
  <c r="V87" i="8"/>
  <c r="T87" i="8"/>
  <c r="U87" i="8" s="1"/>
  <c r="S87" i="8"/>
  <c r="Q87" i="8"/>
  <c r="R87" i="8" s="1"/>
  <c r="P87" i="8"/>
  <c r="N87" i="8"/>
  <c r="O87" i="8" s="1"/>
  <c r="M87" i="8"/>
  <c r="K87" i="8"/>
  <c r="L87" i="8" s="1"/>
  <c r="J87" i="8"/>
  <c r="H87" i="8"/>
  <c r="I87" i="8" s="1"/>
  <c r="G87" i="8"/>
  <c r="E87" i="8"/>
  <c r="F87" i="8" s="1"/>
  <c r="D87" i="8"/>
  <c r="AO86" i="8"/>
  <c r="AP86" i="8" s="1"/>
  <c r="AN86" i="8"/>
  <c r="AN87" i="8" s="1"/>
  <c r="AM86" i="8"/>
  <c r="AJ86" i="8"/>
  <c r="AG86" i="8"/>
  <c r="AD86" i="8"/>
  <c r="AA86" i="8"/>
  <c r="X86" i="8"/>
  <c r="U86" i="8"/>
  <c r="R86" i="8"/>
  <c r="O86" i="8"/>
  <c r="L86" i="8"/>
  <c r="I86" i="8"/>
  <c r="F86" i="8"/>
  <c r="AL84" i="8"/>
  <c r="AM84" i="8" s="1"/>
  <c r="AK84" i="8"/>
  <c r="AI84" i="8"/>
  <c r="AJ84" i="8" s="1"/>
  <c r="AH84" i="8"/>
  <c r="AF84" i="8"/>
  <c r="AG84" i="8" s="1"/>
  <c r="AE84" i="8"/>
  <c r="AC84" i="8"/>
  <c r="AD84" i="8" s="1"/>
  <c r="AB84" i="8"/>
  <c r="AB105" i="8" s="1"/>
  <c r="Z84" i="8"/>
  <c r="Z105" i="8" s="1"/>
  <c r="Y84" i="8"/>
  <c r="Y105" i="8" s="1"/>
  <c r="W84" i="8"/>
  <c r="W105" i="8" s="1"/>
  <c r="V84" i="8"/>
  <c r="V105" i="8" s="1"/>
  <c r="T84" i="8"/>
  <c r="U84" i="8" s="1"/>
  <c r="S84" i="8"/>
  <c r="S105" i="8" s="1"/>
  <c r="Q84" i="8"/>
  <c r="Q105" i="8" s="1"/>
  <c r="R105" i="8" s="1"/>
  <c r="P84" i="8"/>
  <c r="N84" i="8"/>
  <c r="M84" i="8"/>
  <c r="O84" i="8" s="1"/>
  <c r="K84" i="8"/>
  <c r="L84" i="8" s="1"/>
  <c r="J84" i="8"/>
  <c r="H84" i="8"/>
  <c r="I84" i="8" s="1"/>
  <c r="G84" i="8"/>
  <c r="E84" i="8"/>
  <c r="F84" i="8" s="1"/>
  <c r="D84" i="8"/>
  <c r="AO83" i="8"/>
  <c r="AP83" i="8" s="1"/>
  <c r="AN83" i="8"/>
  <c r="AN84" i="8" s="1"/>
  <c r="AM83" i="8"/>
  <c r="AJ83" i="8"/>
  <c r="AG83" i="8"/>
  <c r="AD83" i="8"/>
  <c r="AA83" i="8"/>
  <c r="X83" i="8"/>
  <c r="U83" i="8"/>
  <c r="R83" i="8"/>
  <c r="O83" i="8"/>
  <c r="L83" i="8"/>
  <c r="I83" i="8"/>
  <c r="F83" i="8"/>
  <c r="AO81" i="8"/>
  <c r="AP81" i="8" s="1"/>
  <c r="AN81" i="8"/>
  <c r="AM81" i="8"/>
  <c r="AL81" i="8"/>
  <c r="AK81" i="8"/>
  <c r="AI81" i="8"/>
  <c r="AJ81" i="8" s="1"/>
  <c r="AH81" i="8"/>
  <c r="AF81" i="8"/>
  <c r="AG81" i="8" s="1"/>
  <c r="AE81" i="8"/>
  <c r="AC81" i="8"/>
  <c r="AD81" i="8" s="1"/>
  <c r="AB81" i="8"/>
  <c r="Z81" i="8"/>
  <c r="AA81" i="8" s="1"/>
  <c r="Y81" i="8"/>
  <c r="W81" i="8"/>
  <c r="X81" i="8" s="1"/>
  <c r="V81" i="8"/>
  <c r="T81" i="8"/>
  <c r="U81" i="8" s="1"/>
  <c r="S81" i="8"/>
  <c r="Q81" i="8"/>
  <c r="R81" i="8" s="1"/>
  <c r="P81" i="8"/>
  <c r="N81" i="8"/>
  <c r="O81" i="8" s="1"/>
  <c r="M81" i="8"/>
  <c r="K81" i="8"/>
  <c r="L81" i="8" s="1"/>
  <c r="J81" i="8"/>
  <c r="H81" i="8"/>
  <c r="I81" i="8" s="1"/>
  <c r="G81" i="8"/>
  <c r="F81" i="8"/>
  <c r="E81" i="8"/>
  <c r="D81" i="8"/>
  <c r="AO80" i="8"/>
  <c r="AP80" i="8" s="1"/>
  <c r="AN80" i="8"/>
  <c r="AM80" i="8"/>
  <c r="AJ80" i="8"/>
  <c r="AG80" i="8"/>
  <c r="AD80" i="8"/>
  <c r="AA80" i="8"/>
  <c r="X80" i="8"/>
  <c r="U80" i="8"/>
  <c r="R80" i="8"/>
  <c r="O80" i="8"/>
  <c r="L80" i="8"/>
  <c r="I80" i="8"/>
  <c r="F80" i="8"/>
  <c r="AL78" i="8"/>
  <c r="AL105" i="8" s="1"/>
  <c r="AK78" i="8"/>
  <c r="AK105" i="8" s="1"/>
  <c r="AI78" i="8"/>
  <c r="AI105" i="8" s="1"/>
  <c r="AH78" i="8"/>
  <c r="AH105" i="8" s="1"/>
  <c r="AF78" i="8"/>
  <c r="AG78" i="8" s="1"/>
  <c r="AE78" i="8"/>
  <c r="AE105" i="8" s="1"/>
  <c r="AC78" i="8"/>
  <c r="AD78" i="8" s="1"/>
  <c r="AB78" i="8"/>
  <c r="Z78" i="8"/>
  <c r="AA78" i="8" s="1"/>
  <c r="Y78" i="8"/>
  <c r="W78" i="8"/>
  <c r="X78" i="8" s="1"/>
  <c r="V78" i="8"/>
  <c r="T78" i="8"/>
  <c r="U78" i="8" s="1"/>
  <c r="S78" i="8"/>
  <c r="Q78" i="8"/>
  <c r="R78" i="8" s="1"/>
  <c r="P78" i="8"/>
  <c r="N78" i="8"/>
  <c r="O78" i="8" s="1"/>
  <c r="M78" i="8"/>
  <c r="K78" i="8"/>
  <c r="L78" i="8" s="1"/>
  <c r="J78" i="8"/>
  <c r="J105" i="8" s="1"/>
  <c r="H78" i="8"/>
  <c r="H105" i="8" s="1"/>
  <c r="G78" i="8"/>
  <c r="G105" i="8" s="1"/>
  <c r="E78" i="8"/>
  <c r="E105" i="8" s="1"/>
  <c r="D78" i="8"/>
  <c r="D105" i="8" s="1"/>
  <c r="AO77" i="8"/>
  <c r="AO78" i="8" s="1"/>
  <c r="AN77" i="8"/>
  <c r="AN78" i="8" s="1"/>
  <c r="AM77" i="8"/>
  <c r="AJ77" i="8"/>
  <c r="AG77" i="8"/>
  <c r="AD77" i="8"/>
  <c r="AA77" i="8"/>
  <c r="X77" i="8"/>
  <c r="U77" i="8"/>
  <c r="R77" i="8"/>
  <c r="O77" i="8"/>
  <c r="L77" i="8"/>
  <c r="I77" i="8"/>
  <c r="F77" i="8"/>
  <c r="X105" i="8" l="1"/>
  <c r="I105" i="8"/>
  <c r="L105" i="8"/>
  <c r="AM105" i="8"/>
  <c r="AN105" i="8"/>
  <c r="AP78" i="8"/>
  <c r="F105" i="8"/>
  <c r="AA105" i="8"/>
  <c r="AP93" i="8"/>
  <c r="AJ105" i="8"/>
  <c r="AP77" i="8"/>
  <c r="F78" i="8"/>
  <c r="R84" i="8"/>
  <c r="T105" i="8"/>
  <c r="U105" i="8" s="1"/>
  <c r="AM78" i="8"/>
  <c r="AA84" i="8"/>
  <c r="I78" i="8"/>
  <c r="AC105" i="8"/>
  <c r="AD105" i="8" s="1"/>
  <c r="AF105" i="8"/>
  <c r="AG105" i="8" s="1"/>
  <c r="AJ78" i="8"/>
  <c r="AO87" i="8"/>
  <c r="AP87" i="8" s="1"/>
  <c r="AP92" i="8"/>
  <c r="AO84" i="8"/>
  <c r="AP84" i="8" s="1"/>
  <c r="X84" i="8"/>
  <c r="AO96" i="8"/>
  <c r="AP96" i="8" s="1"/>
  <c r="AO102" i="8"/>
  <c r="AP102" i="8" s="1"/>
  <c r="AL67" i="8"/>
  <c r="AK67" i="8"/>
  <c r="AI67" i="8"/>
  <c r="AH67" i="8"/>
  <c r="AF67" i="8"/>
  <c r="AE67" i="8"/>
  <c r="AC67" i="8"/>
  <c r="AB67" i="8"/>
  <c r="Z67" i="8"/>
  <c r="Y67" i="8"/>
  <c r="W67" i="8"/>
  <c r="V67" i="8"/>
  <c r="T67" i="8"/>
  <c r="S67" i="8"/>
  <c r="P67" i="8"/>
  <c r="R67" i="8" s="1"/>
  <c r="N67" i="8"/>
  <c r="M67" i="8"/>
  <c r="K67" i="8"/>
  <c r="J67" i="8"/>
  <c r="H67" i="8"/>
  <c r="G67" i="8"/>
  <c r="E67" i="8"/>
  <c r="D67" i="8"/>
  <c r="AO66" i="8"/>
  <c r="AN66" i="8"/>
  <c r="AN67" i="8" s="1"/>
  <c r="AM66" i="8"/>
  <c r="AJ66" i="8"/>
  <c r="AG66" i="8"/>
  <c r="AD66" i="8"/>
  <c r="AA66" i="8"/>
  <c r="X66" i="8"/>
  <c r="U66" i="8"/>
  <c r="R66" i="8"/>
  <c r="O66" i="8"/>
  <c r="L66" i="8"/>
  <c r="I66" i="8"/>
  <c r="F66" i="8"/>
  <c r="AN64" i="8"/>
  <c r="AL64" i="8"/>
  <c r="AK64" i="8"/>
  <c r="AI64" i="8"/>
  <c r="AH64" i="8"/>
  <c r="AF64" i="8"/>
  <c r="AE64" i="8"/>
  <c r="AC64" i="8"/>
  <c r="AB64" i="8"/>
  <c r="Z64" i="8"/>
  <c r="Y64" i="8"/>
  <c r="W64" i="8"/>
  <c r="V64" i="8"/>
  <c r="T64" i="8"/>
  <c r="S64" i="8"/>
  <c r="Q64" i="8"/>
  <c r="P64" i="8"/>
  <c r="N64" i="8"/>
  <c r="M64" i="8"/>
  <c r="K64" i="8"/>
  <c r="J64" i="8"/>
  <c r="H64" i="8"/>
  <c r="G64" i="8"/>
  <c r="E64" i="8"/>
  <c r="D64" i="8"/>
  <c r="AO63" i="8"/>
  <c r="AP63" i="8" s="1"/>
  <c r="AN63" i="8"/>
  <c r="AM63" i="8"/>
  <c r="AJ63" i="8"/>
  <c r="AG63" i="8"/>
  <c r="AD63" i="8"/>
  <c r="AA63" i="8"/>
  <c r="X63" i="8"/>
  <c r="U63" i="8"/>
  <c r="R63" i="8"/>
  <c r="O63" i="8"/>
  <c r="L63" i="8"/>
  <c r="I63" i="8"/>
  <c r="F63" i="8"/>
  <c r="AL61" i="8"/>
  <c r="AK61" i="8"/>
  <c r="AI61" i="8"/>
  <c r="AH61" i="8"/>
  <c r="AF61" i="8"/>
  <c r="AE61" i="8"/>
  <c r="AC61" i="8"/>
  <c r="AB61" i="8"/>
  <c r="Z61" i="8"/>
  <c r="Y61" i="8"/>
  <c r="W61" i="8"/>
  <c r="V61" i="8"/>
  <c r="T61" i="8"/>
  <c r="S61" i="8"/>
  <c r="Q61" i="8"/>
  <c r="P61" i="8"/>
  <c r="N61" i="8"/>
  <c r="M61" i="8"/>
  <c r="K61" i="8"/>
  <c r="J61" i="8"/>
  <c r="H61" i="8"/>
  <c r="G61" i="8"/>
  <c r="E61" i="8"/>
  <c r="D61" i="8"/>
  <c r="AO60" i="8"/>
  <c r="AO61" i="8" s="1"/>
  <c r="AN60" i="8"/>
  <c r="AN61" i="8" s="1"/>
  <c r="AM60" i="8"/>
  <c r="AJ60" i="8"/>
  <c r="AG60" i="8"/>
  <c r="AD60" i="8"/>
  <c r="AA60" i="8"/>
  <c r="X60" i="8"/>
  <c r="U60" i="8"/>
  <c r="R60" i="8"/>
  <c r="O60" i="8"/>
  <c r="L60" i="8"/>
  <c r="I60" i="8"/>
  <c r="F60" i="8"/>
  <c r="AL58" i="8"/>
  <c r="AK58" i="8"/>
  <c r="AI58" i="8"/>
  <c r="AH58" i="8"/>
  <c r="AF58" i="8"/>
  <c r="AE58" i="8"/>
  <c r="AC58" i="8"/>
  <c r="AB58" i="8"/>
  <c r="Z58" i="8"/>
  <c r="Y58" i="8"/>
  <c r="W58" i="8"/>
  <c r="V58" i="8"/>
  <c r="T58" i="8"/>
  <c r="S58" i="8"/>
  <c r="Q58" i="8"/>
  <c r="P58" i="8"/>
  <c r="N58" i="8"/>
  <c r="M58" i="8"/>
  <c r="K58" i="8"/>
  <c r="J58" i="8"/>
  <c r="H58" i="8"/>
  <c r="G58" i="8"/>
  <c r="E58" i="8"/>
  <c r="D58" i="8"/>
  <c r="AO57" i="8"/>
  <c r="AO58" i="8" s="1"/>
  <c r="AN57" i="8"/>
  <c r="AN58" i="8" s="1"/>
  <c r="AM57" i="8"/>
  <c r="AJ57" i="8"/>
  <c r="AG57" i="8"/>
  <c r="AD57" i="8"/>
  <c r="AA57" i="8"/>
  <c r="X57" i="8"/>
  <c r="U57" i="8"/>
  <c r="R57" i="8"/>
  <c r="O57" i="8"/>
  <c r="L57" i="8"/>
  <c r="I57" i="8"/>
  <c r="F57" i="8"/>
  <c r="AL55" i="8"/>
  <c r="AK55" i="8"/>
  <c r="AI55" i="8"/>
  <c r="AH55" i="8"/>
  <c r="AF55" i="8"/>
  <c r="AE55" i="8"/>
  <c r="AC55" i="8"/>
  <c r="AB55" i="8"/>
  <c r="Z55" i="8"/>
  <c r="Y55" i="8"/>
  <c r="W55" i="8"/>
  <c r="V55" i="8"/>
  <c r="T55" i="8"/>
  <c r="S55" i="8"/>
  <c r="Q55" i="8"/>
  <c r="P55" i="8"/>
  <c r="N55" i="8"/>
  <c r="M55" i="8"/>
  <c r="K55" i="8"/>
  <c r="J55" i="8"/>
  <c r="H55" i="8"/>
  <c r="G55" i="8"/>
  <c r="E55" i="8"/>
  <c r="D55" i="8"/>
  <c r="AO54" i="8"/>
  <c r="AN54" i="8"/>
  <c r="AN55" i="8" s="1"/>
  <c r="AM54" i="8"/>
  <c r="AJ54" i="8"/>
  <c r="AG54" i="8"/>
  <c r="AD54" i="8"/>
  <c r="AA54" i="8"/>
  <c r="X54" i="8"/>
  <c r="U54" i="8"/>
  <c r="R54" i="8"/>
  <c r="O54" i="8"/>
  <c r="L54" i="8"/>
  <c r="I54" i="8"/>
  <c r="F54" i="8"/>
  <c r="AL52" i="8"/>
  <c r="AK52" i="8"/>
  <c r="AI52" i="8"/>
  <c r="AH52" i="8"/>
  <c r="AF52" i="8"/>
  <c r="AE52" i="8"/>
  <c r="AC52" i="8"/>
  <c r="AB52" i="8"/>
  <c r="Z52" i="8"/>
  <c r="Y52" i="8"/>
  <c r="X52" i="8"/>
  <c r="T52" i="8"/>
  <c r="S52" i="8"/>
  <c r="Q52" i="8"/>
  <c r="P52" i="8"/>
  <c r="N52" i="8"/>
  <c r="M52" i="8"/>
  <c r="K52" i="8"/>
  <c r="J52" i="8"/>
  <c r="H52" i="8"/>
  <c r="G52" i="8"/>
  <c r="E52" i="8"/>
  <c r="D52" i="8"/>
  <c r="AO51" i="8"/>
  <c r="AO52" i="8" s="1"/>
  <c r="AN51" i="8"/>
  <c r="AN52" i="8" s="1"/>
  <c r="AM51" i="8"/>
  <c r="AJ51" i="8"/>
  <c r="AG51" i="8"/>
  <c r="AD51" i="8"/>
  <c r="AA51" i="8"/>
  <c r="X51" i="8"/>
  <c r="U51" i="8"/>
  <c r="R51" i="8"/>
  <c r="O51" i="8"/>
  <c r="L51" i="8"/>
  <c r="I51" i="8"/>
  <c r="F51" i="8"/>
  <c r="AL49" i="8"/>
  <c r="AK49" i="8"/>
  <c r="AI49" i="8"/>
  <c r="AH49" i="8"/>
  <c r="AF49" i="8"/>
  <c r="AE49" i="8"/>
  <c r="AC49" i="8"/>
  <c r="AB49" i="8"/>
  <c r="Z49" i="8"/>
  <c r="Y49" i="8"/>
  <c r="X49" i="8"/>
  <c r="U49" i="8"/>
  <c r="R49" i="8"/>
  <c r="N49" i="8"/>
  <c r="M49" i="8"/>
  <c r="K49" i="8"/>
  <c r="J49" i="8"/>
  <c r="H49" i="8"/>
  <c r="G49" i="8"/>
  <c r="E49" i="8"/>
  <c r="D49" i="8"/>
  <c r="AO48" i="8"/>
  <c r="AN48" i="8"/>
  <c r="AN49" i="8" s="1"/>
  <c r="AM48" i="8"/>
  <c r="AJ48" i="8"/>
  <c r="AG48" i="8"/>
  <c r="AD48" i="8"/>
  <c r="AA48" i="8"/>
  <c r="X48" i="8"/>
  <c r="U48" i="8"/>
  <c r="R48" i="8"/>
  <c r="O48" i="8"/>
  <c r="L48" i="8"/>
  <c r="I48" i="8"/>
  <c r="F48" i="8"/>
  <c r="AL46" i="8"/>
  <c r="AK46" i="8"/>
  <c r="AI46" i="8"/>
  <c r="AH46" i="8"/>
  <c r="AF46" i="8"/>
  <c r="AE46" i="8"/>
  <c r="AC46" i="8"/>
  <c r="AB46" i="8"/>
  <c r="Z46" i="8"/>
  <c r="Y46" i="8"/>
  <c r="X46" i="8"/>
  <c r="U46" i="8"/>
  <c r="R46" i="8"/>
  <c r="N46" i="8"/>
  <c r="M46" i="8"/>
  <c r="K46" i="8"/>
  <c r="J46" i="8"/>
  <c r="H46" i="8"/>
  <c r="G46" i="8"/>
  <c r="E46" i="8"/>
  <c r="D46" i="8"/>
  <c r="AO45" i="8"/>
  <c r="AO46" i="8" s="1"/>
  <c r="AN45" i="8"/>
  <c r="AN46" i="8" s="1"/>
  <c r="AM45" i="8"/>
  <c r="AJ45" i="8"/>
  <c r="AG45" i="8"/>
  <c r="AD45" i="8"/>
  <c r="AA45" i="8"/>
  <c r="X45" i="8"/>
  <c r="U45" i="8"/>
  <c r="R45" i="8"/>
  <c r="O45" i="8"/>
  <c r="L45" i="8"/>
  <c r="I45" i="8"/>
  <c r="F45" i="8"/>
  <c r="AL43" i="8"/>
  <c r="AK43" i="8"/>
  <c r="AI43" i="8"/>
  <c r="AH43" i="8"/>
  <c r="AF43" i="8"/>
  <c r="AG43" i="8" s="1"/>
  <c r="AE43" i="8"/>
  <c r="AC43" i="8"/>
  <c r="AB43" i="8"/>
  <c r="Z43" i="8"/>
  <c r="Y43" i="8"/>
  <c r="X43" i="8"/>
  <c r="U43" i="8"/>
  <c r="R43" i="8"/>
  <c r="N43" i="8"/>
  <c r="M43" i="8"/>
  <c r="K43" i="8"/>
  <c r="J43" i="8"/>
  <c r="H43" i="8"/>
  <c r="G43" i="8"/>
  <c r="E43" i="8"/>
  <c r="D43" i="8"/>
  <c r="AO42" i="8"/>
  <c r="AO43" i="8" s="1"/>
  <c r="AN42" i="8"/>
  <c r="AN43" i="8" s="1"/>
  <c r="AM42" i="8"/>
  <c r="AJ42" i="8"/>
  <c r="AG42" i="8"/>
  <c r="AD42" i="8"/>
  <c r="AA42" i="8"/>
  <c r="X42" i="8"/>
  <c r="U42" i="8"/>
  <c r="R42" i="8"/>
  <c r="O42" i="8"/>
  <c r="L42" i="8"/>
  <c r="I42" i="8"/>
  <c r="F42" i="8"/>
  <c r="AL32" i="8"/>
  <c r="AK32" i="8"/>
  <c r="AI32" i="8"/>
  <c r="AH32" i="8"/>
  <c r="AF32" i="8"/>
  <c r="AE32" i="8"/>
  <c r="AC32" i="8"/>
  <c r="AB32" i="8"/>
  <c r="Z32" i="8"/>
  <c r="Y32" i="8"/>
  <c r="W32" i="8"/>
  <c r="V32" i="8"/>
  <c r="T32" i="8"/>
  <c r="S32" i="8"/>
  <c r="Q32" i="8"/>
  <c r="P32" i="8"/>
  <c r="N32" i="8"/>
  <c r="M32" i="8"/>
  <c r="K32" i="8"/>
  <c r="J32" i="8"/>
  <c r="H32" i="8"/>
  <c r="G32" i="8"/>
  <c r="E32" i="8"/>
  <c r="D32" i="8"/>
  <c r="AO31" i="8"/>
  <c r="AO32" i="8" s="1"/>
  <c r="AN31" i="8"/>
  <c r="AN32" i="8" s="1"/>
  <c r="AM31" i="8"/>
  <c r="AJ31" i="8"/>
  <c r="AG31" i="8"/>
  <c r="AD31" i="8"/>
  <c r="AA31" i="8"/>
  <c r="X31" i="8"/>
  <c r="U31" i="8"/>
  <c r="R31" i="8"/>
  <c r="O31" i="8"/>
  <c r="L31" i="8"/>
  <c r="I31" i="8"/>
  <c r="F31" i="8"/>
  <c r="AL29" i="8"/>
  <c r="AK29" i="8"/>
  <c r="AM29" i="8" s="1"/>
  <c r="AI29" i="8"/>
  <c r="AH29" i="8"/>
  <c r="AF29" i="8"/>
  <c r="AE29" i="8"/>
  <c r="AC29" i="8"/>
  <c r="AB29" i="8"/>
  <c r="Z29" i="8"/>
  <c r="Y29" i="8"/>
  <c r="W29" i="8"/>
  <c r="V29" i="8"/>
  <c r="T29" i="8"/>
  <c r="U29" i="8" s="1"/>
  <c r="S29" i="8"/>
  <c r="Q29" i="8"/>
  <c r="P29" i="8"/>
  <c r="N29" i="8"/>
  <c r="M29" i="8"/>
  <c r="K29" i="8"/>
  <c r="J29" i="8"/>
  <c r="H29" i="8"/>
  <c r="G29" i="8"/>
  <c r="E29" i="8"/>
  <c r="D29" i="8"/>
  <c r="AO28" i="8"/>
  <c r="AN28" i="8"/>
  <c r="AN29" i="8" s="1"/>
  <c r="AM28" i="8"/>
  <c r="AJ28" i="8"/>
  <c r="AG28" i="8"/>
  <c r="AD28" i="8"/>
  <c r="AA28" i="8"/>
  <c r="X28" i="8"/>
  <c r="U28" i="8"/>
  <c r="R28" i="8"/>
  <c r="O28" i="8"/>
  <c r="L28" i="8"/>
  <c r="I28" i="8"/>
  <c r="F28" i="8"/>
  <c r="AL26" i="8"/>
  <c r="AK26" i="8"/>
  <c r="AI26" i="8"/>
  <c r="AH26" i="8"/>
  <c r="AF26" i="8"/>
  <c r="AE26" i="8"/>
  <c r="AC26" i="8"/>
  <c r="AD26" i="8" s="1"/>
  <c r="AB26" i="8"/>
  <c r="Z26" i="8"/>
  <c r="Y26" i="8"/>
  <c r="W26" i="8"/>
  <c r="V26" i="8"/>
  <c r="T26" i="8"/>
  <c r="S26" i="8"/>
  <c r="Q26" i="8"/>
  <c r="P26" i="8"/>
  <c r="N26" i="8"/>
  <c r="M26" i="8"/>
  <c r="K26" i="8"/>
  <c r="J26" i="8"/>
  <c r="H26" i="8"/>
  <c r="G26" i="8"/>
  <c r="E26" i="8"/>
  <c r="D26" i="8"/>
  <c r="AO25" i="8"/>
  <c r="AO26" i="8" s="1"/>
  <c r="AN25" i="8"/>
  <c r="AN26" i="8" s="1"/>
  <c r="AM25" i="8"/>
  <c r="AJ25" i="8"/>
  <c r="AG25" i="8"/>
  <c r="AD25" i="8"/>
  <c r="AA25" i="8"/>
  <c r="X25" i="8"/>
  <c r="U25" i="8"/>
  <c r="R25" i="8"/>
  <c r="O25" i="8"/>
  <c r="L25" i="8"/>
  <c r="I25" i="8"/>
  <c r="F25" i="8"/>
  <c r="AL23" i="8"/>
  <c r="AM23" i="8" s="1"/>
  <c r="AK23" i="8"/>
  <c r="AI23" i="8"/>
  <c r="AH23" i="8"/>
  <c r="AF23" i="8"/>
  <c r="AE23" i="8"/>
  <c r="AC23" i="8"/>
  <c r="AB23" i="8"/>
  <c r="Z23" i="8"/>
  <c r="Y23" i="8"/>
  <c r="W23" i="8"/>
  <c r="V23" i="8"/>
  <c r="T23" i="8"/>
  <c r="S23" i="8"/>
  <c r="Q23" i="8"/>
  <c r="P23" i="8"/>
  <c r="N23" i="8"/>
  <c r="M23" i="8"/>
  <c r="K23" i="8"/>
  <c r="J23" i="8"/>
  <c r="H23" i="8"/>
  <c r="G23" i="8"/>
  <c r="E23" i="8"/>
  <c r="D23" i="8"/>
  <c r="AO22" i="8"/>
  <c r="AO23" i="8" s="1"/>
  <c r="AN22" i="8"/>
  <c r="AN23" i="8" s="1"/>
  <c r="AM22" i="8"/>
  <c r="AJ22" i="8"/>
  <c r="AG22" i="8"/>
  <c r="AD22" i="8"/>
  <c r="AA22" i="8"/>
  <c r="X22" i="8"/>
  <c r="U22" i="8"/>
  <c r="R22" i="8"/>
  <c r="O22" i="8"/>
  <c r="L22" i="8"/>
  <c r="I22" i="8"/>
  <c r="F22" i="8"/>
  <c r="AL20" i="8"/>
  <c r="AK20" i="8"/>
  <c r="AI20" i="8"/>
  <c r="AH20" i="8"/>
  <c r="AF20" i="8"/>
  <c r="AE20" i="8"/>
  <c r="AC20" i="8"/>
  <c r="AB20" i="8"/>
  <c r="Z20" i="8"/>
  <c r="Y20" i="8"/>
  <c r="W20" i="8"/>
  <c r="V20" i="8"/>
  <c r="T20" i="8"/>
  <c r="S20" i="8"/>
  <c r="Q20" i="8"/>
  <c r="P20" i="8"/>
  <c r="N20" i="8"/>
  <c r="M20" i="8"/>
  <c r="K20" i="8"/>
  <c r="J20" i="8"/>
  <c r="H20" i="8"/>
  <c r="G20" i="8"/>
  <c r="I20" i="8" s="1"/>
  <c r="E20" i="8"/>
  <c r="D20" i="8"/>
  <c r="AO19" i="8"/>
  <c r="AO20" i="8" s="1"/>
  <c r="AN19" i="8"/>
  <c r="AN20" i="8" s="1"/>
  <c r="AM19" i="8"/>
  <c r="AJ19" i="8"/>
  <c r="AG19" i="8"/>
  <c r="AD19" i="8"/>
  <c r="AA19" i="8"/>
  <c r="X19" i="8"/>
  <c r="U19" i="8"/>
  <c r="R19" i="8"/>
  <c r="O19" i="8"/>
  <c r="L19" i="8"/>
  <c r="I19" i="8"/>
  <c r="F19" i="8"/>
  <c r="AL17" i="8"/>
  <c r="AK17" i="8"/>
  <c r="AI17" i="8"/>
  <c r="AH17" i="8"/>
  <c r="AF17" i="8"/>
  <c r="AE17" i="8"/>
  <c r="AC17" i="8"/>
  <c r="AB17" i="8"/>
  <c r="Z17" i="8"/>
  <c r="Y17" i="8"/>
  <c r="W17" i="8"/>
  <c r="V17" i="8"/>
  <c r="T17" i="8"/>
  <c r="S17" i="8"/>
  <c r="Q17" i="8"/>
  <c r="P17" i="8"/>
  <c r="N17" i="8"/>
  <c r="M17" i="8"/>
  <c r="K17" i="8"/>
  <c r="J17" i="8"/>
  <c r="H17" i="8"/>
  <c r="G17" i="8"/>
  <c r="E17" i="8"/>
  <c r="D17" i="8"/>
  <c r="AO16" i="8"/>
  <c r="AO17" i="8" s="1"/>
  <c r="AN16" i="8"/>
  <c r="AN17" i="8" s="1"/>
  <c r="AM16" i="8"/>
  <c r="AJ16" i="8"/>
  <c r="AG16" i="8"/>
  <c r="AD16" i="8"/>
  <c r="AA16" i="8"/>
  <c r="X16" i="8"/>
  <c r="U16" i="8"/>
  <c r="R16" i="8"/>
  <c r="O16" i="8"/>
  <c r="L16" i="8"/>
  <c r="I16" i="8"/>
  <c r="F16" i="8"/>
  <c r="AL14" i="8"/>
  <c r="AK14" i="8"/>
  <c r="AI14" i="8"/>
  <c r="AH14" i="8"/>
  <c r="AF14" i="8"/>
  <c r="AE14" i="8"/>
  <c r="AC14" i="8"/>
  <c r="AB14" i="8"/>
  <c r="Z14" i="8"/>
  <c r="Y14" i="8"/>
  <c r="W14" i="8"/>
  <c r="V14" i="8"/>
  <c r="T14" i="8"/>
  <c r="S14" i="8"/>
  <c r="U14" i="8" s="1"/>
  <c r="Q14" i="8"/>
  <c r="P14" i="8"/>
  <c r="N14" i="8"/>
  <c r="M14" i="8"/>
  <c r="K14" i="8"/>
  <c r="J14" i="8"/>
  <c r="H14" i="8"/>
  <c r="G14" i="8"/>
  <c r="E14" i="8"/>
  <c r="D14" i="8"/>
  <c r="AO13" i="8"/>
  <c r="AO14" i="8" s="1"/>
  <c r="AN13" i="8"/>
  <c r="AN14" i="8" s="1"/>
  <c r="AM13" i="8"/>
  <c r="AJ13" i="8"/>
  <c r="AG13" i="8"/>
  <c r="AD13" i="8"/>
  <c r="AA13" i="8"/>
  <c r="X13" i="8"/>
  <c r="U13" i="8"/>
  <c r="R13" i="8"/>
  <c r="O13" i="8"/>
  <c r="L13" i="8"/>
  <c r="I13" i="8"/>
  <c r="F13" i="8"/>
  <c r="AL11" i="8"/>
  <c r="AK11" i="8"/>
  <c r="AI11" i="8"/>
  <c r="AH11" i="8"/>
  <c r="AF11" i="8"/>
  <c r="AE11" i="8"/>
  <c r="AC11" i="8"/>
  <c r="AB11" i="8"/>
  <c r="Z11" i="8"/>
  <c r="Y11" i="8"/>
  <c r="W11" i="8"/>
  <c r="V11" i="8"/>
  <c r="T11" i="8"/>
  <c r="S11" i="8"/>
  <c r="Q11" i="8"/>
  <c r="P11" i="8"/>
  <c r="N11" i="8"/>
  <c r="M11" i="8"/>
  <c r="K11" i="8"/>
  <c r="L11" i="8" s="1"/>
  <c r="J11" i="8"/>
  <c r="H11" i="8"/>
  <c r="G11" i="8"/>
  <c r="E11" i="8"/>
  <c r="D11" i="8"/>
  <c r="AO10" i="8"/>
  <c r="AO11" i="8" s="1"/>
  <c r="AN10" i="8"/>
  <c r="AN11" i="8" s="1"/>
  <c r="AM10" i="8"/>
  <c r="AJ10" i="8"/>
  <c r="AG10" i="8"/>
  <c r="AD10" i="8"/>
  <c r="AA10" i="8"/>
  <c r="X10" i="8"/>
  <c r="U10" i="8"/>
  <c r="R10" i="8"/>
  <c r="O10" i="8"/>
  <c r="L10" i="8"/>
  <c r="I10" i="8"/>
  <c r="F10" i="8"/>
  <c r="AL8" i="8"/>
  <c r="AK8" i="8"/>
  <c r="AI8" i="8"/>
  <c r="AH8" i="8"/>
  <c r="AF8" i="8"/>
  <c r="AE8" i="8"/>
  <c r="AG8" i="8" s="1"/>
  <c r="AC8" i="8"/>
  <c r="AB8" i="8"/>
  <c r="Z8" i="8"/>
  <c r="Y8" i="8"/>
  <c r="W8" i="8"/>
  <c r="V8" i="8"/>
  <c r="T8" i="8"/>
  <c r="S8" i="8"/>
  <c r="Q8" i="8"/>
  <c r="P8" i="8"/>
  <c r="N8" i="8"/>
  <c r="M8" i="8"/>
  <c r="K8" i="8"/>
  <c r="J8" i="8"/>
  <c r="H8" i="8"/>
  <c r="G8" i="8"/>
  <c r="E8" i="8"/>
  <c r="D8" i="8"/>
  <c r="AO7" i="8"/>
  <c r="AO8" i="8" s="1"/>
  <c r="AN7" i="8"/>
  <c r="AN8" i="8" s="1"/>
  <c r="AM7" i="8"/>
  <c r="AJ7" i="8"/>
  <c r="AG7" i="8"/>
  <c r="AD7" i="8"/>
  <c r="AA7" i="8"/>
  <c r="X7" i="8"/>
  <c r="U7" i="8"/>
  <c r="R7" i="8"/>
  <c r="O7" i="8"/>
  <c r="L7" i="8"/>
  <c r="I7" i="8"/>
  <c r="F7" i="8"/>
  <c r="AO105" i="8" l="1"/>
  <c r="AP105" i="8" s="1"/>
  <c r="AJ17" i="8"/>
  <c r="U61" i="8"/>
  <c r="AG58" i="8"/>
  <c r="I49" i="8"/>
  <c r="O46" i="8"/>
  <c r="AD32" i="8"/>
  <c r="Y70" i="8"/>
  <c r="U64" i="8"/>
  <c r="AA20" i="8"/>
  <c r="I55" i="8"/>
  <c r="R32" i="8"/>
  <c r="L64" i="8"/>
  <c r="AN35" i="8"/>
  <c r="AB70" i="8"/>
  <c r="O8" i="8"/>
  <c r="I26" i="8"/>
  <c r="AG64" i="8"/>
  <c r="AM64" i="8"/>
  <c r="AO64" i="8"/>
  <c r="R23" i="8"/>
  <c r="AP28" i="8"/>
  <c r="AP14" i="8"/>
  <c r="X8" i="8"/>
  <c r="M35" i="8"/>
  <c r="F58" i="8"/>
  <c r="N35" i="8"/>
  <c r="O35" i="8" s="1"/>
  <c r="AG49" i="8"/>
  <c r="P35" i="8"/>
  <c r="I29" i="8"/>
  <c r="AA52" i="8"/>
  <c r="Q35" i="8"/>
  <c r="R35" i="8" s="1"/>
  <c r="AG23" i="8"/>
  <c r="R29" i="8"/>
  <c r="U23" i="8"/>
  <c r="AA43" i="8"/>
  <c r="L49" i="8"/>
  <c r="F52" i="8"/>
  <c r="O64" i="8"/>
  <c r="AG32" i="8"/>
  <c r="F14" i="8"/>
  <c r="X23" i="8"/>
  <c r="O49" i="8"/>
  <c r="I52" i="8"/>
  <c r="AP66" i="8"/>
  <c r="AJ32" i="8"/>
  <c r="AP54" i="8"/>
  <c r="S35" i="8"/>
  <c r="AJ20" i="8"/>
  <c r="F29" i="8"/>
  <c r="AA46" i="8"/>
  <c r="L52" i="8"/>
  <c r="F67" i="8"/>
  <c r="R26" i="8"/>
  <c r="F55" i="8"/>
  <c r="AM20" i="8"/>
  <c r="AD23" i="8"/>
  <c r="AH70" i="8"/>
  <c r="AD46" i="8"/>
  <c r="O52" i="8"/>
  <c r="AG61" i="8"/>
  <c r="I67" i="8"/>
  <c r="X11" i="8"/>
  <c r="U26" i="8"/>
  <c r="AI70" i="8"/>
  <c r="AJ70" i="8" s="1"/>
  <c r="AA49" i="8"/>
  <c r="P70" i="8"/>
  <c r="X64" i="8"/>
  <c r="AK35" i="8"/>
  <c r="Y35" i="8"/>
  <c r="O14" i="8"/>
  <c r="AK70" i="8"/>
  <c r="AG46" i="8"/>
  <c r="R52" i="8"/>
  <c r="AJ61" i="8"/>
  <c r="L67" i="8"/>
  <c r="AL35" i="8"/>
  <c r="Z35" i="8"/>
  <c r="X26" i="8"/>
  <c r="L29" i="8"/>
  <c r="AL70" i="8"/>
  <c r="AM70" i="8" s="1"/>
  <c r="AD49" i="8"/>
  <c r="S70" i="8"/>
  <c r="AA64" i="8"/>
  <c r="AB35" i="8"/>
  <c r="R14" i="8"/>
  <c r="F17" i="8"/>
  <c r="AJ46" i="8"/>
  <c r="U52" i="8"/>
  <c r="L55" i="8"/>
  <c r="AM61" i="8"/>
  <c r="O67" i="8"/>
  <c r="AC35" i="8"/>
  <c r="AJ23" i="8"/>
  <c r="AA26" i="8"/>
  <c r="O29" i="8"/>
  <c r="AD64" i="8"/>
  <c r="AE35" i="8"/>
  <c r="I17" i="8"/>
  <c r="AM46" i="8"/>
  <c r="O55" i="8"/>
  <c r="O61" i="8"/>
  <c r="F64" i="8"/>
  <c r="AM67" i="8"/>
  <c r="AP13" i="8"/>
  <c r="X61" i="8"/>
  <c r="AA8" i="8"/>
  <c r="AJ58" i="8"/>
  <c r="AF70" i="8"/>
  <c r="F32" i="8"/>
  <c r="R55" i="8"/>
  <c r="O17" i="8"/>
  <c r="I32" i="8"/>
  <c r="AM49" i="8"/>
  <c r="U55" i="8"/>
  <c r="D35" i="8"/>
  <c r="F35" i="8" s="1"/>
  <c r="L58" i="8"/>
  <c r="AD14" i="8"/>
  <c r="R17" i="8"/>
  <c r="AJ26" i="8"/>
  <c r="X29" i="8"/>
  <c r="X55" i="8"/>
  <c r="G35" i="8"/>
  <c r="AM17" i="8"/>
  <c r="L26" i="8"/>
  <c r="AD43" i="8"/>
  <c r="AA61" i="8"/>
  <c r="AD8" i="8"/>
  <c r="O26" i="8"/>
  <c r="I14" i="8"/>
  <c r="AD61" i="8"/>
  <c r="AM32" i="8"/>
  <c r="L14" i="8"/>
  <c r="AF35" i="8"/>
  <c r="AP20" i="8"/>
  <c r="AJ49" i="8"/>
  <c r="U67" i="8"/>
  <c r="X67" i="8"/>
  <c r="V70" i="8"/>
  <c r="E35" i="8"/>
  <c r="AA67" i="8"/>
  <c r="AP23" i="8"/>
  <c r="AM26" i="8"/>
  <c r="O32" i="8"/>
  <c r="AA55" i="8"/>
  <c r="AD67" i="8"/>
  <c r="F43" i="8"/>
  <c r="AM52" i="8"/>
  <c r="R58" i="8"/>
  <c r="X17" i="8"/>
  <c r="AD55" i="8"/>
  <c r="I61" i="8"/>
  <c r="H70" i="8"/>
  <c r="AA17" i="8"/>
  <c r="I23" i="8"/>
  <c r="U32" i="8"/>
  <c r="L43" i="8"/>
  <c r="F46" i="8"/>
  <c r="X58" i="8"/>
  <c r="F11" i="8"/>
  <c r="AD17" i="8"/>
  <c r="U20" i="8"/>
  <c r="L23" i="8"/>
  <c r="AJ29" i="8"/>
  <c r="M70" i="8"/>
  <c r="AP48" i="8"/>
  <c r="AJ55" i="8"/>
  <c r="R8" i="8"/>
  <c r="X32" i="8"/>
  <c r="N70" i="8"/>
  <c r="O70" i="8" s="1"/>
  <c r="I46" i="8"/>
  <c r="AA58" i="8"/>
  <c r="I11" i="8"/>
  <c r="AG17" i="8"/>
  <c r="X20" i="8"/>
  <c r="O23" i="8"/>
  <c r="F49" i="8"/>
  <c r="AM55" i="8"/>
  <c r="R61" i="8"/>
  <c r="I64" i="8"/>
  <c r="Z70" i="8"/>
  <c r="AA70" i="8" s="1"/>
  <c r="U8" i="8"/>
  <c r="F26" i="8"/>
  <c r="AA32" i="8"/>
  <c r="L46" i="8"/>
  <c r="AO55" i="8"/>
  <c r="AP55" i="8" s="1"/>
  <c r="AD58" i="8"/>
  <c r="AD20" i="8"/>
  <c r="AG20" i="8"/>
  <c r="R64" i="8"/>
  <c r="AA23" i="8"/>
  <c r="AM58" i="8"/>
  <c r="AH35" i="8"/>
  <c r="L17" i="8"/>
  <c r="AJ11" i="8"/>
  <c r="AD52" i="8"/>
  <c r="I58" i="8"/>
  <c r="AJ64" i="8"/>
  <c r="AA14" i="8"/>
  <c r="F20" i="8"/>
  <c r="AM11" i="8"/>
  <c r="AG52" i="8"/>
  <c r="L32" i="8"/>
  <c r="AJ52" i="8"/>
  <c r="O58" i="8"/>
  <c r="H35" i="8"/>
  <c r="AG14" i="8"/>
  <c r="U17" i="8"/>
  <c r="AA29" i="8"/>
  <c r="D70" i="8"/>
  <c r="F61" i="8"/>
  <c r="AP64" i="8"/>
  <c r="AE70" i="8"/>
  <c r="L8" i="8"/>
  <c r="AJ14" i="8"/>
  <c r="O20" i="8"/>
  <c r="F23" i="8"/>
  <c r="AD29" i="8"/>
  <c r="G70" i="8"/>
  <c r="AG67" i="8"/>
  <c r="U58" i="8"/>
  <c r="AM14" i="8"/>
  <c r="R20" i="8"/>
  <c r="AG29" i="8"/>
  <c r="J70" i="8"/>
  <c r="AG55" i="8"/>
  <c r="L61" i="8"/>
  <c r="AJ67" i="8"/>
  <c r="AO29" i="8"/>
  <c r="AC70" i="8"/>
  <c r="AP52" i="8"/>
  <c r="AP58" i="8"/>
  <c r="AN70" i="8"/>
  <c r="AP61" i="8"/>
  <c r="AP43" i="8"/>
  <c r="AP46" i="8"/>
  <c r="AP57" i="8"/>
  <c r="K70" i="8"/>
  <c r="O43" i="8"/>
  <c r="AP45" i="8"/>
  <c r="AP51" i="8"/>
  <c r="AP60" i="8"/>
  <c r="Q70" i="8"/>
  <c r="R70" i="8" s="1"/>
  <c r="T70" i="8"/>
  <c r="U70" i="8" s="1"/>
  <c r="W70" i="8"/>
  <c r="X70" i="8" s="1"/>
  <c r="AJ43" i="8"/>
  <c r="AM43" i="8"/>
  <c r="AP42" i="8"/>
  <c r="AO49" i="8"/>
  <c r="AP49" i="8" s="1"/>
  <c r="AO67" i="8"/>
  <c r="AP67" i="8" s="1"/>
  <c r="E70" i="8"/>
  <c r="F70" i="8" s="1"/>
  <c r="I43" i="8"/>
  <c r="AP7" i="8"/>
  <c r="AD35" i="8"/>
  <c r="AG35" i="8"/>
  <c r="AO35" i="8"/>
  <c r="AP35" i="8" s="1"/>
  <c r="AP8" i="8"/>
  <c r="AP32" i="8"/>
  <c r="J35" i="8"/>
  <c r="L20" i="8"/>
  <c r="AP29" i="8"/>
  <c r="AI35" i="8"/>
  <c r="AJ8" i="8"/>
  <c r="AP17" i="8"/>
  <c r="X14" i="8"/>
  <c r="AG26" i="8"/>
  <c r="AP11" i="8"/>
  <c r="V35" i="8"/>
  <c r="AP26" i="8"/>
  <c r="T35" i="8"/>
  <c r="U35" i="8" s="1"/>
  <c r="AM35" i="8"/>
  <c r="AA35" i="8"/>
  <c r="K35" i="8"/>
  <c r="L35" i="8" s="1"/>
  <c r="AP16" i="8"/>
  <c r="AM8" i="8"/>
  <c r="AP25" i="8"/>
  <c r="R11" i="8"/>
  <c r="I8" i="8"/>
  <c r="U11" i="8"/>
  <c r="W35" i="8"/>
  <c r="X35" i="8" s="1"/>
  <c r="O11" i="8"/>
  <c r="F8" i="8"/>
  <c r="AA11" i="8"/>
  <c r="AP22" i="8"/>
  <c r="AP31" i="8"/>
  <c r="AD11" i="8"/>
  <c r="AG11" i="8"/>
  <c r="AP19" i="8"/>
  <c r="AP10" i="8"/>
  <c r="I70" i="8" l="1"/>
  <c r="I35" i="8"/>
  <c r="AD70" i="8"/>
  <c r="L70" i="8"/>
  <c r="AJ35" i="8"/>
  <c r="AG70" i="8"/>
  <c r="AO70" i="8"/>
  <c r="AP70" i="8" s="1"/>
  <c r="G21" i="5" l="1"/>
  <c r="E21" i="5"/>
  <c r="C21" i="5"/>
  <c r="M32" i="4" l="1"/>
  <c r="L32" i="4"/>
  <c r="K32" i="4"/>
  <c r="J32" i="4"/>
  <c r="I32" i="4"/>
  <c r="H32" i="4"/>
  <c r="G32" i="4"/>
  <c r="F32" i="4"/>
  <c r="E32" i="4"/>
  <c r="D32" i="4"/>
  <c r="C32" i="4"/>
  <c r="B32" i="4"/>
  <c r="M16" i="4"/>
  <c r="L16" i="4"/>
  <c r="K16" i="4"/>
  <c r="J16" i="4"/>
  <c r="I16" i="4"/>
  <c r="H16" i="4"/>
  <c r="G16" i="4"/>
  <c r="F16" i="4"/>
  <c r="E16" i="4"/>
  <c r="D16" i="4"/>
  <c r="C16" i="4"/>
  <c r="B16" i="4"/>
  <c r="B33" i="2" l="1"/>
  <c r="D9" i="2"/>
  <c r="E9" i="2"/>
  <c r="F9" i="2"/>
  <c r="G9" i="2"/>
  <c r="H9" i="2"/>
  <c r="I9" i="2"/>
  <c r="B9" i="2"/>
  <c r="C7" i="2"/>
  <c r="D7" i="2"/>
  <c r="E7" i="2"/>
  <c r="F7" i="2"/>
  <c r="G7" i="2"/>
  <c r="H7" i="2"/>
  <c r="I7" i="2"/>
  <c r="J7" i="2"/>
  <c r="C8" i="2"/>
  <c r="D8" i="2"/>
  <c r="E8" i="2"/>
  <c r="F8" i="2"/>
  <c r="G8" i="2"/>
  <c r="H8" i="2"/>
  <c r="I8" i="2"/>
  <c r="J8" i="2"/>
  <c r="K8" i="2"/>
  <c r="L8" i="2"/>
  <c r="M8" i="2"/>
  <c r="C10" i="2"/>
  <c r="D10" i="2"/>
  <c r="E10" i="2"/>
  <c r="F10" i="2"/>
  <c r="G10" i="2"/>
  <c r="H10" i="2"/>
  <c r="I10" i="2"/>
  <c r="J10" i="2"/>
  <c r="K10" i="2"/>
  <c r="L10" i="2"/>
  <c r="M10" i="2"/>
  <c r="M25" i="2"/>
  <c r="M9" i="2" s="1"/>
  <c r="L25" i="2"/>
  <c r="L9" i="2" s="1"/>
  <c r="K25" i="2"/>
  <c r="K9" i="2" s="1"/>
  <c r="J25" i="2"/>
  <c r="J9" i="2" s="1"/>
  <c r="I25" i="2"/>
  <c r="H25" i="2"/>
  <c r="G25" i="2"/>
  <c r="F25" i="2"/>
  <c r="E25" i="2"/>
  <c r="D25" i="2"/>
  <c r="J23" i="2"/>
  <c r="I23" i="2"/>
  <c r="I33" i="2" s="1"/>
  <c r="H23" i="2"/>
  <c r="H33" i="2" s="1"/>
  <c r="G23" i="2"/>
  <c r="G33" i="2" s="1"/>
  <c r="M23" i="2"/>
  <c r="M7" i="2" s="1"/>
  <c r="L23" i="2"/>
  <c r="L7" i="2" s="1"/>
  <c r="K23" i="2"/>
  <c r="K7" i="2" s="1"/>
  <c r="F23" i="2"/>
  <c r="F33" i="2" s="1"/>
  <c r="E23" i="2"/>
  <c r="E33" i="2" s="1"/>
  <c r="D23" i="2"/>
  <c r="D33" i="2" s="1"/>
  <c r="C23" i="2"/>
  <c r="C33" i="2" s="1"/>
  <c r="B23" i="2"/>
  <c r="B7" i="2" s="1"/>
  <c r="B10" i="2"/>
  <c r="N10" i="2" s="1"/>
  <c r="B8" i="2"/>
  <c r="N8" i="2" s="1"/>
  <c r="C25" i="2"/>
  <c r="C9" i="2" s="1"/>
  <c r="B25" i="2"/>
  <c r="M33" i="2" l="1"/>
  <c r="J33" i="2"/>
  <c r="L33" i="2"/>
  <c r="K33" i="2"/>
  <c r="M17" i="2"/>
  <c r="L17" i="2"/>
  <c r="K17" i="2"/>
  <c r="J17" i="2"/>
  <c r="I17" i="2"/>
  <c r="H17" i="2"/>
  <c r="G17" i="2"/>
  <c r="F17" i="2"/>
  <c r="E17" i="2"/>
  <c r="D17" i="2"/>
  <c r="C17" i="2"/>
  <c r="B17" i="2"/>
  <c r="M11" i="2"/>
  <c r="L11" i="2"/>
  <c r="K11" i="2"/>
  <c r="J11" i="2"/>
  <c r="I11" i="2"/>
  <c r="H11" i="2"/>
  <c r="G11" i="2"/>
  <c r="F11" i="2"/>
  <c r="E11" i="2"/>
  <c r="D11" i="2"/>
  <c r="C11" i="2"/>
  <c r="B11" i="2"/>
  <c r="M6" i="2"/>
  <c r="L6" i="2"/>
  <c r="K6" i="2"/>
  <c r="J6" i="2"/>
  <c r="I6" i="2"/>
  <c r="H6" i="2"/>
  <c r="G6" i="2"/>
  <c r="F6" i="2"/>
  <c r="E6" i="2"/>
  <c r="D6" i="2"/>
  <c r="C6" i="2"/>
  <c r="B6" i="2"/>
  <c r="C13" i="2" l="1"/>
  <c r="M13" i="2"/>
  <c r="N6" i="2"/>
  <c r="N11" i="2"/>
  <c r="N7" i="2"/>
  <c r="F13" i="2"/>
  <c r="B13" i="2"/>
  <c r="G13" i="2"/>
  <c r="H13" i="2"/>
  <c r="I13" i="2"/>
  <c r="J13" i="2"/>
  <c r="L13" i="2"/>
  <c r="N9" i="2"/>
  <c r="E13" i="2"/>
  <c r="N17" i="2"/>
  <c r="K13" i="2"/>
  <c r="D13" i="2"/>
  <c r="M15" i="2" l="1"/>
  <c r="N13" i="2"/>
  <c r="F52" i="1" l="1"/>
  <c r="E49" i="1"/>
  <c r="E52" i="1" s="1"/>
  <c r="E34" i="1"/>
  <c r="B49" i="1" l="1"/>
  <c r="B34" i="1"/>
  <c r="C49" i="1"/>
  <c r="C34" i="1"/>
  <c r="B18" i="1"/>
  <c r="B17" i="1"/>
  <c r="B16" i="1"/>
  <c r="B15" i="1"/>
  <c r="B11" i="1"/>
  <c r="B10" i="1"/>
  <c r="B9" i="1"/>
  <c r="C52" i="1" l="1"/>
  <c r="B8" i="1"/>
  <c r="B7" i="1"/>
  <c r="B19" i="1" l="1"/>
  <c r="B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</author>
  </authors>
  <commentList>
    <comment ref="M98" authorId="0" shapeId="0" xr:uid="{570BD439-2866-4A36-BC89-C96BE02BE4FB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M101" authorId="0" shapeId="0" xr:uid="{862CB8E9-1F21-4214-BF28-E82AF80CE3CA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Estimate:
Got bill 7/22/25
</t>
        </r>
      </text>
    </comment>
  </commentList>
</comments>
</file>

<file path=xl/sharedStrings.xml><?xml version="1.0" encoding="utf-8"?>
<sst xmlns="http://schemas.openxmlformats.org/spreadsheetml/2006/main" count="4624" uniqueCount="996">
  <si>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</si>
  <si>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</si>
  <si>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</si>
  <si>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</si>
  <si>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</si>
  <si>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</si>
  <si>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</si>
  <si>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</si>
  <si>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</si>
  <si>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</si>
  <si>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</si>
  <si>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</si>
  <si>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</si>
  <si>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RESL</t>
  </si>
  <si>
    <t>COML</t>
  </si>
  <si>
    <t>Average</t>
  </si>
  <si>
    <t>sales volume CCF</t>
  </si>
  <si>
    <t>meters</t>
  </si>
  <si>
    <t>2024 Gas Volume CCF</t>
  </si>
  <si>
    <t>INDUSTRIAL</t>
  </si>
  <si>
    <t>COMMERCIAL</t>
  </si>
  <si>
    <t>RESIDENTIAL</t>
  </si>
  <si>
    <t>FARM TAPS paying</t>
  </si>
  <si>
    <t>FARM TAPS free allotments</t>
  </si>
  <si>
    <t>COMMERCIAL - Public Gas</t>
  </si>
  <si>
    <t>RESIDENTIAL - Public Gas</t>
  </si>
  <si>
    <t>GRAND TOTAL</t>
  </si>
  <si>
    <t>Totals kM</t>
  </si>
  <si>
    <t>Revised table from Staff DR3-16</t>
  </si>
  <si>
    <t xml:space="preserve">     Daysboro</t>
  </si>
  <si>
    <t>Daysboro sytem</t>
  </si>
  <si>
    <t>MCF</t>
  </si>
  <si>
    <t>FARM TAPS free</t>
  </si>
  <si>
    <t>TOTAL</t>
  </si>
  <si>
    <t>AMR</t>
  </si>
  <si>
    <t>NET AMR</t>
  </si>
  <si>
    <t>SURCHARGE</t>
  </si>
  <si>
    <t>PLANT ADDNS</t>
  </si>
  <si>
    <t>ADDITIONS</t>
  </si>
  <si>
    <t>Meter counts</t>
  </si>
  <si>
    <t>2024 Gas Sales in MCF</t>
  </si>
  <si>
    <t>based on Staff DR3-37 AMR</t>
  </si>
  <si>
    <t>not filed, feeds into 6b2 and 7</t>
  </si>
  <si>
    <t>Staff PH DR-6b</t>
  </si>
  <si>
    <t>Staff PH DR-6b.2 Sales</t>
  </si>
  <si>
    <t>Staff PH DR-7 Accounts</t>
  </si>
  <si>
    <t>JAN</t>
  </si>
  <si>
    <t>FEB</t>
  </si>
  <si>
    <t>March</t>
  </si>
  <si>
    <t>April</t>
  </si>
  <si>
    <t>June</t>
  </si>
  <si>
    <t>July</t>
  </si>
  <si>
    <t>Aug.</t>
  </si>
  <si>
    <t>Sept.</t>
  </si>
  <si>
    <t>Oct.</t>
  </si>
  <si>
    <t>Nov.</t>
  </si>
  <si>
    <t>Dec.</t>
  </si>
  <si>
    <t>2023 TOTAL</t>
  </si>
  <si>
    <t>SYSTEM</t>
  </si>
  <si>
    <t>SUPPLIER</t>
  </si>
  <si>
    <t>$</t>
  </si>
  <si>
    <t>$/MCF</t>
  </si>
  <si>
    <t>QUALITY</t>
  </si>
  <si>
    <t>Quality</t>
  </si>
  <si>
    <t>Purchase Total</t>
  </si>
  <si>
    <t>ALERT</t>
  </si>
  <si>
    <t>Alert</t>
  </si>
  <si>
    <t>KLC</t>
  </si>
  <si>
    <t>NYTIS</t>
  </si>
  <si>
    <t>Nytis</t>
  </si>
  <si>
    <t>ING</t>
  </si>
  <si>
    <t>SLONE</t>
  </si>
  <si>
    <t>Slone</t>
  </si>
  <si>
    <t>Tackett's FT</t>
  </si>
  <si>
    <t>Tackett</t>
  </si>
  <si>
    <t>Sonny Hall</t>
  </si>
  <si>
    <t>Vinland Energy</t>
  </si>
  <si>
    <t>Vinland FT's</t>
  </si>
  <si>
    <t>FT TOTAL</t>
  </si>
  <si>
    <t>2024 TOTAL</t>
  </si>
  <si>
    <t>Hall</t>
  </si>
  <si>
    <t>Staff PH DR-4 Farm Tap supply</t>
  </si>
  <si>
    <t>2025 TOTAL</t>
  </si>
  <si>
    <t>Steve Allen</t>
  </si>
  <si>
    <t>estimates</t>
  </si>
  <si>
    <t>from Billing Register for ^MCF calcs</t>
  </si>
  <si>
    <t>KFG FARM TAPS Gas Purchases for 2023</t>
  </si>
  <si>
    <t>KFG FARM TAPS Gas Purchases for 2024</t>
  </si>
  <si>
    <t>KFG FARM TAPS Gas Purchases for 2025</t>
  </si>
  <si>
    <t>TCO Index</t>
  </si>
  <si>
    <t>$ per DTh</t>
  </si>
  <si>
    <t>est $ per MCF</t>
  </si>
  <si>
    <t>Kentucky Frontier Gas, LLC</t>
  </si>
  <si>
    <t>Itrons Purchased 2012-2025</t>
  </si>
  <si>
    <t>4:21 PM</t>
  </si>
  <si>
    <t>Transactions by Account</t>
  </si>
  <si>
    <t>As of December 31, 2025</t>
  </si>
  <si>
    <t>Accrual Basis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</si>
  <si>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</si>
  <si>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</si>
  <si>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</si>
  <si>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</si>
  <si>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</si>
  <si>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</si>
  <si>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</si>
  <si>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</si>
  <si>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</si>
  <si>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</si>
  <si>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Bill</t>
  </si>
  <si>
    <t>294511-00</t>
  </si>
  <si>
    <t>MSPS</t>
  </si>
  <si>
    <t>promo-bundle mcla-100G mclite with mv-rs</t>
  </si>
  <si>
    <t>KFG Admin</t>
  </si>
  <si>
    <t>232 · Accounts Payable</t>
  </si>
  <si>
    <t>294514-00</t>
  </si>
  <si>
    <t>294512-00</t>
  </si>
  <si>
    <t>training of Iton system</t>
  </si>
  <si>
    <t>303647-00</t>
  </si>
  <si>
    <t>306079-00 DATA LOGGI</t>
  </si>
  <si>
    <t>306079-00</t>
  </si>
  <si>
    <t>INV#306715-00 40 IT</t>
  </si>
  <si>
    <t>307836-00 60 IT</t>
  </si>
  <si>
    <t>113003 60 IT</t>
  </si>
  <si>
    <t>CUST#113003</t>
  </si>
  <si>
    <t>INV#309347-00 60 IT</t>
  </si>
  <si>
    <t>INV#309347-00</t>
  </si>
  <si>
    <t>INV#311067-00 60 IT</t>
  </si>
  <si>
    <t>INV#311067-00</t>
  </si>
  <si>
    <t>INV#311535-00  80 IT</t>
  </si>
  <si>
    <t>INV#311535-00        80 ITRONS</t>
  </si>
  <si>
    <t>INV#292535</t>
  </si>
  <si>
    <t>Itron</t>
  </si>
  <si>
    <t>INV#312995-00  60 IT</t>
  </si>
  <si>
    <t>INV#312995-00</t>
  </si>
  <si>
    <t>313534-00 60 IT</t>
  </si>
  <si>
    <t>General Journal</t>
  </si>
  <si>
    <t>4 ADJ/KIM</t>
  </si>
  <si>
    <t>To remove 18 Itrons from KFG bks to ARG side</t>
  </si>
  <si>
    <t>405.1 · Management Fee Income - Auxier</t>
  </si>
  <si>
    <t>ADJ21/ROGER</t>
  </si>
  <si>
    <t>TO ADJUST FOR MOVING ITRONS, AMR FEE, PRP FEE FROM AUXIER(NET IS OTHER A/R FROM AUXIER)</t>
  </si>
  <si>
    <t>-SPLIT-</t>
  </si>
  <si>
    <t>ADJ22/ROGER</t>
  </si>
  <si>
    <t>TO ADJUST CAPITAL REPLACEMENT CHARGES AGAINST CAPITALIZED ASSETS AND RELATED DEPR ADJ</t>
  </si>
  <si>
    <t>494 · AMR Charge</t>
  </si>
  <si>
    <t>#320484-00</t>
  </si>
  <si>
    <t>#324397-00</t>
  </si>
  <si>
    <t>335100</t>
  </si>
  <si>
    <t>#335100</t>
  </si>
  <si>
    <t>07 Auxier Road</t>
  </si>
  <si>
    <t>#329717-00</t>
  </si>
  <si>
    <t>332449-00</t>
  </si>
  <si>
    <t>INV#332449-01</t>
  </si>
  <si>
    <t>333339-00</t>
  </si>
  <si>
    <t>335050-00</t>
  </si>
  <si>
    <t>ADJ 8/KIM</t>
  </si>
  <si>
    <t>TO RECLASS  KFG SURCHARGE'S NET PLANT FOR 2014</t>
  </si>
  <si>
    <t>ADJ 9/KIM</t>
  </si>
  <si>
    <t>AUXIER ROAD GAS</t>
  </si>
  <si>
    <t>TO REC RECEIVABLE FOR 2014 ARG SURCHARGE'S</t>
  </si>
  <si>
    <t>143 · Other Accounts Receivable</t>
  </si>
  <si>
    <t>ADJ 10/KIM</t>
  </si>
  <si>
    <t>TO RECLASS LABOR</t>
  </si>
  <si>
    <t>376.34 · Mains Belf - Line Replacement</t>
  </si>
  <si>
    <t>1</t>
  </si>
  <si>
    <t>All Customers</t>
  </si>
  <si>
    <t>TO REC SALES FOR 01-15</t>
  </si>
  <si>
    <t>142 · Customer Accounts Receivable</t>
  </si>
  <si>
    <t>TO REC SALES FOR 02-15</t>
  </si>
  <si>
    <t>336571-00</t>
  </si>
  <si>
    <t>336571-00 (60 ITRONS)</t>
  </si>
  <si>
    <t>337075-00</t>
  </si>
  <si>
    <t>337075-00 (40 ITRONS)</t>
  </si>
  <si>
    <t>TO REC SALES FOR 03-15</t>
  </si>
  <si>
    <t>337075-01</t>
  </si>
  <si>
    <t>337075-01    (20 ITRONS)</t>
  </si>
  <si>
    <t>#54835</t>
  </si>
  <si>
    <t>United Systems &amp; Software, Inc.</t>
  </si>
  <si>
    <t>#54835 (100 ITRONS)</t>
  </si>
  <si>
    <t>TO REC 05-15 SALES</t>
  </si>
  <si>
    <t>TO REC SALES FOR 06-15</t>
  </si>
  <si>
    <t>TO REC SALES FOR 07-15</t>
  </si>
  <si>
    <t>Inv# 55626</t>
  </si>
  <si>
    <t>Inv# 55626 (100 ITRONS)</t>
  </si>
  <si>
    <t>To rec sales for 08-15</t>
  </si>
  <si>
    <t>To rec sales for 09-15</t>
  </si>
  <si>
    <t>#56290</t>
  </si>
  <si>
    <t>100 Itrons</t>
  </si>
  <si>
    <t>12</t>
  </si>
  <si>
    <t>To rec sales for 10-15</t>
  </si>
  <si>
    <t>To rec sales for 11-15</t>
  </si>
  <si>
    <t>#56865</t>
  </si>
  <si>
    <t>#56865  (80 ITRONS)</t>
  </si>
  <si>
    <t>TO REC SALES FOR 12-15</t>
  </si>
  <si>
    <t>ADJ #10</t>
  </si>
  <si>
    <t>Auxier's surcharge's for 2015</t>
  </si>
  <si>
    <t>ADJ7/ROGE</t>
  </si>
  <si>
    <t>To adjust for depreciation recature on previously of Itrons included in AMR surcharge reimbursement</t>
  </si>
  <si>
    <t>115.0 · Consol - Acc Depreciation</t>
  </si>
  <si>
    <t>TO REC SALES FOR 01-16</t>
  </si>
  <si>
    <t>#403293</t>
  </si>
  <si>
    <t>Check</t>
  </si>
  <si>
    <t>DB CD</t>
  </si>
  <si>
    <t>ITRON  EVENT</t>
  </si>
  <si>
    <t>Training</t>
  </si>
  <si>
    <t>131.2 · Comm Trust Bank Oper 4002506337</t>
  </si>
  <si>
    <t>57379</t>
  </si>
  <si>
    <t>Inv# 57379  (400 ITRONS)</t>
  </si>
  <si>
    <t>TO REC SALES FOR 02-16</t>
  </si>
  <si>
    <t>#57754</t>
  </si>
  <si>
    <t>#57754  (10 Itron American Commercial)</t>
  </si>
  <si>
    <t>TO REC SALES FOR 03-16</t>
  </si>
  <si>
    <t>3</t>
  </si>
  <si>
    <t>Adj's per bregg for 03-16</t>
  </si>
  <si>
    <t>480 · Residential Sales</t>
  </si>
  <si>
    <t>TO REC SALES FOR 04-16</t>
  </si>
  <si>
    <t>#58059</t>
  </si>
  <si>
    <t>#58059  (200 Itrons)</t>
  </si>
  <si>
    <t>TO REC SALES FOR 05-16</t>
  </si>
  <si>
    <t>416105</t>
  </si>
  <si>
    <t>Hardware(Radio, Desk Dock, Mobile Coll Lite)</t>
  </si>
  <si>
    <t>TO REC SALES FOR 06-16</t>
  </si>
  <si>
    <t>7</t>
  </si>
  <si>
    <t>JAN-JUN 16 SURCHARGES FOR ARG</t>
  </si>
  <si>
    <t>ADJ PER BREG</t>
  </si>
  <si>
    <t>487 · Penalties &amp; Forfeited Discounts</t>
  </si>
  <si>
    <t>58765</t>
  </si>
  <si>
    <t>58765 (200 ITRONS)</t>
  </si>
  <si>
    <t>4418229281056401</t>
  </si>
  <si>
    <t>First Bankcard</t>
  </si>
  <si>
    <t>Itron docking stations</t>
  </si>
  <si>
    <t>Handhelds</t>
  </si>
  <si>
    <t>TO REC SALES FOR 07-16</t>
  </si>
  <si>
    <t>6</t>
  </si>
  <si>
    <t>AUXIER ROAD GAS CO</t>
  </si>
  <si>
    <t>TO REC AUX SURCHARGES FOR 07-16</t>
  </si>
  <si>
    <t>PAUL RANDALL</t>
  </si>
  <si>
    <t>SERIAL COM CARD FOR FC200 DOCKING STATION</t>
  </si>
  <si>
    <t>TO REC SALES FOR 08-16</t>
  </si>
  <si>
    <t>TO REC AUX'S SURCHARGES FOR 08-16</t>
  </si>
  <si>
    <t>5</t>
  </si>
  <si>
    <t>TO REC SALES FOR 09-16</t>
  </si>
  <si>
    <t>4</t>
  </si>
  <si>
    <t>TO ADJ PER BREG 09-16</t>
  </si>
  <si>
    <t>Itron's and LR due from ARG 09-16</t>
  </si>
  <si>
    <t>TO REC SALES FOR 10-16</t>
  </si>
  <si>
    <t>ARG Itron's and LR surcharge's for 10-16</t>
  </si>
  <si>
    <t>TO REC SALES FOR 11-16</t>
  </si>
  <si>
    <t>ARG SURCHARGE'S FOR 11-16</t>
  </si>
  <si>
    <t>TO REC SALES FOR 12-16</t>
  </si>
  <si>
    <t>ADJ'S PER BREG 12-16</t>
  </si>
  <si>
    <t>AUX SURCHARGES 12-16</t>
  </si>
  <si>
    <t>AJE25/ROGE</t>
  </si>
  <si>
    <t>To reclassify customer surcharge pmts for services as contribution in aid of construction</t>
  </si>
  <si>
    <t>60727</t>
  </si>
  <si>
    <t>#61237</t>
  </si>
  <si>
    <t>#61237 ( 200 ITRON'S)</t>
  </si>
  <si>
    <t>62718</t>
  </si>
  <si>
    <t>ITRON BATTERY CHARGER</t>
  </si>
  <si>
    <t>64133</t>
  </si>
  <si>
    <t>#64133   (200 ITRONS)</t>
  </si>
  <si>
    <t>INV# 64754</t>
  </si>
  <si>
    <t>INV# 64754   (200 ITRONS)</t>
  </si>
  <si>
    <t>#65111</t>
  </si>
  <si>
    <t>#65111  (200 ITRONS)</t>
  </si>
  <si>
    <t>9904</t>
  </si>
  <si>
    <t>WHITLEY COUNTY WATER DISTRICT</t>
  </si>
  <si>
    <t>MC LITE</t>
  </si>
  <si>
    <t>65813</t>
  </si>
  <si>
    <t>65813   FC300 VEH MOUNTING CRADLE</t>
  </si>
  <si>
    <t>INV # 66846</t>
  </si>
  <si>
    <t>INV# 66846 (200 ITRONS)</t>
  </si>
  <si>
    <t>67325</t>
  </si>
  <si>
    <t>#67325 (120 ITRONS)</t>
  </si>
  <si>
    <t>68375</t>
  </si>
  <si>
    <t>ITRON UPGRADE TO CURRENT SOFTWARE SYSTEM</t>
  </si>
  <si>
    <t>#69469</t>
  </si>
  <si>
    <t>INV# 69469 (200 ITONS)</t>
  </si>
  <si>
    <t>#70373</t>
  </si>
  <si>
    <t>#70373 (200 ITRONS)</t>
  </si>
  <si>
    <t>#70913</t>
  </si>
  <si>
    <t>#70913 (150 ITRONS)</t>
  </si>
  <si>
    <t>75404</t>
  </si>
  <si>
    <t>200 ITRONS</t>
  </si>
  <si>
    <t>76365</t>
  </si>
  <si>
    <t>INV# 76365  (200 ITRONS)</t>
  </si>
  <si>
    <t>INV 82284</t>
  </si>
  <si>
    <t>ITRON CFG-5217-001 AMERICAN SHAFT/WRIGGLER REPACEMENT KIT</t>
  </si>
  <si>
    <t>INV# 584781</t>
  </si>
  <si>
    <t>INV# 584781 ( HARDWARE MAINTENANCE FOR MOBILE COLLECTOR LITE)</t>
  </si>
  <si>
    <t>INV #83154</t>
  </si>
  <si>
    <t>INV #83154  (200 ITRONS)</t>
  </si>
  <si>
    <t>PLCCENTER</t>
  </si>
  <si>
    <t>ITRON FC300</t>
  </si>
  <si>
    <t>INV # 83545</t>
  </si>
  <si>
    <t>INV # 84585</t>
  </si>
  <si>
    <t>ITRON FC 300 MCLITE  COMMINICATION/POWER CABLE</t>
  </si>
  <si>
    <t>INV # INV505071</t>
  </si>
  <si>
    <t>Holland Supply Company</t>
  </si>
  <si>
    <t>For Itrons</t>
  </si>
  <si>
    <t>INV # 85278</t>
  </si>
  <si>
    <t>INV # 85278  (20  ITRON 100G COMM GAS ENDPOINT)</t>
  </si>
  <si>
    <t>INV # 598434</t>
  </si>
  <si>
    <t>SUBSCRIPTION FOR 09-01-21 TO 06-30-22 FOR IMA WALKBY, 5001-10000</t>
  </si>
  <si>
    <t>Inv No. 08/21 KYF</t>
  </si>
  <si>
    <t>Town of Walden Gas Utility</t>
  </si>
  <si>
    <t>Itron MC Lite Radio Unit &amp; Accessories</t>
  </si>
  <si>
    <t>Credit</t>
  </si>
  <si>
    <t>CREDIT #CM5195</t>
  </si>
  <si>
    <t>INV 505672</t>
  </si>
  <si>
    <t>ADAPTERS FOR ITRONS TO METERS</t>
  </si>
  <si>
    <t>INV # 531408</t>
  </si>
  <si>
    <t>INV # 531408, DATED 09/05/2019</t>
  </si>
  <si>
    <t>Deposit</t>
  </si>
  <si>
    <t>SOLD 100@$50  ITRONS TO WENDOVER GAS</t>
  </si>
  <si>
    <t>ADJ27/ROGE</t>
  </si>
  <si>
    <t>TO ADJUST SALE OF ITRONS TO WENDOVER GAS</t>
  </si>
  <si>
    <t>Contract:SC00005669</t>
  </si>
  <si>
    <t>MAINTENANCE RENEWAL FOR CONTRACT # SC00005669</t>
  </si>
  <si>
    <t>INV # INV511975</t>
  </si>
  <si>
    <t>CONVERSION KIT AMR ADAPTERS (4) TO MOUNT AMERICAN  STYLE ITRONS TO LARGE VOLUME METERS</t>
  </si>
  <si>
    <t>INV # 100325</t>
  </si>
  <si>
    <t>ITRON MC4CORE RF UNIT</t>
  </si>
  <si>
    <t>INV # 100515</t>
  </si>
  <si>
    <t>3 REMOTE SERVICES MC4 FCS IM</t>
  </si>
  <si>
    <t>FOR INVS 26855,24943</t>
  </si>
  <si>
    <t>FOR INVS 26855 AND 24943</t>
  </si>
  <si>
    <t>INV513085</t>
  </si>
  <si>
    <t>FOR ITRONS</t>
  </si>
  <si>
    <t>ADJ#10/ROGE</t>
  </si>
  <si>
    <t>TO EXPENSE ITEMS THAT WERE ORIGINALLY CAPITALIZED</t>
  </si>
  <si>
    <t>377.88 · Main Replacement - Phelps</t>
  </si>
  <si>
    <t>Transfer</t>
  </si>
  <si>
    <t>REFUNDED BY ITRON</t>
  </si>
  <si>
    <t>INV # 106636</t>
  </si>
  <si>
    <t>INV # 106636, 80 Itrons</t>
  </si>
  <si>
    <t>INV # 107273</t>
  </si>
  <si>
    <t>120 ITRONS</t>
  </si>
  <si>
    <t>ADJ#23/ROGE</t>
  </si>
  <si>
    <t>TO ADJ AMOUNT REFUNDED BY ITRON VS MAINTENANCE</t>
  </si>
  <si>
    <t>894 · Maint of Other Equipment</t>
  </si>
  <si>
    <t>ADJ#24/ROGE</t>
  </si>
  <si>
    <t>TO ADJ NET VARIANCE OF 200 ITRONS PURCH/REIMB BY PNG VS SHIPPING</t>
  </si>
  <si>
    <t>934 · SHIPPING COSTS</t>
  </si>
  <si>
    <t>INV # 118072</t>
  </si>
  <si>
    <t>MC4 - ITRON READER</t>
  </si>
  <si>
    <t>3677</t>
  </si>
  <si>
    <t>ELAN FINANCIAL SERVICES</t>
  </si>
  <si>
    <t>PURCH OF COMMUNICATION EQ FROM EAGLE RESEARCH  TO READ ITRON ON METERS, PART OF AMR PROGRAM</t>
  </si>
  <si>
    <t>INV # 118799</t>
  </si>
  <si>
    <t>SET UP FOR A TABLET ( 4 HRS)</t>
  </si>
  <si>
    <t>Total 376.0 · Itrons</t>
  </si>
  <si>
    <t>Total 101.0 · Utility Plant - consolidated</t>
  </si>
  <si>
    <t>Total 101 · Utility Plant</t>
  </si>
  <si>
    <t>AMR Surcharges 2016-2025</t>
  </si>
  <si>
    <t>4:27 PM</t>
  </si>
  <si>
    <t>376.0 · Itrons</t>
  </si>
  <si>
    <t>SALES FOR 01-17</t>
  </si>
  <si>
    <t>ADJ'S PER BREG FOR 01-17</t>
  </si>
  <si>
    <t>SALES FOR 02-17</t>
  </si>
  <si>
    <t>ADJ'S PER BREG</t>
  </si>
  <si>
    <t>SALES FOR 03-17</t>
  </si>
  <si>
    <t>ADJ'S PER BREG FOR 03-17</t>
  </si>
  <si>
    <t>SALES FOR 04-17</t>
  </si>
  <si>
    <t>ADJ'S PER BREG FOR 04-17</t>
  </si>
  <si>
    <t>SALES FOR 05-17</t>
  </si>
  <si>
    <t>ADJ'S PER BREG FOR 05-17</t>
  </si>
  <si>
    <t>SALES FOR 06-17</t>
  </si>
  <si>
    <t>ADJ'S PER BREG FOR 06-17</t>
  </si>
  <si>
    <t>SALES FOR 07-17</t>
  </si>
  <si>
    <t>SALES FOR 08-17</t>
  </si>
  <si>
    <t>SALES FOR 09-17</t>
  </si>
  <si>
    <t>BREG ADJ'S FOR 09-17</t>
  </si>
  <si>
    <t>SALES FOR 10-17</t>
  </si>
  <si>
    <t>BREG ADJ'S FOR 10-17</t>
  </si>
  <si>
    <t>SALES FOR 11-17</t>
  </si>
  <si>
    <t>BREG ADJ'S FOR 11-17</t>
  </si>
  <si>
    <t>481 · Commercial &amp; Industrial Sales</t>
  </si>
  <si>
    <t>SALES FOR 12-17</t>
  </si>
  <si>
    <t>BREG ADJ'S FOR 12-17</t>
  </si>
  <si>
    <t>22</t>
  </si>
  <si>
    <t>2017 SURCH'S DUE FROM AUX RD GAS</t>
  </si>
  <si>
    <t>SALES FOR 01-18</t>
  </si>
  <si>
    <t>SALES FOR 02-18</t>
  </si>
  <si>
    <t>SALES FOR 03-18</t>
  </si>
  <si>
    <t>SALES FOR 04-18</t>
  </si>
  <si>
    <t>SALES FOR 05-18</t>
  </si>
  <si>
    <t>SALES FOR 06-18</t>
  </si>
  <si>
    <t>SALES FOR 07-18</t>
  </si>
  <si>
    <t>BREG ADJ'S FOR 07-18</t>
  </si>
  <si>
    <t>SALES FOR 08-18</t>
  </si>
  <si>
    <t>BREG ADJ'S FOR AUG 2018</t>
  </si>
  <si>
    <t>DUE AUX SURCH'S JAN-AUG 2018</t>
  </si>
  <si>
    <t>SALES FOR 09-18</t>
  </si>
  <si>
    <t>BREG ADJ'S FOR 09-18</t>
  </si>
  <si>
    <t>SALES FOR 10-18</t>
  </si>
  <si>
    <t>BREG ADJ'S FOR 10-18</t>
  </si>
  <si>
    <t>SALES FOR 11-18</t>
  </si>
  <si>
    <t>BREG ADJ'S FOR 11-18</t>
  </si>
  <si>
    <t>SALES FOR 12-18</t>
  </si>
  <si>
    <t>BREG ADJ'S FOR 12-18</t>
  </si>
  <si>
    <t>AUX SURCH'S FOR SEP-DEC 18</t>
  </si>
  <si>
    <t>SALES FOR 01-19</t>
  </si>
  <si>
    <t>BREG ADJ'S FOR 01-19</t>
  </si>
  <si>
    <t>SALES FOR 02-19</t>
  </si>
  <si>
    <t>SALES FOR 03-19</t>
  </si>
  <si>
    <t>SALES FOR 04-19</t>
  </si>
  <si>
    <t>SALES FOR 05-19</t>
  </si>
  <si>
    <t>BREG ADJ'S FOR 05-19</t>
  </si>
  <si>
    <t>SALES FOR 06-19</t>
  </si>
  <si>
    <t>BREG ADJ'S FOR 06-19</t>
  </si>
  <si>
    <t>SALES FOR 07-19</t>
  </si>
  <si>
    <t>BREG ADJ'S FOR 07-19</t>
  </si>
  <si>
    <t>SALES FOR 08-19</t>
  </si>
  <si>
    <t>BREG ADJ'S FOR 08-19</t>
  </si>
  <si>
    <t>SALES FOR 09-19</t>
  </si>
  <si>
    <t>SALES FOR 10-19</t>
  </si>
  <si>
    <t>BREG ADJ'S FOR 10-19</t>
  </si>
  <si>
    <t>491 · Customer Charge</t>
  </si>
  <si>
    <t>SALES FOR 11-19</t>
  </si>
  <si>
    <t>BREG ADJ'S FOR 11-19</t>
  </si>
  <si>
    <t>12-19 SALES</t>
  </si>
  <si>
    <t>8</t>
  </si>
  <si>
    <t>BREG ADJ'S FOR 12-19</t>
  </si>
  <si>
    <t>ADJ17/KIM</t>
  </si>
  <si>
    <t>AUX SURCHARGES FOR 2019</t>
  </si>
  <si>
    <t>SALES FOR 01-2020</t>
  </si>
  <si>
    <t>AUXIER SURCHARGES FOR 01-2020</t>
  </si>
  <si>
    <t>SALES FOR 02-2020</t>
  </si>
  <si>
    <t>AUX SURCH FOR 02-2020</t>
  </si>
  <si>
    <t>SALES FOR 03-2020</t>
  </si>
  <si>
    <t>AUX SURCH FOR 03-2020</t>
  </si>
  <si>
    <t>SALES FOR 04-2020</t>
  </si>
  <si>
    <t>BREG ADJS FOR 04-2020</t>
  </si>
  <si>
    <t>AUX SURCHARGES FOR 04-2020</t>
  </si>
  <si>
    <t>SALES FOR 05-2020</t>
  </si>
  <si>
    <t>AUX SURCHARGES FOR 05-2020</t>
  </si>
  <si>
    <t>SALES FOR 06-2020</t>
  </si>
  <si>
    <t>BREG ADJS FOR 06-2020</t>
  </si>
  <si>
    <t>AUX SURCHARGES FOR 06-2020</t>
  </si>
  <si>
    <t>SALES FOR 07-2020</t>
  </si>
  <si>
    <t>AUXIER SURCHARGES FOR 07-2020</t>
  </si>
  <si>
    <t>SALES FOR 08-2020</t>
  </si>
  <si>
    <t>AUX SURCHARGES FOR 08-2020</t>
  </si>
  <si>
    <t>SALES FOR 09-2020</t>
  </si>
  <si>
    <t>AUX CC/PY FOR 09-2020</t>
  </si>
  <si>
    <t>11</t>
  </si>
  <si>
    <t>BREG ADJS FOR 09-2020</t>
  </si>
  <si>
    <t>SALES FOR 10-2020</t>
  </si>
  <si>
    <t>AUX SURCHARGES FOR 10-2020</t>
  </si>
  <si>
    <t>SALES FOR 11-2020</t>
  </si>
  <si>
    <t>AUX SURCHARGES FOR 11-2020</t>
  </si>
  <si>
    <t>BREG ADJS FOR 11-2020</t>
  </si>
  <si>
    <t>SALES FOR 12-2020</t>
  </si>
  <si>
    <t>AUX SURCHARGES FOR 12-2020</t>
  </si>
  <si>
    <t>BREG ADJS FOR 12-2020</t>
  </si>
  <si>
    <t>Sales for 01-2021</t>
  </si>
  <si>
    <t>Breg adjs for 01-2021</t>
  </si>
  <si>
    <t>Aux surcharges for 01-2021</t>
  </si>
  <si>
    <t>Sales for 02-2021</t>
  </si>
  <si>
    <t>Breg adjs for 02-2021</t>
  </si>
  <si>
    <t>Auxier surcharges for 02-2021</t>
  </si>
  <si>
    <t>SALES FOR 03-2021</t>
  </si>
  <si>
    <t>BREG ADJS FOR 03-2021</t>
  </si>
  <si>
    <t>AUXIER SURCHARGES FOR 03-2021 DUE KFG</t>
  </si>
  <si>
    <t>SALES FOR 04-2021</t>
  </si>
  <si>
    <t>BREG ADJS FOR 04-2021</t>
  </si>
  <si>
    <t>AUX SURCHARGES FOR 04-2021 DUE KFG</t>
  </si>
  <si>
    <t>SALES FOR 05-2021</t>
  </si>
  <si>
    <t>BREG ADJS FOR 05-2021</t>
  </si>
  <si>
    <t>AUX SURCHARGES FOR 05-2021 DUE KFG</t>
  </si>
  <si>
    <t>SALES FOR 06-2021</t>
  </si>
  <si>
    <t>BREG ADJS FOR 06-2021</t>
  </si>
  <si>
    <t>AUX SURCHARGES FOR 06-2021 DUE KFG</t>
  </si>
  <si>
    <t>SALES FOR 07-2021</t>
  </si>
  <si>
    <t>BREG ADJS FOR 07-2021</t>
  </si>
  <si>
    <t>AUX SURCHS FOR 07-2021 DUE KFG</t>
  </si>
  <si>
    <t>SALES FOR 08-2021</t>
  </si>
  <si>
    <t>BREG ADJ FOR 08-2021</t>
  </si>
  <si>
    <t>AUX SURCHARGES  FOR 08-2021</t>
  </si>
  <si>
    <t>SALES FOR 09-2021</t>
  </si>
  <si>
    <t>BREG ADJS FOR 09-2021</t>
  </si>
  <si>
    <t>AUX SURCHS FOR 09-2021</t>
  </si>
  <si>
    <t>SALES FOR 10-2021</t>
  </si>
  <si>
    <t>BREG ADJS FOR 10-2021</t>
  </si>
  <si>
    <t>AUX SURCHARGES FOR 10-2021</t>
  </si>
  <si>
    <t>SALES FOR 11-2021</t>
  </si>
  <si>
    <t>BREG ADJ FOR 11-2021</t>
  </si>
  <si>
    <t>AUX SURCHS FOR 11-2021</t>
  </si>
  <si>
    <t>SALES FOR 12-2021</t>
  </si>
  <si>
    <t>BREG ADJS FOR 12/2021</t>
  </si>
  <si>
    <t>AUX SURCHS FOR 12-2021</t>
  </si>
  <si>
    <t>ADJKIM/10</t>
  </si>
  <si>
    <t>ADJ TO ACTUAL FOR ADJS ON BREG</t>
  </si>
  <si>
    <t>380.34 · BUP-CIAC(contri in aid const)</t>
  </si>
  <si>
    <t>SALES FOR 01-2022</t>
  </si>
  <si>
    <t>BREG ADJ FOR 01-2022</t>
  </si>
  <si>
    <t>376.18 · PGUP-CIAC(contri in aid constr)</t>
  </si>
  <si>
    <t>SALES  FOR 02-2022</t>
  </si>
  <si>
    <t>BREG ADJS FOR 02-2022</t>
  </si>
  <si>
    <t>SALES FOR 03-2022</t>
  </si>
  <si>
    <t>BREG ADJS FOR 03-2022</t>
  </si>
  <si>
    <t>SALES FOR 04-2022</t>
  </si>
  <si>
    <t>BREG ADJS FOR 04-2022</t>
  </si>
  <si>
    <t>SALES FOR 05-2022</t>
  </si>
  <si>
    <t>SALES FOR 06-2022</t>
  </si>
  <si>
    <t>BREG ADJS FOR 06-2022</t>
  </si>
  <si>
    <t>SALES FOR 07-2022</t>
  </si>
  <si>
    <t>SALES FOR 08-2022</t>
  </si>
  <si>
    <t>SALES FOR 09-2022</t>
  </si>
  <si>
    <t>BREG ADJS FOR 09-2022</t>
  </si>
  <si>
    <t>SALES FOR 10-2022</t>
  </si>
  <si>
    <t>SALES FOR 11-2022</t>
  </si>
  <si>
    <t>BREG ADJS FOR 11-2022</t>
  </si>
  <si>
    <t>BREG ADJS FOR 12-2022</t>
  </si>
  <si>
    <t>AUX 2022 SURCHS DUE KFG</t>
  </si>
  <si>
    <t>SALES FOR 12-2022</t>
  </si>
  <si>
    <t>SALES FOR 01-2023</t>
  </si>
  <si>
    <t>BREG ADJS FOR 01-2023</t>
  </si>
  <si>
    <t>SALES FOR 02-2023</t>
  </si>
  <si>
    <t>BREG ADJS 02-2023</t>
  </si>
  <si>
    <t>SALES FOR 03-2023</t>
  </si>
  <si>
    <t>BREG ADJS FOR 03-2023</t>
  </si>
  <si>
    <t>SALES FOR 04-2023</t>
  </si>
  <si>
    <t>SALES FOR 05-2023</t>
  </si>
  <si>
    <t>SALES FOR 06-2023</t>
  </si>
  <si>
    <t>BREG ADJ 06-2023</t>
  </si>
  <si>
    <t>480.001 · KFG - GCR</t>
  </si>
  <si>
    <t>SALES FOR 07-2023</t>
  </si>
  <si>
    <t>SALES FOR 08-2023</t>
  </si>
  <si>
    <t>BREG ADJ FOR 08-2023</t>
  </si>
  <si>
    <t>SALES FOR 09-2023</t>
  </si>
  <si>
    <t>AUX SURCHS THRU 09-2023</t>
  </si>
  <si>
    <t>SALES 10-2023</t>
  </si>
  <si>
    <t>BREG ADJ 10-2023</t>
  </si>
  <si>
    <t>SALES FOR 11-2023</t>
  </si>
  <si>
    <t>BREG ADJ 11-2023</t>
  </si>
  <si>
    <t>SALES FOR 12-2023</t>
  </si>
  <si>
    <t>BREG ADJS 12-2023</t>
  </si>
  <si>
    <t>ADJ16/KIM</t>
  </si>
  <si>
    <t>AUXIER SURCHARGES  FOR OCT-DEC 2023</t>
  </si>
  <si>
    <t>SALES FOR 01-2024</t>
  </si>
  <si>
    <t>SALES FOR 02-2024</t>
  </si>
  <si>
    <t>SALES FOR 03-2024</t>
  </si>
  <si>
    <t>SALES FOR 04-2024</t>
  </si>
  <si>
    <t>SALES FOR 05-2024</t>
  </si>
  <si>
    <t>SALES FOR 06-2024</t>
  </si>
  <si>
    <t>BREG ADJS 06-2024</t>
  </si>
  <si>
    <t>SALES FOR 07-2024</t>
  </si>
  <si>
    <t>SALES FOR 08-2024</t>
  </si>
  <si>
    <t>AUX SURCHS DUE KFG JAN-AUG 2024</t>
  </si>
  <si>
    <t>SALES FOR 09-2024</t>
  </si>
  <si>
    <t>SALES FOR 10-2024</t>
  </si>
  <si>
    <t>SALES FOR 11-2024</t>
  </si>
  <si>
    <t>BREG ADJ, PSC GCA  REF</t>
  </si>
  <si>
    <t>AUX SURCHS FOR SEPT-NOV 2024</t>
  </si>
  <si>
    <t>SALES FOR 12-2024</t>
  </si>
  <si>
    <t>BREG ADJ FOR 12-2024</t>
  </si>
  <si>
    <t>AUX SURCHS FOR 12-2024</t>
  </si>
  <si>
    <t>SALES FOR 01-2025</t>
  </si>
  <si>
    <t>BREG ADJS 01-2025</t>
  </si>
  <si>
    <t>486 · Tracker Adj to Sales-PSC GCA CR</t>
  </si>
  <si>
    <t>AUX SURCHS FOR 01-2025</t>
  </si>
  <si>
    <t>SALES FOR 02-2025</t>
  </si>
  <si>
    <t>BREG ADJS FOR 02-2025</t>
  </si>
  <si>
    <t>AUX SURCHS 02-2025</t>
  </si>
  <si>
    <t>SALES FOR 03-2025</t>
  </si>
  <si>
    <t>BREG ADJS 03-2025</t>
  </si>
  <si>
    <t>AUX SURCHS 03-2025</t>
  </si>
  <si>
    <t>SALES  FOR 04-2025</t>
  </si>
  <si>
    <t>AUX SURCHS 04-2025</t>
  </si>
  <si>
    <t>SALES FOR 05-2025</t>
  </si>
  <si>
    <t>AUX SURCHS FOR 05-2025</t>
  </si>
  <si>
    <t>SALES FOR 06-2025</t>
  </si>
  <si>
    <t>BREG ADJS FOR 06-2025</t>
  </si>
  <si>
    <t>AUX SURCHS FOR 06-25</t>
  </si>
  <si>
    <t>SALES FOR 07-2025</t>
  </si>
  <si>
    <t>AUX SURCHS 07-2025</t>
  </si>
  <si>
    <t>SALES FOR 08-2025</t>
  </si>
  <si>
    <t>AUX SURCHS FOR 08-2025</t>
  </si>
  <si>
    <t>SALES FOR 09-2025</t>
  </si>
  <si>
    <t>AUX SURCHS FOR 09-2025</t>
  </si>
  <si>
    <t>SALES FOR 10-2025</t>
  </si>
  <si>
    <t>BREG ADJS</t>
  </si>
  <si>
    <t>AUX SURCHS FOR 10-2025</t>
  </si>
  <si>
    <t>SALES FOR 11-2025</t>
  </si>
  <si>
    <t>BREG 11-2025</t>
  </si>
  <si>
    <t>AUX SURCHS FOR 11-2025</t>
  </si>
  <si>
    <t>SALES FOR 12-2025</t>
  </si>
  <si>
    <t>BREG ADJS 12-2025</t>
  </si>
  <si>
    <t>Total 376.001 · CIAC/Itrons -Contrib in Aid Con</t>
  </si>
  <si>
    <t>Meters Purchased 2012-2025</t>
  </si>
  <si>
    <t>4:34 PM</t>
  </si>
  <si>
    <t>101 · Utility Plant</t>
  </si>
  <si>
    <t>101.0 · Utility Plant - consolidated</t>
  </si>
  <si>
    <t>376 · Meters - Consolidated</t>
  </si>
  <si>
    <t>822</t>
  </si>
  <si>
    <t>Kentucky Meter Service</t>
  </si>
  <si>
    <t>TO ADJ 2013 INV FOR PURCH OF METERS FOR AMR PROGRAM  REFER TO JNL ENTRY #11/ROGER</t>
  </si>
  <si>
    <t>483 · Farm Tap Customers</t>
  </si>
  <si>
    <t>#00011197</t>
  </si>
  <si>
    <t>Utility Sales &amp; Service Inc</t>
  </si>
  <si>
    <t>8 AC630, 2 AC800</t>
  </si>
  <si>
    <t>00011980</t>
  </si>
  <si>
    <t>#00012970</t>
  </si>
  <si>
    <t>80 AC250 Meters</t>
  </si>
  <si>
    <t>00013697</t>
  </si>
  <si>
    <t>Inv# 4392</t>
  </si>
  <si>
    <t>B &amp; B Meter Service</t>
  </si>
  <si>
    <t>IN00015686</t>
  </si>
  <si>
    <t>IN00016418</t>
  </si>
  <si>
    <t>IN00016527</t>
  </si>
  <si>
    <t>#00016621</t>
  </si>
  <si>
    <t>AJE20/ROGE</t>
  </si>
  <si>
    <t>To reclassify Blaine from consolidated meters ( 51x$75=$3,825)</t>
  </si>
  <si>
    <t>380.04 · Meters</t>
  </si>
  <si>
    <t>00018530</t>
  </si>
  <si>
    <t>00018530 (80 METERS)</t>
  </si>
  <si>
    <t>IN00021063</t>
  </si>
  <si>
    <t>IN00021341</t>
  </si>
  <si>
    <t>80 AC250 METERS</t>
  </si>
  <si>
    <t>IN00022067</t>
  </si>
  <si>
    <t>#26284</t>
  </si>
  <si>
    <t>Koons Gas Measurement</t>
  </si>
  <si>
    <t>INV# 26284</t>
  </si>
  <si>
    <t>29303</t>
  </si>
  <si>
    <t>#29303</t>
  </si>
  <si>
    <t>#30144</t>
  </si>
  <si>
    <t>INV# 32503</t>
  </si>
  <si>
    <t>#37703</t>
  </si>
  <si>
    <t>INV 19624</t>
  </si>
  <si>
    <t>LITTLE KANAWHA GAS MEASUREMENT</t>
  </si>
  <si>
    <t>DWALE METER</t>
  </si>
  <si>
    <t>NV17642</t>
  </si>
  <si>
    <t>LARGE METERS-2 AC-630</t>
  </si>
  <si>
    <t>LARGE METERS 2 AC-800</t>
  </si>
  <si>
    <t>INV 43875</t>
  </si>
  <si>
    <t>INV# 45087</t>
  </si>
  <si>
    <t>INV # 51532</t>
  </si>
  <si>
    <t>100 AC-250 METERS</t>
  </si>
  <si>
    <t>INV # 54293</t>
  </si>
  <si>
    <t>100 METERS</t>
  </si>
  <si>
    <t>ADJ43/ROGE</t>
  </si>
  <si>
    <t>TO ADJUST FOR DEPRECIATION SCHEDULE ROUNDING VARIANCE</t>
  </si>
  <si>
    <t>381.33 · Meters</t>
  </si>
  <si>
    <t>INV # 50375</t>
  </si>
  <si>
    <t>ENERGY ECONOMICS, INC.</t>
  </si>
  <si>
    <t>PURCHASED 15 LARGE VOLUME METERS- REFURBED FROM ENERGY ECONOMICS</t>
  </si>
  <si>
    <t>FOR EEI INV 50213</t>
  </si>
  <si>
    <t>PINEDALE NATURAL GAS</t>
  </si>
  <si>
    <t>AC800 , REFURB FROM PINEDALE</t>
  </si>
  <si>
    <t>10-AL425 METERS, 2 AC630 METERS</t>
  </si>
  <si>
    <t>INV # 2332</t>
  </si>
  <si>
    <t>PINEDALE - WALDEN</t>
  </si>
  <si>
    <t>2 NEW AMERICAN AC800 METERS</t>
  </si>
  <si>
    <t>INV # 2003</t>
  </si>
  <si>
    <t>NEW METERS FROM MSPS</t>
  </si>
  <si>
    <t>INV # 53578</t>
  </si>
  <si>
    <t>(3)  AL1000 LARGE METERS</t>
  </si>
  <si>
    <t>INV # 25004</t>
  </si>
  <si>
    <t>INV # 25004, AC 250 METERS (100)</t>
  </si>
  <si>
    <t>INV # 2371</t>
  </si>
  <si>
    <t>INV # 37301</t>
  </si>
  <si>
    <t>UTILITIES &amp; INDUSTRIES, INC.</t>
  </si>
  <si>
    <t>INV # 37555</t>
  </si>
  <si>
    <t>Total 376 · Meters - Consolidated</t>
  </si>
  <si>
    <t>Maintenance of Meters 2012-2025</t>
  </si>
  <si>
    <t>4:32 PM</t>
  </si>
  <si>
    <t>Transaction Detail By Account</t>
  </si>
  <si>
    <t>January 2012 through December 2025</t>
  </si>
  <si>
    <t>870 · DISTRIBUTION EXPENSES</t>
  </si>
  <si>
    <t>884 · DISTRIBUTION MAINTENANCE</t>
  </si>
  <si>
    <t>893 · Maint of Meters &amp; House Reg</t>
  </si>
  <si>
    <t>INV#815</t>
  </si>
  <si>
    <t>01 East Kentucky Utilities</t>
  </si>
  <si>
    <t>02 Mike Little Gas</t>
  </si>
  <si>
    <t>03 Belfry Gas</t>
  </si>
  <si>
    <t>04 Farm Taps (Quality)</t>
  </si>
  <si>
    <t>08 Peoples Gas (Phelps)</t>
  </si>
  <si>
    <t>09 Cow Creek</t>
  </si>
  <si>
    <t>ADJ#4</t>
  </si>
  <si>
    <t>TO TAKE OUT 02-12 CC EXP</t>
  </si>
  <si>
    <t>405.2 · Managaement Fee Income - Cow Cr</t>
  </si>
  <si>
    <t>ADJ#15</t>
  </si>
  <si>
    <t>TO TAKE OFF 02-12 EXP FOR ARG</t>
  </si>
  <si>
    <t>INV#0172</t>
  </si>
  <si>
    <t>Dan Wade Meter Testing</t>
  </si>
  <si>
    <t>11 BTU</t>
  </si>
  <si>
    <t>INV#0173</t>
  </si>
  <si>
    <t>INV#0174</t>
  </si>
  <si>
    <t>ADJ#9</t>
  </si>
  <si>
    <t>TO TAKE OFF 07-12 EXP FOR CC</t>
  </si>
  <si>
    <t>ADJ#20</t>
  </si>
  <si>
    <t>TO TAKE OFF 07-12 EXP FOR ARG</t>
  </si>
  <si>
    <t>INV#833</t>
  </si>
  <si>
    <t>INV#187</t>
  </si>
  <si>
    <t>DW Gas Meter Testing</t>
  </si>
  <si>
    <t>TO TAKE OFF 11-12 ADDITIONAL EXP FOR ARG</t>
  </si>
  <si>
    <t>9</t>
  </si>
  <si>
    <t>TO TAKE OFF 11-12 ADDITIONAL EXP FOR CC</t>
  </si>
  <si>
    <t>INV#195</t>
  </si>
  <si>
    <t>D W Gas Meter Testing</t>
  </si>
  <si>
    <t>2</t>
  </si>
  <si>
    <t>TO TAKE OFF 12-12 EXP FOR ARG</t>
  </si>
  <si>
    <t>TO TAKE OFF 12-12 EXP FOR CC</t>
  </si>
  <si>
    <t>INV#197</t>
  </si>
  <si>
    <t>INV#198</t>
  </si>
  <si>
    <t>TO TAKE OFF 01-13 EXP FOR ARG PD BY KFG</t>
  </si>
  <si>
    <t>INV#201</t>
  </si>
  <si>
    <t>INV#202</t>
  </si>
  <si>
    <t>TO TAKE OFF 02-13 ARG EXP PD BY KFG</t>
  </si>
  <si>
    <t>INV#205</t>
  </si>
  <si>
    <t>INV#840</t>
  </si>
  <si>
    <t>TO TAKE OFF 03-13 ARG EXP PD BY KFG</t>
  </si>
  <si>
    <t>INV#215</t>
  </si>
  <si>
    <t>#221</t>
  </si>
  <si>
    <t>TO TAKE OFF 05-13 ARG EXP PD BY KFG</t>
  </si>
  <si>
    <t>INV#433058</t>
  </si>
  <si>
    <t>#433640</t>
  </si>
  <si>
    <t>INV#848</t>
  </si>
  <si>
    <t>#239</t>
  </si>
  <si>
    <t>#240</t>
  </si>
  <si>
    <t>TO TAKE OFF 10-13 ARG EXP PD BY KFG</t>
  </si>
  <si>
    <t>#243</t>
  </si>
  <si>
    <t>ADJ2/ROGER</t>
  </si>
  <si>
    <t>To consolidate CC 2013 activity per CC G/L</t>
  </si>
  <si>
    <t>135.1 · CC- CNB Account</t>
  </si>
  <si>
    <t>ADJ14/ROGER</t>
  </si>
  <si>
    <t>To capitalize meters, mains, regulators, services &amp; expense meter testing/tools</t>
  </si>
  <si>
    <t>#250</t>
  </si>
  <si>
    <t>#251</t>
  </si>
  <si>
    <t>1888-4</t>
  </si>
  <si>
    <t>Sherwin-Williams</t>
  </si>
  <si>
    <t>4261-6694-8</t>
  </si>
  <si>
    <t>TO CLEAR OUT  ARG EXP'S FOR 02-14 PD BY KFG</t>
  </si>
  <si>
    <t>#260</t>
  </si>
  <si>
    <t>INV#434765</t>
  </si>
  <si>
    <t>#434765</t>
  </si>
  <si>
    <t>#262</t>
  </si>
  <si>
    <t>INV#3265-7</t>
  </si>
  <si>
    <t>426166948</t>
  </si>
  <si>
    <t>CR FOR INV#3265-7</t>
  </si>
  <si>
    <t>cr for 426166948</t>
  </si>
  <si>
    <t>TO REMOVE 05-14 EXP FOR ARG</t>
  </si>
  <si>
    <t>#274</t>
  </si>
  <si>
    <t>#442041</t>
  </si>
  <si>
    <t>TO REMOVE 08-14 EXP FOR AUX</t>
  </si>
  <si>
    <t>#283</t>
  </si>
  <si>
    <t>#863</t>
  </si>
  <si>
    <t>TO REMOVE 09-14 ARG EXP PD BY KFG</t>
  </si>
  <si>
    <t>#292</t>
  </si>
  <si>
    <t>TO REMOVE 10-14  AUX EXP PD BY KFG</t>
  </si>
  <si>
    <t>#297</t>
  </si>
  <si>
    <t>#308</t>
  </si>
  <si>
    <t>#316</t>
  </si>
  <si>
    <t>#319</t>
  </si>
  <si>
    <t>#336</t>
  </si>
  <si>
    <t>TO TAKE OFF ARG EXP FOR 04-15</t>
  </si>
  <si>
    <t>Inv#875</t>
  </si>
  <si>
    <t>TO TAKE OFF 06-15 ARG EXP</t>
  </si>
  <si>
    <t>#366</t>
  </si>
  <si>
    <t>TO TAKE OFF 07-15 ARG EXP'S</t>
  </si>
  <si>
    <t>Inv 885</t>
  </si>
  <si>
    <t>#370</t>
  </si>
  <si>
    <t>TO TAKE OFF 08-15 ARG EXP</t>
  </si>
  <si>
    <t>TO TAKE OFF AUX EXP FOR 09-15</t>
  </si>
  <si>
    <t>TO TAKE OFF ARG EXP FOR 09-15</t>
  </si>
  <si>
    <t>Inv#889</t>
  </si>
  <si>
    <t>INV # 402</t>
  </si>
  <si>
    <t>To remove 01-16 ARG Exp's</t>
  </si>
  <si>
    <t>#404</t>
  </si>
  <si>
    <t>#408</t>
  </si>
  <si>
    <t>#409</t>
  </si>
  <si>
    <t>411</t>
  </si>
  <si>
    <t>412</t>
  </si>
  <si>
    <t>To remove ARG Exp's for 02-16</t>
  </si>
  <si>
    <t>#424</t>
  </si>
  <si>
    <t>#427</t>
  </si>
  <si>
    <t>#425</t>
  </si>
  <si>
    <t>To remove ARG Exp's for 04-16</t>
  </si>
  <si>
    <t>#431</t>
  </si>
  <si>
    <t>To remove ARG Exp's for 05-16</t>
  </si>
  <si>
    <t>#440</t>
  </si>
  <si>
    <t>#443</t>
  </si>
  <si>
    <t>To remove ARG Exp's for 06-16</t>
  </si>
  <si>
    <t>#0E0073119A1094</t>
  </si>
  <si>
    <t>#OE0073119A1094</t>
  </si>
  <si>
    <t>896</t>
  </si>
  <si>
    <t>#896</t>
  </si>
  <si>
    <t>TO REMOVE AUX EXP'S FOR 07-16</t>
  </si>
  <si>
    <t>TO TAKE OFF 07-16 AUX EXP</t>
  </si>
  <si>
    <t>921.4 · Computer Software</t>
  </si>
  <si>
    <t>TO REMOVE ADDTIONAL EXP FOR AUX 07-16</t>
  </si>
  <si>
    <t>455</t>
  </si>
  <si>
    <t>#455</t>
  </si>
  <si>
    <t>TO REMOVE AUX EXP FOR 08-16</t>
  </si>
  <si>
    <t>898</t>
  </si>
  <si>
    <t>#898</t>
  </si>
  <si>
    <t>899</t>
  </si>
  <si>
    <t>TO TAKE OFF 10-16 AUX EXP</t>
  </si>
  <si>
    <t>Inv# 475</t>
  </si>
  <si>
    <t>10</t>
  </si>
  <si>
    <t>TO REM AUX EXP'S FOR 11-16</t>
  </si>
  <si>
    <t>AJE24/ROGE</t>
  </si>
  <si>
    <t>To write off immaterial item</t>
  </si>
  <si>
    <t>378 · Regulators</t>
  </si>
  <si>
    <t>2592-5</t>
  </si>
  <si>
    <t>Inv# 2592-5</t>
  </si>
  <si>
    <t>TO REMOVE ARG EXP'S FOR 02-17</t>
  </si>
  <si>
    <t>#501</t>
  </si>
  <si>
    <t>TO REMOVE ARG EXP'S FOR 03-17</t>
  </si>
  <si>
    <t>INV# 912</t>
  </si>
  <si>
    <t>TO REMOVE ARG EXP'S FOR 05-17</t>
  </si>
  <si>
    <t>INV#524</t>
  </si>
  <si>
    <t>TO REM AUX EXP'S FOR 07-17</t>
  </si>
  <si>
    <t>#473071</t>
  </si>
  <si>
    <t>INV# 917</t>
  </si>
  <si>
    <t>REM AUX EXP'S FOR 10-17</t>
  </si>
  <si>
    <t>557</t>
  </si>
  <si>
    <t>TO REM AUX EXP FOR 11-17 PD BY KFG</t>
  </si>
  <si>
    <t>#920</t>
  </si>
  <si>
    <t>TO REM AUX EXP FOR 12-17</t>
  </si>
  <si>
    <t>2718-6</t>
  </si>
  <si>
    <t>574</t>
  </si>
  <si>
    <t>TO REMOVE AUX EXP'S FOR 02-18</t>
  </si>
  <si>
    <t>580</t>
  </si>
  <si>
    <t>#580</t>
  </si>
  <si>
    <t>#583</t>
  </si>
  <si>
    <t>TO REMOVE AUX EXP'S FOR 03-18</t>
  </si>
  <si>
    <t>590</t>
  </si>
  <si>
    <t>#590</t>
  </si>
  <si>
    <t>TO REMOVE AUX EXP'S FOR 04-18</t>
  </si>
  <si>
    <t>#3025-9</t>
  </si>
  <si>
    <t>INV# 3025-9</t>
  </si>
  <si>
    <t>604</t>
  </si>
  <si>
    <t>606</t>
  </si>
  <si>
    <t>TO REMOVE AUX EXP FOR 06-18</t>
  </si>
  <si>
    <t>612</t>
  </si>
  <si>
    <t>#612</t>
  </si>
  <si>
    <t>REM AUX EXP FOR 08-18</t>
  </si>
  <si>
    <t>8710-7</t>
  </si>
  <si>
    <t>INV NO. 8710-7</t>
  </si>
  <si>
    <t>TD4</t>
  </si>
  <si>
    <t>JACOB MCALPIN</t>
  </si>
  <si>
    <t>TD4 METER</t>
  </si>
  <si>
    <t>#625</t>
  </si>
  <si>
    <t>Inv# 625</t>
  </si>
  <si>
    <t>TO REMOVE AUX EXP'S PD BY KFG FOR 09-18</t>
  </si>
  <si>
    <t>#929</t>
  </si>
  <si>
    <t>TO REMOVE AUX EXP'S FOR 11-18</t>
  </si>
  <si>
    <t>18/ROGE</t>
  </si>
  <si>
    <t>To gross up Pike new service to base</t>
  </si>
  <si>
    <t>380.33 · Services</t>
  </si>
  <si>
    <t>2617-0</t>
  </si>
  <si>
    <t>INV# 2617-0</t>
  </si>
  <si>
    <t>TO REMOVE AUX EXP FOR 02-19</t>
  </si>
  <si>
    <t>INV# 5463-0</t>
  </si>
  <si>
    <t>TO TAKE OFF AUX EXP'S FOR 08-19</t>
  </si>
  <si>
    <t>#933</t>
  </si>
  <si>
    <t>TO TAKE OFF AUX EXP'S FOR 10-19</t>
  </si>
  <si>
    <t>INV# 935</t>
  </si>
  <si>
    <t>TO TAKE OFF AUX EXP FOR 11-19</t>
  </si>
  <si>
    <t>708377</t>
  </si>
  <si>
    <t>COX METER SERVICE, INC.</t>
  </si>
  <si>
    <t>TO TAKE OFF AUXIER EXP FOR 01-2020</t>
  </si>
  <si>
    <t>5400-8</t>
  </si>
  <si>
    <t>TO TAKE OFF AUXIER EXPS FOR 04-2020</t>
  </si>
  <si>
    <t>7454-7</t>
  </si>
  <si>
    <t>708398 &amp; 708399</t>
  </si>
  <si>
    <t>708396,708397, 708398,  &amp; 708399</t>
  </si>
  <si>
    <t>TO TAKE OFF AUX EXPS FOR 06-2020</t>
  </si>
  <si>
    <t>13</t>
  </si>
  <si>
    <t>TO TAKE OFF AUXIER EXPENSES FOR 07-2020</t>
  </si>
  <si>
    <t>INV 7970-2</t>
  </si>
  <si>
    <t>TO TAKE OFF AUX EXPENSES FOR 08-2020</t>
  </si>
  <si>
    <t>INV 941</t>
  </si>
  <si>
    <t>To take off Auxier exp for 01-2021</t>
  </si>
  <si>
    <t>INV 503780</t>
  </si>
  <si>
    <t>T-18 REPAIR</t>
  </si>
  <si>
    <t>To take off Auxier exp for 02-2021</t>
  </si>
  <si>
    <t>INV # 39834</t>
  </si>
  <si>
    <t>INV 5913-0</t>
  </si>
  <si>
    <t>104018 &amp; 104020</t>
  </si>
  <si>
    <t>TO TAKE OFF AUX EXPS FOR 03-2021</t>
  </si>
  <si>
    <t>CUST NO. 4261-6694-8</t>
  </si>
  <si>
    <t>TO TAKE OFF AUX EXPS FOR 05-2021 PD BY KFG</t>
  </si>
  <si>
    <t>INV 942</t>
  </si>
  <si>
    <t>TO TAKE OFF AUX EXP FOR 12-2021</t>
  </si>
  <si>
    <t>680480-680483</t>
  </si>
  <si>
    <t>INV 5852-0</t>
  </si>
  <si>
    <t>INV507145</t>
  </si>
  <si>
    <t>REPAIR TO T-18 METER TO BE SWITCHED OUT AT PRISON OR HOSPITAL</t>
  </si>
  <si>
    <t>AUXIER EXPS FOR 02-2022</t>
  </si>
  <si>
    <t>680494-680498</t>
  </si>
  <si>
    <t>680494 THRU 680498</t>
  </si>
  <si>
    <t>INV # 48106</t>
  </si>
  <si>
    <t>#48289</t>
  </si>
  <si>
    <t>TO TAKE OFF AUX EXP FOR 03-2022</t>
  </si>
  <si>
    <t>INV 1079-8</t>
  </si>
  <si>
    <t>TO TAKE OFF AUX EXPS FOR 04-2022</t>
  </si>
  <si>
    <t>INV # 8665-3</t>
  </si>
  <si>
    <t>AUX EXPS FOR 05-2022</t>
  </si>
  <si>
    <t>INV # 0037-3</t>
  </si>
  <si>
    <t>INV # 22100</t>
  </si>
  <si>
    <t>INV508520</t>
  </si>
  <si>
    <t>AUX EXPS FOR 07-2022</t>
  </si>
  <si>
    <t>INV 1160-2</t>
  </si>
  <si>
    <t>AUX EXPS FOR 08-2022</t>
  </si>
  <si>
    <t>INV 2234-4</t>
  </si>
  <si>
    <t>INV509325</t>
  </si>
  <si>
    <t>AUX EXPS FOR 10-2022</t>
  </si>
  <si>
    <t>INV # 22105</t>
  </si>
  <si>
    <t>FOR 2022</t>
  </si>
  <si>
    <t>TO TAKE OFF AUX EXPS FOR 12-2022</t>
  </si>
  <si>
    <t>INV # 23105</t>
  </si>
  <si>
    <t>TO TAKE OFF AUX EXP FOR 01-2023</t>
  </si>
  <si>
    <t>INV 2642-2</t>
  </si>
  <si>
    <t>TO TAKE OFF AUX EXPS FOR 02-2023</t>
  </si>
  <si>
    <t>METER TEST &amp; REPAIR</t>
  </si>
  <si>
    <t>INV # 724340,724341,724342, &amp; 724343</t>
  </si>
  <si>
    <t>TO TAKE OFF AUX EXP FOR 03-2023</t>
  </si>
  <si>
    <t>INV 1538-9</t>
  </si>
  <si>
    <t>TO TAKE OFF AUX EXP FOR 08-2023</t>
  </si>
  <si>
    <t>INV # 23107</t>
  </si>
  <si>
    <t>INV # 23108</t>
  </si>
  <si>
    <t>TO TAKE OFF AUX EXP 10-2023</t>
  </si>
  <si>
    <t>TEST &amp; CALIB METERS</t>
  </si>
  <si>
    <t>INV 126536,126537,126538, &amp; 126539</t>
  </si>
  <si>
    <t>TO TAKE OFF AUX EXP FOR 01-2024</t>
  </si>
  <si>
    <t>126544-126547</t>
  </si>
  <si>
    <t>TO TAKE OFF AUX EXPS FOR 02-2024</t>
  </si>
  <si>
    <t>INV # 7807-2</t>
  </si>
  <si>
    <t>TO TAKE OFF AUX EXP FOR 03-2024</t>
  </si>
  <si>
    <t>135976-135980</t>
  </si>
  <si>
    <t>TO TAKE OFF AUX EXPS FOR 04-2024</t>
  </si>
  <si>
    <t>INV # 6314-4</t>
  </si>
  <si>
    <t>TO TAKE OFF AUX EXP 09-2024</t>
  </si>
  <si>
    <t>135994-135996, 135999&amp;136000</t>
  </si>
  <si>
    <t>TO TAKE OFF AUX EXP FOR 11-2024</t>
  </si>
  <si>
    <t>286366-286369</t>
  </si>
  <si>
    <t>TO TAKE OFF AUX EXP FOR 01-2025</t>
  </si>
  <si>
    <t>286377,286381,286382,286383</t>
  </si>
  <si>
    <t>INV # 23271</t>
  </si>
  <si>
    <t>TO TAKE OFF AUX EXP 03-2025</t>
  </si>
  <si>
    <t>286390, 391,393</t>
  </si>
  <si>
    <t>INV # 286390,286391, &amp; 286393</t>
  </si>
  <si>
    <t>TO TAKE OFF AUX EXP FOR 04-2025</t>
  </si>
  <si>
    <t>REIMB FROM PINEDALE FOR METER TESTING-4 750 ROCKWELL METERS (COX METER SERVICE PD BY KFG)</t>
  </si>
  <si>
    <t>131.11 · Comm Trust Bank Oper 4004934206</t>
  </si>
  <si>
    <t>INV # 25101</t>
  </si>
  <si>
    <t>INV # 25002</t>
  </si>
  <si>
    <t>TO TAKE OFF AUX EXP FOR 06-2025</t>
  </si>
  <si>
    <t>INV # 25003</t>
  </si>
  <si>
    <t>TO TAKE OFF AUX EXP FOR 07-2025</t>
  </si>
  <si>
    <t>CHARGE INV # 3126-8</t>
  </si>
  <si>
    <t>TO TAKE OFF AUX EXPS FOR 09-2025</t>
  </si>
  <si>
    <t>INV # 25107</t>
  </si>
  <si>
    <t>TO TAKE OFF AUX EXP PD BY KFG FOR 12-2025</t>
  </si>
  <si>
    <t>Total 893 · Maint of Meters &amp; House Reg</t>
  </si>
  <si>
    <t>Total 884 · DISTRIBUTION MAINTENANCE</t>
  </si>
  <si>
    <t>Total 870 · DISTRIBUTION EXPENSES</t>
  </si>
  <si>
    <t>Regulators purchased for AMR</t>
  </si>
  <si>
    <t>4:36 PM</t>
  </si>
  <si>
    <t>#00011750</t>
  </si>
  <si>
    <t>#00011749</t>
  </si>
  <si>
    <t>7032928</t>
  </si>
  <si>
    <t>Miller Supply Inc</t>
  </si>
  <si>
    <t>IN00021914</t>
  </si>
  <si>
    <t>IN00021914 (80 REG)</t>
  </si>
  <si>
    <t>IN00022567</t>
  </si>
  <si>
    <t>INV# 7040506</t>
  </si>
  <si>
    <t>REGULATORS FOR CHRIS SLONE CITY GATE METERS</t>
  </si>
  <si>
    <t>INV# 7040830</t>
  </si>
  <si>
    <t>INV17642</t>
  </si>
  <si>
    <t>7041079</t>
  </si>
  <si>
    <t>Sales for 01-2021 replaced regulator on cust meter</t>
  </si>
  <si>
    <t>INV 18183</t>
  </si>
  <si>
    <t>MOUNTAIN STATES PIPE &amp; SUPPLY</t>
  </si>
  <si>
    <t>20 REGS</t>
  </si>
  <si>
    <t>INV 18184</t>
  </si>
  <si>
    <t>3 REGS</t>
  </si>
  <si>
    <t>SALES FOR 05-2021, SOLD REG TO FARM TAP</t>
  </si>
  <si>
    <t>NV 7043610</t>
  </si>
  <si>
    <t>2" FISHER REG</t>
  </si>
  <si>
    <t>INV 7046964</t>
  </si>
  <si>
    <t>REPLACED REG DESTROYED BY WATER</t>
  </si>
  <si>
    <t>INV # 53876</t>
  </si>
  <si>
    <t>144 REGS</t>
  </si>
  <si>
    <t>68- 1813C REGULATORS</t>
  </si>
  <si>
    <t>ADJ#25/ROGE</t>
  </si>
  <si>
    <t>TO ADJ POSTING OF SALE OF REGULATORS TO FARM TAP CUSTOMERS</t>
  </si>
  <si>
    <t>INV # INV519336</t>
  </si>
  <si>
    <t>PURCHASED FOR ARH HOSPITAL, WILL REPAY KFG</t>
  </si>
  <si>
    <t>Total 378 · Regulators</t>
  </si>
  <si>
    <t>Staff PH DR-14 AMR detail</t>
  </si>
  <si>
    <t>Staff PH DR-13 AMR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</si>
</sst>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[$-409]mmm\-yy;@"/>
    <numFmt numFmtId="167" formatCode="_(&quot;$&quot;* #,##0_);_(&quot;$&quot;* \(#,##0\);_(&quot;$&quot;* &quot;-&quot;??_);_(@_)"/>
    <numFmt numFmtId="168" formatCode="mm/dd/yyyy"/>
    <numFmt numFmtId="169" formatCode="#,##0.00;\-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8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lightUp">
        <bgColor theme="1"/>
      </patternFill>
    </fill>
    <fill>
      <patternFill patternType="lightUp"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8" fillId="0" borderId="0">
      <alignment vertical="top"/>
    </xf>
    <xf numFmtId="0" fontId="9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0" fillId="0" borderId="0" xfId="1" applyNumberFormat="1" applyFont="1"/>
    <xf numFmtId="164" fontId="1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5" fontId="1" fillId="0" borderId="0" xfId="1" applyNumberFormat="1" applyFont="1"/>
    <xf numFmtId="0" fontId="6" fillId="4" borderId="0" xfId="2" applyFont="1" applyFill="1"/>
    <xf numFmtId="165" fontId="6" fillId="4" borderId="0" xfId="1" applyNumberFormat="1" applyFont="1" applyFill="1" applyAlignment="1">
      <alignment horizontal="center"/>
    </xf>
    <xf numFmtId="0" fontId="6" fillId="5" borderId="0" xfId="2" applyFont="1" applyFill="1"/>
    <xf numFmtId="0" fontId="6" fillId="6" borderId="0" xfId="2" applyFont="1" applyFill="1"/>
    <xf numFmtId="0" fontId="6" fillId="7" borderId="0" xfId="2" applyFont="1" applyFill="1"/>
    <xf numFmtId="0" fontId="6" fillId="8" borderId="0" xfId="2" applyFont="1" applyFill="1"/>
    <xf numFmtId="0" fontId="6" fillId="9" borderId="0" xfId="2" applyFont="1" applyFill="1"/>
    <xf numFmtId="0" fontId="7" fillId="0" borderId="0" xfId="2" applyFont="1"/>
    <xf numFmtId="0" fontId="6" fillId="10" borderId="0" xfId="3" applyFont="1" applyFill="1" applyAlignment="1"/>
    <xf numFmtId="0" fontId="6" fillId="11" borderId="0" xfId="3" applyFont="1" applyFill="1" applyAlignment="1"/>
    <xf numFmtId="0" fontId="6" fillId="12" borderId="0" xfId="2" applyFont="1" applyFill="1" applyAlignment="1">
      <alignment horizontal="left"/>
    </xf>
    <xf numFmtId="165" fontId="0" fillId="0" borderId="0" xfId="0" applyNumberFormat="1"/>
    <xf numFmtId="164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165" fontId="0" fillId="0" borderId="0" xfId="1" applyNumberFormat="1" applyFont="1"/>
    <xf numFmtId="0" fontId="0" fillId="2" borderId="0" xfId="0" applyFill="1"/>
    <xf numFmtId="0" fontId="7" fillId="0" borderId="0" xfId="4" applyFont="1"/>
    <xf numFmtId="166" fontId="10" fillId="13" borderId="0" xfId="4" applyNumberFormat="1" applyFont="1" applyFill="1" applyAlignment="1">
      <alignment horizontal="center" vertical="top"/>
    </xf>
    <xf numFmtId="166" fontId="10" fillId="14" borderId="0" xfId="4" applyNumberFormat="1" applyFont="1" applyFill="1" applyAlignment="1">
      <alignment horizontal="center" vertical="top"/>
    </xf>
    <xf numFmtId="0" fontId="11" fillId="0" borderId="0" xfId="4" applyFont="1" applyAlignment="1">
      <alignment horizontal="center"/>
    </xf>
    <xf numFmtId="165" fontId="7" fillId="0" borderId="0" xfId="5" applyNumberFormat="1" applyFont="1"/>
    <xf numFmtId="3" fontId="12" fillId="0" borderId="0" xfId="4" applyNumberFormat="1" applyFont="1" applyAlignment="1">
      <alignment vertical="top"/>
    </xf>
    <xf numFmtId="3" fontId="13" fillId="0" borderId="0" xfId="4" applyNumberFormat="1" applyFont="1" applyAlignment="1">
      <alignment vertical="top"/>
    </xf>
    <xf numFmtId="0" fontId="14" fillId="0" borderId="0" xfId="4" applyFont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167" fontId="0" fillId="0" borderId="0" xfId="7" applyNumberFormat="1" applyFont="1"/>
    <xf numFmtId="0" fontId="0" fillId="0" borderId="0" xfId="0" applyAlignment="1">
      <alignment horizontal="center"/>
    </xf>
    <xf numFmtId="167" fontId="1" fillId="0" borderId="0" xfId="7" applyNumberFormat="1" applyFont="1"/>
    <xf numFmtId="0" fontId="4" fillId="0" borderId="0" xfId="0" applyFont="1" applyAlignment="1">
      <alignment horizontal="left"/>
    </xf>
    <xf numFmtId="167" fontId="0" fillId="15" borderId="0" xfId="7" applyNumberFormat="1" applyFont="1" applyFill="1"/>
    <xf numFmtId="0" fontId="0" fillId="16" borderId="0" xfId="0" applyFill="1"/>
    <xf numFmtId="0" fontId="15" fillId="16" borderId="0" xfId="0" applyFont="1" applyFill="1"/>
    <xf numFmtId="0" fontId="15" fillId="16" borderId="0" xfId="0" applyFont="1" applyFill="1" applyAlignment="1">
      <alignment horizontal="left"/>
    </xf>
    <xf numFmtId="0" fontId="4" fillId="17" borderId="0" xfId="0" applyFont="1" applyFill="1"/>
    <xf numFmtId="0" fontId="0" fillId="17" borderId="0" xfId="0" applyFill="1"/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3" fontId="1" fillId="2" borderId="4" xfId="0" applyNumberFormat="1" applyFont="1" applyFill="1" applyBorder="1" applyAlignment="1" applyProtection="1">
      <alignment horizontal="center"/>
      <protection locked="0"/>
    </xf>
    <xf numFmtId="4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3" fontId="0" fillId="0" borderId="7" xfId="0" applyNumberFormat="1" applyBorder="1" applyProtection="1">
      <protection locked="0"/>
    </xf>
    <xf numFmtId="44" fontId="0" fillId="0" borderId="8" xfId="0" applyNumberFormat="1" applyBorder="1" applyProtection="1">
      <protection locked="0"/>
    </xf>
    <xf numFmtId="44" fontId="0" fillId="18" borderId="9" xfId="0" applyNumberFormat="1" applyFill="1" applyBorder="1"/>
    <xf numFmtId="3" fontId="0" fillId="19" borderId="7" xfId="0" applyNumberFormat="1" applyFill="1" applyBorder="1"/>
    <xf numFmtId="44" fontId="0" fillId="19" borderId="7" xfId="0" applyNumberFormat="1" applyFill="1" applyBorder="1"/>
    <xf numFmtId="44" fontId="0" fillId="19" borderId="9" xfId="0" applyNumberFormat="1" applyFill="1" applyBorder="1"/>
    <xf numFmtId="0" fontId="1" fillId="3" borderId="10" xfId="0" applyFont="1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3" fontId="1" fillId="3" borderId="13" xfId="0" applyNumberFormat="1" applyFont="1" applyFill="1" applyBorder="1"/>
    <xf numFmtId="44" fontId="1" fillId="3" borderId="13" xfId="0" applyNumberFormat="1" applyFont="1" applyFill="1" applyBorder="1"/>
    <xf numFmtId="44" fontId="1" fillId="3" borderId="14" xfId="0" applyNumberFormat="1" applyFont="1" applyFill="1" applyBorder="1"/>
    <xf numFmtId="0" fontId="1" fillId="20" borderId="0" xfId="0" applyFont="1" applyFill="1" applyAlignment="1" applyProtection="1">
      <alignment horizontal="center"/>
      <protection locked="0"/>
    </xf>
    <xf numFmtId="0" fontId="0" fillId="20" borderId="0" xfId="0" applyFill="1" applyAlignment="1" applyProtection="1">
      <alignment horizontal="center"/>
      <protection locked="0"/>
    </xf>
    <xf numFmtId="3" fontId="0" fillId="20" borderId="0" xfId="0" applyNumberFormat="1" applyFill="1" applyProtection="1">
      <protection locked="0"/>
    </xf>
    <xf numFmtId="44" fontId="0" fillId="20" borderId="0" xfId="0" applyNumberFormat="1" applyFill="1" applyProtection="1">
      <protection locked="0"/>
    </xf>
    <xf numFmtId="44" fontId="0" fillId="20" borderId="0" xfId="0" applyNumberFormat="1" applyFill="1"/>
    <xf numFmtId="3" fontId="0" fillId="20" borderId="0" xfId="0" applyNumberFormat="1" applyFill="1"/>
    <xf numFmtId="0" fontId="1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44" fontId="0" fillId="18" borderId="16" xfId="0" applyNumberFormat="1" applyFill="1" applyBorder="1"/>
    <xf numFmtId="3" fontId="0" fillId="19" borderId="17" xfId="0" applyNumberFormat="1" applyFill="1" applyBorder="1"/>
    <xf numFmtId="44" fontId="0" fillId="19" borderId="17" xfId="0" applyNumberFormat="1" applyFill="1" applyBorder="1"/>
    <xf numFmtId="44" fontId="0" fillId="19" borderId="16" xfId="0" applyNumberFormat="1" applyFill="1" applyBorder="1"/>
    <xf numFmtId="3" fontId="1" fillId="20" borderId="0" xfId="0" applyNumberFormat="1" applyFont="1" applyFill="1"/>
    <xf numFmtId="9" fontId="1" fillId="20" borderId="0" xfId="0" applyNumberFormat="1" applyFont="1" applyFill="1"/>
    <xf numFmtId="44" fontId="0" fillId="21" borderId="0" xfId="0" applyNumberFormat="1" applyFill="1"/>
    <xf numFmtId="44" fontId="0" fillId="13" borderId="8" xfId="0" applyNumberFormat="1" applyFill="1" applyBorder="1" applyProtection="1">
      <protection locked="0"/>
    </xf>
    <xf numFmtId="0" fontId="1" fillId="22" borderId="1" xfId="0" applyFont="1" applyFill="1" applyBorder="1" applyAlignment="1" applyProtection="1">
      <alignment horizontal="center"/>
      <protection locked="0"/>
    </xf>
    <xf numFmtId="0" fontId="1" fillId="22" borderId="2" xfId="0" applyFont="1" applyFill="1" applyBorder="1" applyAlignment="1" applyProtection="1">
      <alignment horizontal="center"/>
      <protection locked="0"/>
    </xf>
    <xf numFmtId="3" fontId="1" fillId="22" borderId="2" xfId="0" applyNumberFormat="1" applyFont="1" applyFill="1" applyBorder="1" applyProtection="1">
      <protection locked="0"/>
    </xf>
    <xf numFmtId="44" fontId="1" fillId="22" borderId="2" xfId="0" applyNumberFormat="1" applyFont="1" applyFill="1" applyBorder="1" applyProtection="1">
      <protection locked="0"/>
    </xf>
    <xf numFmtId="44" fontId="1" fillId="22" borderId="3" xfId="0" applyNumberFormat="1" applyFont="1" applyFill="1" applyBorder="1" applyProtection="1">
      <protection locked="0"/>
    </xf>
    <xf numFmtId="37" fontId="1" fillId="3" borderId="13" xfId="0" applyNumberFormat="1" applyFont="1" applyFill="1" applyBorder="1"/>
    <xf numFmtId="44" fontId="1" fillId="14" borderId="14" xfId="0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44" fontId="0" fillId="23" borderId="8" xfId="0" applyNumberFormat="1" applyFill="1" applyBorder="1" applyProtection="1">
      <protection locked="0"/>
    </xf>
    <xf numFmtId="3" fontId="0" fillId="23" borderId="7" xfId="0" applyNumberFormat="1" applyFill="1" applyBorder="1" applyProtection="1">
      <protection locked="0"/>
    </xf>
    <xf numFmtId="44" fontId="0" fillId="23" borderId="9" xfId="0" applyNumberFormat="1" applyFill="1" applyBorder="1"/>
    <xf numFmtId="44" fontId="1" fillId="24" borderId="14" xfId="0" applyNumberFormat="1" applyFont="1" applyFill="1" applyBorder="1"/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3" fontId="0" fillId="20" borderId="0" xfId="0" applyNumberFormat="1" applyFill="1" applyAlignment="1" applyProtection="1">
      <alignment horizontal="center"/>
      <protection locked="0"/>
    </xf>
    <xf numFmtId="44" fontId="0" fillId="20" borderId="0" xfId="0" applyNumberFormat="1" applyFill="1" applyAlignment="1" applyProtection="1">
      <alignment horizontal="center"/>
      <protection locked="0"/>
    </xf>
    <xf numFmtId="3" fontId="1" fillId="25" borderId="2" xfId="0" applyNumberFormat="1" applyFont="1" applyFill="1" applyBorder="1" applyProtection="1">
      <protection locked="0"/>
    </xf>
    <xf numFmtId="44" fontId="1" fillId="25" borderId="2" xfId="0" applyNumberFormat="1" applyFont="1" applyFill="1" applyBorder="1" applyProtection="1">
      <protection locked="0"/>
    </xf>
    <xf numFmtId="0" fontId="19" fillId="0" borderId="0" xfId="0" applyFont="1"/>
    <xf numFmtId="44" fontId="4" fillId="0" borderId="0" xfId="7" applyFont="1"/>
    <xf numFmtId="44" fontId="4" fillId="0" borderId="0" xfId="0" applyNumberFormat="1" applyFont="1"/>
    <xf numFmtId="167" fontId="4" fillId="15" borderId="0" xfId="7" applyNumberFormat="1" applyFont="1" applyFill="1"/>
    <xf numFmtId="49" fontId="0" fillId="0" borderId="0" xfId="0" applyNumberFormat="1"/>
    <xf numFmtId="49" fontId="20" fillId="0" borderId="0" xfId="0" applyNumberFormat="1" applyFont="1"/>
    <xf numFmtId="49" fontId="21" fillId="0" borderId="0" xfId="0" applyNumberFormat="1" applyFont="1" applyAlignment="1">
      <alignment horizontal="right"/>
    </xf>
    <xf numFmtId="49" fontId="22" fillId="0" borderId="0" xfId="0" applyNumberFormat="1" applyFont="1"/>
    <xf numFmtId="168" fontId="21" fillId="0" borderId="0" xfId="0" applyNumberFormat="1" applyFont="1" applyAlignment="1">
      <alignment horizontal="right"/>
    </xf>
    <xf numFmtId="49" fontId="23" fillId="0" borderId="0" xfId="0" applyNumberFormat="1" applyFont="1"/>
    <xf numFmtId="49" fontId="0" fillId="0" borderId="0" xfId="0" applyNumberFormat="1" applyAlignment="1">
      <alignment horizontal="center"/>
    </xf>
    <xf numFmtId="49" fontId="24" fillId="0" borderId="18" xfId="0" applyNumberFormat="1" applyFont="1" applyBorder="1" applyAlignment="1">
      <alignment horizontal="center"/>
    </xf>
    <xf numFmtId="49" fontId="24" fillId="0" borderId="0" xfId="0" applyNumberFormat="1" applyFont="1"/>
    <xf numFmtId="168" fontId="24" fillId="0" borderId="0" xfId="0" applyNumberFormat="1" applyFont="1"/>
    <xf numFmtId="169" fontId="24" fillId="0" borderId="0" xfId="0" applyNumberFormat="1" applyFont="1"/>
    <xf numFmtId="39" fontId="0" fillId="0" borderId="0" xfId="0" applyNumberFormat="1"/>
    <xf numFmtId="49" fontId="25" fillId="0" borderId="0" xfId="0" applyNumberFormat="1" applyFont="1"/>
    <xf numFmtId="168" fontId="25" fillId="0" borderId="0" xfId="0" applyNumberFormat="1" applyFont="1"/>
    <xf numFmtId="49" fontId="25" fillId="0" borderId="0" xfId="0" applyNumberFormat="1" applyFont="1" applyAlignment="1">
      <alignment horizontal="centerContinuous"/>
    </xf>
    <xf numFmtId="169" fontId="25" fillId="0" borderId="0" xfId="0" applyNumberFormat="1" applyFont="1"/>
    <xf numFmtId="169" fontId="25" fillId="0" borderId="19" xfId="0" applyNumberFormat="1" applyFont="1" applyBorder="1"/>
    <xf numFmtId="169" fontId="24" fillId="0" borderId="20" xfId="0" applyNumberFormat="1" applyFont="1" applyBorder="1"/>
    <xf numFmtId="0" fontId="24" fillId="0" borderId="0" xfId="0" applyFont="1"/>
    <xf numFmtId="49" fontId="0" fillId="0" borderId="0" xfId="0" applyNumberFormat="1" applyAlignment="1">
      <alignment horizontal="centerContinuous"/>
    </xf>
    <xf numFmtId="49" fontId="20" fillId="0" borderId="0" xfId="0" applyNumberFormat="1" applyFont="1" applyAlignment="1">
      <alignment horizontal="centerContinuous"/>
    </xf>
    <xf numFmtId="49" fontId="22" fillId="0" borderId="0" xfId="0" applyNumberFormat="1" applyFont="1" applyAlignment="1">
      <alignment horizontal="centerContinuous"/>
    </xf>
    <xf numFmtId="49" fontId="23" fillId="0" borderId="0" xfId="0" applyNumberFormat="1" applyFont="1" applyAlignment="1">
      <alignment horizontal="centerContinuous"/>
    </xf>
    <xf numFmtId="169" fontId="0" fillId="0" borderId="0" xfId="0" applyNumberFormat="1"/>
    <xf numFmtId="49" fontId="1" fillId="26" borderId="0" xfId="0" applyNumberFormat="1" applyFont="1" applyFill="1"/>
    <xf numFmtId="0" fontId="1" fillId="26" borderId="0" xfId="0" applyFont="1" applyFill="1"/>
    <xf numFmtId="49" fontId="24" fillId="26" borderId="0" xfId="0" applyNumberFormat="1" applyFont="1" applyFill="1"/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</cellXfs>
  <cellStyles count="8">
    <cellStyle name="Comma" xfId="1" builtinId="3"/>
    <cellStyle name="Comma 2" xfId="5" xr:uid="{A7D194CA-8083-495A-8D83-6C6101C77012}"/>
    <cellStyle name="Currency" xfId="7" builtinId="4"/>
    <cellStyle name="Normal" xfId="0" builtinId="0"/>
    <cellStyle name="Normal 2" xfId="2" xr:uid="{B9D9605E-8F35-4174-9562-3F11B7E38A96}"/>
    <cellStyle name="Normal 2 2" xfId="3" xr:uid="{F2A02001-F4FD-40AA-B96C-71525D9F0D38}"/>
    <cellStyle name="Normal 3" xfId="4" xr:uid="{C3BBD60A-B5C1-4448-8465-60B4C31053DE}"/>
    <cellStyle name="Percent 2" xfId="6" xr:uid="{963D18FD-E348-42EC-A927-7C77AB0D9D38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</xdr:col>
          <xdr:colOff>762000</xdr:colOff>
          <xdr:row>3</xdr:row>
          <xdr:rowOff>27214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</xdr:col>
          <xdr:colOff>762000</xdr:colOff>
          <xdr:row>3</xdr:row>
          <xdr:rowOff>27214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Land\TX%20-%20Houston%20-%20NE%20Belt\01%20-%20Investors\2012%20Exit\Model\New%20Parcel%20Nomenclatur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</sheetNames>
    <sheetDataSet>
      <sheetData sheetId="0">
        <row r="4">
          <cell r="D4" t="str">
            <v>LD</v>
          </cell>
        </row>
        <row r="5">
          <cell r="D5" t="str">
            <v>RD</v>
          </cell>
        </row>
        <row r="6">
          <cell r="D6" t="str">
            <v>ID</v>
          </cell>
        </row>
        <row r="7">
          <cell r="D7" t="str">
            <v>FD</v>
          </cell>
        </row>
        <row r="10">
          <cell r="D10" t="str">
            <v>Of</v>
          </cell>
        </row>
        <row r="11">
          <cell r="D11" t="str">
            <v>Rt</v>
          </cell>
        </row>
        <row r="12">
          <cell r="D12" t="str">
            <v>MU</v>
          </cell>
        </row>
        <row r="13">
          <cell r="D13" t="str">
            <v>In</v>
          </cell>
        </row>
        <row r="14">
          <cell r="D14" t="str">
            <v>Mf</v>
          </cell>
        </row>
        <row r="15">
          <cell r="D15" t="str">
            <v>Fl</v>
          </cell>
        </row>
        <row r="16">
          <cell r="D16" t="str">
            <v>Ho</v>
          </cell>
        </row>
        <row r="17">
          <cell r="D17" t="str">
            <v>Me</v>
          </cell>
        </row>
        <row r="18">
          <cell r="D18" t="str">
            <v>LC</v>
          </cell>
        </row>
        <row r="19">
          <cell r="D19" t="str">
            <v>PO</v>
          </cell>
        </row>
        <row r="20">
          <cell r="D20" t="str">
            <v>Dr</v>
          </cell>
        </row>
        <row r="21">
          <cell r="D21" t="str">
            <v>Ut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3F59-B873-43C3-8244-CD976B441118}">
  <dimension ref="A1:AP108"/>
  <sheetViews>
    <sheetView tabSelected="1" workbookViewId="0">
      <pane xSplit="1" ySplit="6" topLeftCell="B82" activePane="bottomRight" state="frozen"/>
      <selection pane="topRight" activeCell="B1" sqref="B1"/>
      <selection pane="bottomLeft" activeCell="A7" sqref="A7"/>
      <selection pane="bottomRight" activeCell="AD108" sqref="AD108:AM108"/>
    </sheetView>
  </sheetViews>
  <sheetFormatPr defaultRowHeight="14.6" x14ac:dyDescent="0.4"/>
  <cols>
    <col min="1" max="1" width="9.3828125" bestFit="1" customWidth="1"/>
    <col min="2" max="2" width="9.3828125" customWidth="1"/>
    <col min="3" max="3" width="9.53515625" bestFit="1" customWidth="1"/>
    <col min="4" max="4" width="9.84375" bestFit="1" customWidth="1"/>
    <col min="5" max="5" width="11.15234375" customWidth="1"/>
    <col min="8" max="8" width="11.921875" customWidth="1"/>
    <col min="11" max="11" width="11.69140625" customWidth="1"/>
    <col min="14" max="14" width="12.15234375" customWidth="1"/>
    <col min="17" max="17" width="12.07421875" customWidth="1"/>
    <col min="20" max="20" width="12.3046875" customWidth="1"/>
    <col min="23" max="23" width="11.61328125" customWidth="1"/>
    <col min="26" max="26" width="12.61328125" customWidth="1"/>
    <col min="29" max="29" width="11.15234375" customWidth="1"/>
    <col min="32" max="32" width="12.4609375" customWidth="1"/>
    <col min="35" max="35" width="11.921875" customWidth="1"/>
    <col min="38" max="38" width="12.23046875" customWidth="1"/>
    <col min="41" max="41" width="13.23046875" customWidth="1"/>
  </cols>
  <sheetData>
    <row r="1" spans="1:42" ht="15.9" x14ac:dyDescent="0.45">
      <c r="A1" s="44" t="s">
        <v>81</v>
      </c>
      <c r="B1" s="44"/>
      <c r="C1" s="44"/>
    </row>
    <row r="3" spans="1:42" ht="15" thickBot="1" x14ac:dyDescent="0.45"/>
    <row r="4" spans="1:42" ht="15" thickBot="1" x14ac:dyDescent="0.45">
      <c r="A4" s="94" t="s">
        <v>86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3"/>
    </row>
    <row r="5" spans="1:42" ht="15" thickBot="1" x14ac:dyDescent="0.45">
      <c r="A5" s="139"/>
      <c r="B5" s="138"/>
      <c r="C5" s="49"/>
      <c r="D5" s="136" t="s">
        <v>46</v>
      </c>
      <c r="E5" s="137"/>
      <c r="F5" s="138"/>
      <c r="G5" s="136" t="s">
        <v>47</v>
      </c>
      <c r="H5" s="137"/>
      <c r="I5" s="138"/>
      <c r="J5" s="136" t="s">
        <v>48</v>
      </c>
      <c r="K5" s="137"/>
      <c r="L5" s="138"/>
      <c r="M5" s="136" t="s">
        <v>49</v>
      </c>
      <c r="N5" s="137"/>
      <c r="O5" s="138"/>
      <c r="P5" s="136" t="s">
        <v>4</v>
      </c>
      <c r="Q5" s="137"/>
      <c r="R5" s="138"/>
      <c r="S5" s="136" t="s">
        <v>50</v>
      </c>
      <c r="T5" s="137"/>
      <c r="U5" s="138"/>
      <c r="V5" s="136" t="s">
        <v>51</v>
      </c>
      <c r="W5" s="137"/>
      <c r="X5" s="138"/>
      <c r="Y5" s="136" t="s">
        <v>52</v>
      </c>
      <c r="Z5" s="137"/>
      <c r="AA5" s="138"/>
      <c r="AB5" s="136" t="s">
        <v>53</v>
      </c>
      <c r="AC5" s="137"/>
      <c r="AD5" s="138"/>
      <c r="AE5" s="136" t="s">
        <v>54</v>
      </c>
      <c r="AF5" s="137"/>
      <c r="AG5" s="138"/>
      <c r="AH5" s="136" t="s">
        <v>55</v>
      </c>
      <c r="AI5" s="137"/>
      <c r="AJ5" s="138"/>
      <c r="AK5" s="136" t="s">
        <v>56</v>
      </c>
      <c r="AL5" s="137"/>
      <c r="AM5" s="138"/>
      <c r="AN5" s="136" t="s">
        <v>57</v>
      </c>
      <c r="AO5" s="137"/>
      <c r="AP5" s="138"/>
    </row>
    <row r="6" spans="1:42" ht="15" thickBot="1" x14ac:dyDescent="0.45">
      <c r="A6" s="50" t="s">
        <v>58</v>
      </c>
      <c r="B6" s="48" t="s">
        <v>59</v>
      </c>
      <c r="C6" s="48"/>
      <c r="D6" s="51" t="s">
        <v>31</v>
      </c>
      <c r="E6" s="52" t="s">
        <v>60</v>
      </c>
      <c r="F6" s="52" t="s">
        <v>61</v>
      </c>
      <c r="G6" s="51" t="s">
        <v>31</v>
      </c>
      <c r="H6" s="52" t="s">
        <v>60</v>
      </c>
      <c r="I6" s="52" t="s">
        <v>61</v>
      </c>
      <c r="J6" s="51" t="s">
        <v>31</v>
      </c>
      <c r="K6" s="52" t="s">
        <v>60</v>
      </c>
      <c r="L6" s="52" t="s">
        <v>61</v>
      </c>
      <c r="M6" s="51" t="s">
        <v>31</v>
      </c>
      <c r="N6" s="52" t="s">
        <v>60</v>
      </c>
      <c r="O6" s="52" t="s">
        <v>61</v>
      </c>
      <c r="P6" s="51" t="s">
        <v>31</v>
      </c>
      <c r="Q6" s="52" t="s">
        <v>60</v>
      </c>
      <c r="R6" s="52" t="s">
        <v>61</v>
      </c>
      <c r="S6" s="51" t="s">
        <v>31</v>
      </c>
      <c r="T6" s="52" t="s">
        <v>60</v>
      </c>
      <c r="U6" s="52" t="s">
        <v>61</v>
      </c>
      <c r="V6" s="51" t="s">
        <v>31</v>
      </c>
      <c r="W6" s="52" t="s">
        <v>60</v>
      </c>
      <c r="X6" s="52" t="s">
        <v>61</v>
      </c>
      <c r="Y6" s="51" t="s">
        <v>31</v>
      </c>
      <c r="Z6" s="52" t="s">
        <v>60</v>
      </c>
      <c r="AA6" s="52" t="s">
        <v>61</v>
      </c>
      <c r="AB6" s="51" t="s">
        <v>31</v>
      </c>
      <c r="AC6" s="52" t="s">
        <v>60</v>
      </c>
      <c r="AD6" s="52" t="s">
        <v>61</v>
      </c>
      <c r="AE6" s="51" t="s">
        <v>31</v>
      </c>
      <c r="AF6" s="52" t="s">
        <v>60</v>
      </c>
      <c r="AG6" s="52" t="s">
        <v>61</v>
      </c>
      <c r="AH6" s="51" t="s">
        <v>31</v>
      </c>
      <c r="AI6" s="52" t="s">
        <v>60</v>
      </c>
      <c r="AJ6" s="52" t="s">
        <v>61</v>
      </c>
      <c r="AK6" s="51" t="s">
        <v>31</v>
      </c>
      <c r="AL6" s="52" t="s">
        <v>60</v>
      </c>
      <c r="AM6" s="52" t="s">
        <v>61</v>
      </c>
      <c r="AN6" s="51" t="s">
        <v>31</v>
      </c>
      <c r="AO6" s="52" t="s">
        <v>60</v>
      </c>
      <c r="AP6" s="52" t="s">
        <v>61</v>
      </c>
    </row>
    <row r="7" spans="1:42" x14ac:dyDescent="0.4">
      <c r="A7" s="53" t="s">
        <v>62</v>
      </c>
      <c r="B7" s="54" t="s">
        <v>63</v>
      </c>
      <c r="C7" s="55"/>
      <c r="D7" s="56">
        <v>1183.05</v>
      </c>
      <c r="E7" s="57">
        <v>4472.32</v>
      </c>
      <c r="F7" s="58">
        <f>E7/D7</f>
        <v>3.7803305016694138</v>
      </c>
      <c r="G7" s="56">
        <v>1368.68</v>
      </c>
      <c r="H7" s="57">
        <v>4577.2700000000004</v>
      </c>
      <c r="I7" s="58">
        <f>H7/G7</f>
        <v>3.3442952333635327</v>
      </c>
      <c r="J7" s="56">
        <v>1544.87</v>
      </c>
      <c r="K7" s="57">
        <v>4921.87</v>
      </c>
      <c r="L7" s="58">
        <f>K7/J7</f>
        <v>3.1859444484001891</v>
      </c>
      <c r="M7" s="56">
        <v>802.38</v>
      </c>
      <c r="N7" s="57">
        <v>2385.84</v>
      </c>
      <c r="O7" s="58">
        <f>N7/M7</f>
        <v>2.9734539744260826</v>
      </c>
      <c r="P7" s="56">
        <v>361.01</v>
      </c>
      <c r="Q7" s="57">
        <v>1106.44</v>
      </c>
      <c r="R7" s="58">
        <f>Q7/P7</f>
        <v>3.0648458491454531</v>
      </c>
      <c r="S7" s="56">
        <v>172.03</v>
      </c>
      <c r="T7" s="57">
        <v>570.83000000000004</v>
      </c>
      <c r="U7" s="58">
        <f>T7/S7</f>
        <v>3.3182003138987386</v>
      </c>
      <c r="V7" s="56">
        <v>118.6</v>
      </c>
      <c r="W7" s="57">
        <v>390.24</v>
      </c>
      <c r="X7" s="58">
        <f>W7/V7</f>
        <v>3.2903878583473865</v>
      </c>
      <c r="Y7" s="56">
        <v>146.05000000000001</v>
      </c>
      <c r="Z7" s="57">
        <v>461.84</v>
      </c>
      <c r="AA7" s="58">
        <f>Z7/Y7</f>
        <v>3.1622047244094484</v>
      </c>
      <c r="AB7" s="56">
        <v>170.22</v>
      </c>
      <c r="AC7" s="57">
        <v>517.95000000000005</v>
      </c>
      <c r="AD7" s="58">
        <f>AC7/AB7</f>
        <v>3.0428269298554813</v>
      </c>
      <c r="AE7" s="56">
        <v>819.07</v>
      </c>
      <c r="AF7" s="57">
        <v>2324.31</v>
      </c>
      <c r="AG7" s="58">
        <f>AF7/AE7</f>
        <v>2.8377428058651883</v>
      </c>
      <c r="AH7" s="56">
        <v>1467.29</v>
      </c>
      <c r="AI7" s="57">
        <v>4379.97</v>
      </c>
      <c r="AJ7" s="58">
        <f>AI7/AH7</f>
        <v>2.9850745251449955</v>
      </c>
      <c r="AK7" s="56">
        <v>2199.2800000000002</v>
      </c>
      <c r="AL7" s="57">
        <v>6443.21</v>
      </c>
      <c r="AM7" s="58">
        <f>AL7/AK7</f>
        <v>2.9296906260230617</v>
      </c>
      <c r="AN7" s="59">
        <f>AK7+AH7+AE7+AB7+Y7+V7+S7+P7+M7+J7+G7+D7</f>
        <v>10352.530000000001</v>
      </c>
      <c r="AO7" s="60">
        <f>AL7+AI7+AF7+AC7+Z7+W7+T7+Q7+N7+K7+H7+E7</f>
        <v>32552.09</v>
      </c>
      <c r="AP7" s="61">
        <f>AO7/AN7</f>
        <v>3.1443608470586417</v>
      </c>
    </row>
    <row r="8" spans="1:42" ht="15" thickBot="1" x14ac:dyDescent="0.45">
      <c r="A8" s="62" t="s">
        <v>64</v>
      </c>
      <c r="B8" s="63"/>
      <c r="C8" s="64"/>
      <c r="D8" s="65">
        <f>D7</f>
        <v>1183.05</v>
      </c>
      <c r="E8" s="66">
        <f>E7</f>
        <v>4472.32</v>
      </c>
      <c r="F8" s="67">
        <f>E8/D8</f>
        <v>3.7803305016694138</v>
      </c>
      <c r="G8" s="65">
        <f>G7</f>
        <v>1368.68</v>
      </c>
      <c r="H8" s="66">
        <f>H7</f>
        <v>4577.2700000000004</v>
      </c>
      <c r="I8" s="67">
        <f>H8/G8</f>
        <v>3.3442952333635327</v>
      </c>
      <c r="J8" s="65">
        <f>J7</f>
        <v>1544.87</v>
      </c>
      <c r="K8" s="66">
        <f>K7</f>
        <v>4921.87</v>
      </c>
      <c r="L8" s="67">
        <f>K8/J8</f>
        <v>3.1859444484001891</v>
      </c>
      <c r="M8" s="65">
        <f>M7</f>
        <v>802.38</v>
      </c>
      <c r="N8" s="66">
        <f>N7</f>
        <v>2385.84</v>
      </c>
      <c r="O8" s="67">
        <f>N8/M8</f>
        <v>2.9734539744260826</v>
      </c>
      <c r="P8" s="65">
        <f>P7</f>
        <v>361.01</v>
      </c>
      <c r="Q8" s="66">
        <f>Q7</f>
        <v>1106.44</v>
      </c>
      <c r="R8" s="67">
        <f>Q8/P8</f>
        <v>3.0648458491454531</v>
      </c>
      <c r="S8" s="65">
        <f>S7</f>
        <v>172.03</v>
      </c>
      <c r="T8" s="66">
        <f>T7</f>
        <v>570.83000000000004</v>
      </c>
      <c r="U8" s="67">
        <f>T8/S8</f>
        <v>3.3182003138987386</v>
      </c>
      <c r="V8" s="65">
        <f>V7</f>
        <v>118.6</v>
      </c>
      <c r="W8" s="66">
        <f>W7</f>
        <v>390.24</v>
      </c>
      <c r="X8" s="67">
        <f>W8/V8</f>
        <v>3.2903878583473865</v>
      </c>
      <c r="Y8" s="65">
        <f>Y7</f>
        <v>146.05000000000001</v>
      </c>
      <c r="Z8" s="66">
        <f>Z7</f>
        <v>461.84</v>
      </c>
      <c r="AA8" s="67">
        <f>Z8/Y8</f>
        <v>3.1622047244094484</v>
      </c>
      <c r="AB8" s="65">
        <f>AB7</f>
        <v>170.22</v>
      </c>
      <c r="AC8" s="66">
        <f>AC7</f>
        <v>517.95000000000005</v>
      </c>
      <c r="AD8" s="67">
        <f>AC8/AB8</f>
        <v>3.0428269298554813</v>
      </c>
      <c r="AE8" s="65">
        <f>AE7</f>
        <v>819.07</v>
      </c>
      <c r="AF8" s="66">
        <f>AF7</f>
        <v>2324.31</v>
      </c>
      <c r="AG8" s="67">
        <f>AF8/AE8</f>
        <v>2.8377428058651883</v>
      </c>
      <c r="AH8" s="65">
        <f>AH7</f>
        <v>1467.29</v>
      </c>
      <c r="AI8" s="66">
        <f>AI7</f>
        <v>4379.97</v>
      </c>
      <c r="AJ8" s="67">
        <f>AI8/AH8</f>
        <v>2.9850745251449955</v>
      </c>
      <c r="AK8" s="65">
        <f>AK7</f>
        <v>2199.2800000000002</v>
      </c>
      <c r="AL8" s="66">
        <f>AL7</f>
        <v>6443.21</v>
      </c>
      <c r="AM8" s="67">
        <f>AL8/AK8</f>
        <v>2.9296906260230617</v>
      </c>
      <c r="AN8" s="65">
        <f>AN7</f>
        <v>10352.530000000001</v>
      </c>
      <c r="AO8" s="66">
        <f>AO7</f>
        <v>32552.09</v>
      </c>
      <c r="AP8" s="67">
        <f t="shared" ref="AP8" si="0">AO8/AN8</f>
        <v>3.1443608470586417</v>
      </c>
    </row>
    <row r="9" spans="1:42" ht="15" thickBot="1" x14ac:dyDescent="0.45">
      <c r="A9" s="68"/>
      <c r="B9" s="69"/>
      <c r="C9" s="69"/>
      <c r="D9" s="70"/>
      <c r="E9" s="71"/>
      <c r="F9" s="72"/>
      <c r="G9" s="70"/>
      <c r="H9" s="71"/>
      <c r="I9" s="72"/>
      <c r="J9" s="70"/>
      <c r="K9" s="71"/>
      <c r="L9" s="72"/>
      <c r="M9" s="70"/>
      <c r="N9" s="71"/>
      <c r="O9" s="72"/>
      <c r="P9" s="70"/>
      <c r="Q9" s="71"/>
      <c r="R9" s="72"/>
      <c r="S9" s="70"/>
      <c r="T9" s="71"/>
      <c r="U9" s="72"/>
      <c r="V9" s="70"/>
      <c r="W9" s="71"/>
      <c r="X9" s="72"/>
      <c r="Y9" s="70"/>
      <c r="Z9" s="71"/>
      <c r="AA9" s="72"/>
      <c r="AB9" s="70"/>
      <c r="AC9" s="71"/>
      <c r="AD9" s="72"/>
      <c r="AE9" s="70"/>
      <c r="AF9" s="71"/>
      <c r="AG9" s="72"/>
      <c r="AH9" s="70"/>
      <c r="AI9" s="71"/>
      <c r="AJ9" s="72"/>
      <c r="AK9" s="70"/>
      <c r="AL9" s="71"/>
      <c r="AM9" s="72"/>
      <c r="AN9" s="73"/>
      <c r="AO9" s="72"/>
      <c r="AP9" s="72"/>
    </row>
    <row r="10" spans="1:42" x14ac:dyDescent="0.4">
      <c r="A10" s="53" t="s">
        <v>65</v>
      </c>
      <c r="B10" s="54" t="s">
        <v>66</v>
      </c>
      <c r="C10" s="55"/>
      <c r="D10" s="56">
        <v>1578.05</v>
      </c>
      <c r="E10" s="57">
        <v>6485.77</v>
      </c>
      <c r="F10" s="58">
        <f>E10/D10</f>
        <v>4.1099901777510226</v>
      </c>
      <c r="G10" s="56">
        <v>1462.92</v>
      </c>
      <c r="H10" s="57">
        <v>6012.59</v>
      </c>
      <c r="I10" s="58">
        <f>H10/G10</f>
        <v>4.1099923440789654</v>
      </c>
      <c r="J10" s="56">
        <v>1225.67</v>
      </c>
      <c r="K10" s="57">
        <v>5037.5</v>
      </c>
      <c r="L10" s="58">
        <f>K10/J10</f>
        <v>4.1099969812429116</v>
      </c>
      <c r="M10" s="56">
        <v>660.49</v>
      </c>
      <c r="N10" s="57">
        <v>2703.82</v>
      </c>
      <c r="O10" s="58">
        <f>N10/M10</f>
        <v>4.0936577389513849</v>
      </c>
      <c r="P10" s="56">
        <v>358.05</v>
      </c>
      <c r="Q10" s="57">
        <v>1466.32</v>
      </c>
      <c r="R10" s="58">
        <f>Q10/P10</f>
        <v>4.0952939533584694</v>
      </c>
      <c r="S10" s="56">
        <v>240.68</v>
      </c>
      <c r="T10" s="57">
        <v>986.89</v>
      </c>
      <c r="U10" s="58">
        <f>T10/S10</f>
        <v>4.1004237992354993</v>
      </c>
      <c r="V10" s="56">
        <v>227.23</v>
      </c>
      <c r="W10" s="57">
        <v>932.24</v>
      </c>
      <c r="X10" s="58">
        <f>W10/V10</f>
        <v>4.1026272939312589</v>
      </c>
      <c r="Y10" s="56">
        <v>114.49</v>
      </c>
      <c r="Z10" s="57">
        <v>468.29</v>
      </c>
      <c r="AA10" s="58">
        <f>Z10/Y10</f>
        <v>4.0902262206306235</v>
      </c>
      <c r="AB10" s="56">
        <v>145.30000000000001</v>
      </c>
      <c r="AC10" s="57">
        <v>595.22</v>
      </c>
      <c r="AD10" s="58">
        <f>AC10/AB10</f>
        <v>4.0964900206469377</v>
      </c>
      <c r="AE10" s="56">
        <v>436.52</v>
      </c>
      <c r="AF10" s="57">
        <v>1780.3</v>
      </c>
      <c r="AG10" s="58">
        <f>AF10/AE10</f>
        <v>4.0783927426005686</v>
      </c>
      <c r="AH10" s="56">
        <v>1103.97</v>
      </c>
      <c r="AI10" s="57">
        <v>4513.57</v>
      </c>
      <c r="AJ10" s="58">
        <f>AI10/AH10</f>
        <v>4.0884897234526294</v>
      </c>
      <c r="AK10" s="56">
        <v>1708.05</v>
      </c>
      <c r="AL10" s="57">
        <v>7023.83</v>
      </c>
      <c r="AM10" s="58">
        <f>AL10/AK10</f>
        <v>4.1121922660343664</v>
      </c>
      <c r="AN10" s="59">
        <f>AK10+AH10+AE10+AB10+Y10+V10+S10+P10+M10+J10+G10+D10</f>
        <v>9261.42</v>
      </c>
      <c r="AO10" s="60">
        <f>AL10+AI10+AF10+AC10+Z10+W10+T10+Q10+N10+K10+H10+E10</f>
        <v>38006.339999999997</v>
      </c>
      <c r="AP10" s="61">
        <f>AO10/AN10</f>
        <v>4.103727074249953</v>
      </c>
    </row>
    <row r="11" spans="1:42" ht="15" thickBot="1" x14ac:dyDescent="0.45">
      <c r="A11" s="62" t="s">
        <v>64</v>
      </c>
      <c r="B11" s="63"/>
      <c r="C11" s="64"/>
      <c r="D11" s="65">
        <f>D10</f>
        <v>1578.05</v>
      </c>
      <c r="E11" s="66">
        <f>E10</f>
        <v>6485.77</v>
      </c>
      <c r="F11" s="67">
        <f>E11/D11</f>
        <v>4.1099901777510226</v>
      </c>
      <c r="G11" s="65">
        <f>G10</f>
        <v>1462.92</v>
      </c>
      <c r="H11" s="66">
        <f>H10</f>
        <v>6012.59</v>
      </c>
      <c r="I11" s="67">
        <f>H11/G11</f>
        <v>4.1099923440789654</v>
      </c>
      <c r="J11" s="65">
        <f>J10</f>
        <v>1225.67</v>
      </c>
      <c r="K11" s="66">
        <f>K10</f>
        <v>5037.5</v>
      </c>
      <c r="L11" s="67">
        <f>K11/J11</f>
        <v>4.1099969812429116</v>
      </c>
      <c r="M11" s="65">
        <f>M10</f>
        <v>660.49</v>
      </c>
      <c r="N11" s="66">
        <f>N10</f>
        <v>2703.82</v>
      </c>
      <c r="O11" s="67">
        <f>N11/M11</f>
        <v>4.0936577389513849</v>
      </c>
      <c r="P11" s="65">
        <f>P10</f>
        <v>358.05</v>
      </c>
      <c r="Q11" s="66">
        <f>Q10</f>
        <v>1466.32</v>
      </c>
      <c r="R11" s="67">
        <f>Q11/P11</f>
        <v>4.0952939533584694</v>
      </c>
      <c r="S11" s="65">
        <f>S10</f>
        <v>240.68</v>
      </c>
      <c r="T11" s="66">
        <f>T10</f>
        <v>986.89</v>
      </c>
      <c r="U11" s="67">
        <f>T11/S11</f>
        <v>4.1004237992354993</v>
      </c>
      <c r="V11" s="65">
        <f>V10</f>
        <v>227.23</v>
      </c>
      <c r="W11" s="66">
        <f>W10</f>
        <v>932.24</v>
      </c>
      <c r="X11" s="67">
        <f>W11/V11</f>
        <v>4.1026272939312589</v>
      </c>
      <c r="Y11" s="65">
        <f>Y10</f>
        <v>114.49</v>
      </c>
      <c r="Z11" s="66">
        <f>Z10</f>
        <v>468.29</v>
      </c>
      <c r="AA11" s="67">
        <f>Z11/Y11</f>
        <v>4.0902262206306235</v>
      </c>
      <c r="AB11" s="65">
        <f>AB10</f>
        <v>145.30000000000001</v>
      </c>
      <c r="AC11" s="66">
        <f>AC10</f>
        <v>595.22</v>
      </c>
      <c r="AD11" s="67">
        <f>AC11/AB11</f>
        <v>4.0964900206469377</v>
      </c>
      <c r="AE11" s="65">
        <f>AE10</f>
        <v>436.52</v>
      </c>
      <c r="AF11" s="66">
        <f>AF10</f>
        <v>1780.3</v>
      </c>
      <c r="AG11" s="67">
        <f>AF11/AE11</f>
        <v>4.0783927426005686</v>
      </c>
      <c r="AH11" s="65">
        <f>AH10</f>
        <v>1103.97</v>
      </c>
      <c r="AI11" s="66">
        <f>AI10</f>
        <v>4513.57</v>
      </c>
      <c r="AJ11" s="67">
        <f>AI11/AH11</f>
        <v>4.0884897234526294</v>
      </c>
      <c r="AK11" s="65">
        <f>AK10</f>
        <v>1708.05</v>
      </c>
      <c r="AL11" s="66">
        <f>AL10</f>
        <v>7023.83</v>
      </c>
      <c r="AM11" s="67">
        <f>AL11/AK11</f>
        <v>4.1121922660343664</v>
      </c>
      <c r="AN11" s="65">
        <f>AN10</f>
        <v>9261.42</v>
      </c>
      <c r="AO11" s="66">
        <f>AO10</f>
        <v>38006.339999999997</v>
      </c>
      <c r="AP11" s="67">
        <f t="shared" ref="AP11" si="1">AO11/AN11</f>
        <v>4.103727074249953</v>
      </c>
    </row>
    <row r="12" spans="1:42" ht="15" thickBot="1" x14ac:dyDescent="0.45">
      <c r="A12" s="68"/>
      <c r="B12" s="69"/>
      <c r="C12" s="69"/>
      <c r="D12" s="70"/>
      <c r="E12" s="71"/>
      <c r="F12" s="72"/>
      <c r="G12" s="70"/>
      <c r="H12" s="71"/>
      <c r="I12" s="72"/>
      <c r="J12" s="70"/>
      <c r="K12" s="71"/>
      <c r="L12" s="72"/>
      <c r="M12" s="70"/>
      <c r="N12" s="71"/>
      <c r="O12" s="72"/>
      <c r="P12" s="70"/>
      <c r="Q12" s="71"/>
      <c r="R12" s="72"/>
      <c r="S12" s="70"/>
      <c r="T12" s="71"/>
      <c r="U12" s="72"/>
      <c r="V12" s="70"/>
      <c r="W12" s="71"/>
      <c r="X12" s="72"/>
      <c r="Y12" s="70"/>
      <c r="Z12" s="71"/>
      <c r="AA12" s="72"/>
      <c r="AB12" s="70"/>
      <c r="AC12" s="71"/>
      <c r="AD12" s="72"/>
      <c r="AE12" s="70"/>
      <c r="AF12" s="71"/>
      <c r="AG12" s="72"/>
      <c r="AH12" s="70"/>
      <c r="AI12" s="71"/>
      <c r="AJ12" s="72"/>
      <c r="AK12" s="70"/>
      <c r="AL12" s="71"/>
      <c r="AM12" s="72"/>
      <c r="AN12" s="73"/>
      <c r="AO12" s="72"/>
      <c r="AP12" s="72"/>
    </row>
    <row r="13" spans="1:42" ht="15" thickBot="1" x14ac:dyDescent="0.45">
      <c r="A13" s="74" t="s">
        <v>67</v>
      </c>
      <c r="B13" s="75" t="s">
        <v>67</v>
      </c>
      <c r="C13" s="76"/>
      <c r="D13" s="56">
        <v>839.58</v>
      </c>
      <c r="E13" s="57">
        <v>3943.64</v>
      </c>
      <c r="F13" s="77">
        <f>E13/D13</f>
        <v>4.6971581028609535</v>
      </c>
      <c r="G13" s="56">
        <v>774.6</v>
      </c>
      <c r="H13" s="57">
        <v>3631.82</v>
      </c>
      <c r="I13" s="77">
        <f>H13/G13</f>
        <v>4.6886392977020401</v>
      </c>
      <c r="J13" s="56">
        <v>696.58</v>
      </c>
      <c r="K13" s="57">
        <v>3274.42</v>
      </c>
      <c r="L13" s="77">
        <f>K13/J13</f>
        <v>4.7007091791323319</v>
      </c>
      <c r="M13" s="56">
        <v>509</v>
      </c>
      <c r="N13" s="57">
        <v>2398.4</v>
      </c>
      <c r="O13" s="77">
        <f>N13/M13</f>
        <v>4.7119842829076619</v>
      </c>
      <c r="P13" s="56">
        <v>571.09</v>
      </c>
      <c r="Q13" s="57">
        <v>2698.4</v>
      </c>
      <c r="R13" s="77">
        <f>Q13/P13</f>
        <v>4.7249995622406278</v>
      </c>
      <c r="S13" s="56">
        <v>568.91</v>
      </c>
      <c r="T13" s="57">
        <v>2691.09</v>
      </c>
      <c r="U13" s="77">
        <f>T13/S13</f>
        <v>4.7302561037773998</v>
      </c>
      <c r="V13" s="56">
        <v>199.1</v>
      </c>
      <c r="W13" s="57">
        <v>939.84</v>
      </c>
      <c r="X13" s="77">
        <f>W13/V13</f>
        <v>4.7204419889502764</v>
      </c>
      <c r="Y13" s="56">
        <v>284.63</v>
      </c>
      <c r="Z13" s="57">
        <v>1343.97</v>
      </c>
      <c r="AA13" s="77">
        <f>Z13/Y13</f>
        <v>4.721814285212381</v>
      </c>
      <c r="AB13" s="56">
        <v>382.86</v>
      </c>
      <c r="AC13" s="57">
        <v>1809.56</v>
      </c>
      <c r="AD13" s="77">
        <f>AC13/AB13</f>
        <v>4.726427414720785</v>
      </c>
      <c r="AE13" s="56">
        <v>467.3</v>
      </c>
      <c r="AF13" s="57">
        <v>2203.83</v>
      </c>
      <c r="AG13" s="77">
        <f>AF13/AE13</f>
        <v>4.7160924459661882</v>
      </c>
      <c r="AH13" s="56">
        <v>583.97</v>
      </c>
      <c r="AI13" s="57">
        <v>2740.24</v>
      </c>
      <c r="AJ13" s="77">
        <f>AI13/AH13</f>
        <v>4.6924328304536189</v>
      </c>
      <c r="AK13" s="56">
        <v>843.04</v>
      </c>
      <c r="AL13" s="57">
        <v>3959.33</v>
      </c>
      <c r="AM13" s="77">
        <f>AL13/AK13</f>
        <v>4.6964912696906431</v>
      </c>
      <c r="AN13" s="78">
        <f>AK13+AH13+AE13+AB13+Y13+V13+S13+P13+M13+J13+G13+D13</f>
        <v>6720.66</v>
      </c>
      <c r="AO13" s="79">
        <f>AL13+AI13+AF13+AC13+Z13+W13+T13+Q13+N13+K13+H13+E13</f>
        <v>31634.54</v>
      </c>
      <c r="AP13" s="80">
        <f>AO13/AN13</f>
        <v>4.707058532941705</v>
      </c>
    </row>
    <row r="14" spans="1:42" ht="15" thickBot="1" x14ac:dyDescent="0.45">
      <c r="A14" s="62" t="s">
        <v>64</v>
      </c>
      <c r="B14" s="63"/>
      <c r="C14" s="64"/>
      <c r="D14" s="65">
        <f>D13</f>
        <v>839.58</v>
      </c>
      <c r="E14" s="66">
        <f>E13</f>
        <v>3943.64</v>
      </c>
      <c r="F14" s="67">
        <f>E14/D14</f>
        <v>4.6971581028609535</v>
      </c>
      <c r="G14" s="65">
        <f>G13</f>
        <v>774.6</v>
      </c>
      <c r="H14" s="66">
        <f>H13</f>
        <v>3631.82</v>
      </c>
      <c r="I14" s="67">
        <f>H14/G14</f>
        <v>4.6886392977020401</v>
      </c>
      <c r="J14" s="65">
        <f>J13</f>
        <v>696.58</v>
      </c>
      <c r="K14" s="66">
        <f>K13</f>
        <v>3274.42</v>
      </c>
      <c r="L14" s="67">
        <f>K14/J14</f>
        <v>4.7007091791323319</v>
      </c>
      <c r="M14" s="65">
        <f>M13</f>
        <v>509</v>
      </c>
      <c r="N14" s="66">
        <f>N13</f>
        <v>2398.4</v>
      </c>
      <c r="O14" s="67">
        <f>N14/M14</f>
        <v>4.7119842829076619</v>
      </c>
      <c r="P14" s="65">
        <f>P13</f>
        <v>571.09</v>
      </c>
      <c r="Q14" s="66">
        <f>Q13</f>
        <v>2698.4</v>
      </c>
      <c r="R14" s="67">
        <f>Q14/P14</f>
        <v>4.7249995622406278</v>
      </c>
      <c r="S14" s="65">
        <f>S13</f>
        <v>568.91</v>
      </c>
      <c r="T14" s="66">
        <f>T13</f>
        <v>2691.09</v>
      </c>
      <c r="U14" s="67">
        <f>T14/S14</f>
        <v>4.7302561037773998</v>
      </c>
      <c r="V14" s="65">
        <f>V13</f>
        <v>199.1</v>
      </c>
      <c r="W14" s="66">
        <f>W13</f>
        <v>939.84</v>
      </c>
      <c r="X14" s="67">
        <f>W14/V14</f>
        <v>4.7204419889502764</v>
      </c>
      <c r="Y14" s="65">
        <f>Y13</f>
        <v>284.63</v>
      </c>
      <c r="Z14" s="66">
        <f>Z13</f>
        <v>1343.97</v>
      </c>
      <c r="AA14" s="67">
        <f>Z14/Y14</f>
        <v>4.721814285212381</v>
      </c>
      <c r="AB14" s="65">
        <f>AB13</f>
        <v>382.86</v>
      </c>
      <c r="AC14" s="66">
        <f>AC13</f>
        <v>1809.56</v>
      </c>
      <c r="AD14" s="67">
        <f>AC14/AB14</f>
        <v>4.726427414720785</v>
      </c>
      <c r="AE14" s="65">
        <f>AE13</f>
        <v>467.3</v>
      </c>
      <c r="AF14" s="66">
        <f>AF13</f>
        <v>2203.83</v>
      </c>
      <c r="AG14" s="67">
        <f>AF14/AE14</f>
        <v>4.7160924459661882</v>
      </c>
      <c r="AH14" s="65">
        <f>AH13</f>
        <v>583.97</v>
      </c>
      <c r="AI14" s="66">
        <f>AI13</f>
        <v>2740.24</v>
      </c>
      <c r="AJ14" s="67">
        <f>AI14/AH14</f>
        <v>4.6924328304536189</v>
      </c>
      <c r="AK14" s="65">
        <f>AK13</f>
        <v>843.04</v>
      </c>
      <c r="AL14" s="66">
        <f>AL13</f>
        <v>3959.33</v>
      </c>
      <c r="AM14" s="67">
        <f>AL14/AK14</f>
        <v>4.6964912696906431</v>
      </c>
      <c r="AN14" s="65">
        <f>AN13</f>
        <v>6720.66</v>
      </c>
      <c r="AO14" s="66">
        <f>AO13</f>
        <v>31634.54</v>
      </c>
      <c r="AP14" s="67">
        <f t="shared" ref="AP14" si="2">AO14/AN14</f>
        <v>4.707058532941705</v>
      </c>
    </row>
    <row r="15" spans="1:42" ht="15" thickBot="1" x14ac:dyDescent="0.45">
      <c r="A15" s="68"/>
      <c r="B15" s="69"/>
      <c r="C15" s="69"/>
      <c r="D15" s="70"/>
      <c r="E15" s="71"/>
      <c r="F15" s="72"/>
      <c r="G15" s="70"/>
      <c r="H15" s="71"/>
      <c r="I15" s="72"/>
      <c r="J15" s="70"/>
      <c r="K15" s="71"/>
      <c r="L15" s="72"/>
      <c r="M15" s="70"/>
      <c r="N15" s="71"/>
      <c r="O15" s="72"/>
      <c r="P15" s="70"/>
      <c r="Q15" s="71"/>
      <c r="R15" s="72"/>
      <c r="S15" s="70"/>
      <c r="T15" s="71"/>
      <c r="U15" s="72"/>
      <c r="V15" s="70"/>
      <c r="W15" s="71"/>
      <c r="X15" s="72"/>
      <c r="Y15" s="70"/>
      <c r="Z15" s="71"/>
      <c r="AA15" s="72"/>
      <c r="AB15" s="70"/>
      <c r="AC15" s="71"/>
      <c r="AD15" s="72"/>
      <c r="AE15" s="70"/>
      <c r="AF15" s="71"/>
      <c r="AG15" s="72"/>
      <c r="AH15" s="70"/>
      <c r="AI15" s="71"/>
      <c r="AJ15" s="72"/>
      <c r="AK15" s="70"/>
      <c r="AL15" s="71"/>
      <c r="AM15" s="72"/>
      <c r="AN15" s="73"/>
      <c r="AO15" s="72"/>
      <c r="AP15" s="72"/>
    </row>
    <row r="16" spans="1:42" x14ac:dyDescent="0.4">
      <c r="A16" s="53" t="s">
        <v>68</v>
      </c>
      <c r="B16" s="54" t="s">
        <v>69</v>
      </c>
      <c r="C16" s="55"/>
      <c r="D16" s="56">
        <v>595</v>
      </c>
      <c r="E16" s="57">
        <v>1891.3</v>
      </c>
      <c r="F16" s="58">
        <f>E16/D16</f>
        <v>3.1786554621848739</v>
      </c>
      <c r="G16" s="56">
        <v>568</v>
      </c>
      <c r="H16" s="57">
        <v>1130.8800000000001</v>
      </c>
      <c r="I16" s="58">
        <f>H16/G16</f>
        <v>1.9909859154929579</v>
      </c>
      <c r="J16" s="56">
        <v>638</v>
      </c>
      <c r="K16" s="57">
        <v>1053.31</v>
      </c>
      <c r="L16" s="58">
        <f>K16/J16</f>
        <v>1.6509561128526644</v>
      </c>
      <c r="M16" s="56">
        <v>292</v>
      </c>
      <c r="N16" s="57">
        <v>405.92</v>
      </c>
      <c r="O16" s="58">
        <f>N16/M16</f>
        <v>1.3901369863013699</v>
      </c>
      <c r="P16" s="56">
        <v>180</v>
      </c>
      <c r="Q16" s="57">
        <v>256.3</v>
      </c>
      <c r="R16" s="58">
        <f>Q16/P16</f>
        <v>1.423888888888889</v>
      </c>
      <c r="S16" s="56">
        <v>105</v>
      </c>
      <c r="T16" s="57">
        <v>128.52000000000001</v>
      </c>
      <c r="U16" s="58">
        <f>T16/S16</f>
        <v>1.2240000000000002</v>
      </c>
      <c r="V16" s="56">
        <v>63.9</v>
      </c>
      <c r="W16" s="57">
        <v>81.41</v>
      </c>
      <c r="X16" s="58">
        <f>W16/V16</f>
        <v>1.2740219092331768</v>
      </c>
      <c r="Y16" s="56">
        <v>73</v>
      </c>
      <c r="Z16" s="57">
        <v>78.84</v>
      </c>
      <c r="AA16" s="58">
        <f>Z16/Y16</f>
        <v>1.08</v>
      </c>
      <c r="AB16" s="56">
        <v>48</v>
      </c>
      <c r="AC16" s="57">
        <v>41.47</v>
      </c>
      <c r="AD16" s="58">
        <f>AC16/AB16</f>
        <v>0.86395833333333327</v>
      </c>
      <c r="AE16" s="56">
        <v>175</v>
      </c>
      <c r="AF16" s="57">
        <v>195.41</v>
      </c>
      <c r="AG16" s="58">
        <f>AF16/AE16</f>
        <v>1.1166285714285713</v>
      </c>
      <c r="AH16" s="56">
        <v>451.4</v>
      </c>
      <c r="AI16" s="57">
        <v>706.68</v>
      </c>
      <c r="AJ16" s="58">
        <f>AI16/AH16</f>
        <v>1.5655294638901196</v>
      </c>
      <c r="AK16" s="56">
        <v>643.1</v>
      </c>
      <c r="AL16" s="57">
        <v>1042.32</v>
      </c>
      <c r="AM16" s="58">
        <f>AL16/AK16</f>
        <v>1.6207743741253302</v>
      </c>
      <c r="AN16" s="59">
        <f>AK16+AH16+AE16+AB16+Y16+V16+S16+P16+M16+J16+G16+D16</f>
        <v>3832.4</v>
      </c>
      <c r="AO16" s="60">
        <f>AL16+AI16+AF16+AC16+Z16+W16+T16+Q16+N16+K16+H16+E16</f>
        <v>7012.3600000000006</v>
      </c>
      <c r="AP16" s="61">
        <f>AO16/AN16</f>
        <v>1.8297568103538253</v>
      </c>
    </row>
    <row r="17" spans="1:42" ht="15" thickBot="1" x14ac:dyDescent="0.45">
      <c r="A17" s="62" t="s">
        <v>64</v>
      </c>
      <c r="B17" s="63"/>
      <c r="C17" s="64"/>
      <c r="D17" s="65">
        <f>D16</f>
        <v>595</v>
      </c>
      <c r="E17" s="66">
        <f>E16</f>
        <v>1891.3</v>
      </c>
      <c r="F17" s="67">
        <f>E17/D17</f>
        <v>3.1786554621848739</v>
      </c>
      <c r="G17" s="65">
        <f>G16</f>
        <v>568</v>
      </c>
      <c r="H17" s="66">
        <f>H16</f>
        <v>1130.8800000000001</v>
      </c>
      <c r="I17" s="67">
        <f>H17/G17</f>
        <v>1.9909859154929579</v>
      </c>
      <c r="J17" s="65">
        <f>J16</f>
        <v>638</v>
      </c>
      <c r="K17" s="66">
        <f>K16</f>
        <v>1053.31</v>
      </c>
      <c r="L17" s="67">
        <f>K17/J17</f>
        <v>1.6509561128526644</v>
      </c>
      <c r="M17" s="65">
        <f>M16</f>
        <v>292</v>
      </c>
      <c r="N17" s="66">
        <f>N16</f>
        <v>405.92</v>
      </c>
      <c r="O17" s="67">
        <f>N17/M17</f>
        <v>1.3901369863013699</v>
      </c>
      <c r="P17" s="65">
        <f>P16</f>
        <v>180</v>
      </c>
      <c r="Q17" s="66">
        <f>Q16</f>
        <v>256.3</v>
      </c>
      <c r="R17" s="67">
        <f>Q17/P17</f>
        <v>1.423888888888889</v>
      </c>
      <c r="S17" s="65">
        <f>S16</f>
        <v>105</v>
      </c>
      <c r="T17" s="66">
        <f>T16</f>
        <v>128.52000000000001</v>
      </c>
      <c r="U17" s="67">
        <f>T17/S17</f>
        <v>1.2240000000000002</v>
      </c>
      <c r="V17" s="65">
        <f>V16</f>
        <v>63.9</v>
      </c>
      <c r="W17" s="66">
        <f>W16</f>
        <v>81.41</v>
      </c>
      <c r="X17" s="67">
        <f>W17/V17</f>
        <v>1.2740219092331768</v>
      </c>
      <c r="Y17" s="65">
        <f>Y16</f>
        <v>73</v>
      </c>
      <c r="Z17" s="66">
        <f>Z16</f>
        <v>78.84</v>
      </c>
      <c r="AA17" s="67">
        <f>Z17/Y17</f>
        <v>1.08</v>
      </c>
      <c r="AB17" s="65">
        <f>AB16</f>
        <v>48</v>
      </c>
      <c r="AC17" s="66">
        <f>AC16</f>
        <v>41.47</v>
      </c>
      <c r="AD17" s="67">
        <f>AC17/AB17</f>
        <v>0.86395833333333327</v>
      </c>
      <c r="AE17" s="65">
        <f>AE16</f>
        <v>175</v>
      </c>
      <c r="AF17" s="66">
        <f>AF16</f>
        <v>195.41</v>
      </c>
      <c r="AG17" s="67">
        <f>AF17/AE17</f>
        <v>1.1166285714285713</v>
      </c>
      <c r="AH17" s="65">
        <f>AH16</f>
        <v>451.4</v>
      </c>
      <c r="AI17" s="66">
        <f>AI16</f>
        <v>706.68</v>
      </c>
      <c r="AJ17" s="67">
        <f>AI17/AH17</f>
        <v>1.5655294638901196</v>
      </c>
      <c r="AK17" s="65">
        <f>AK16</f>
        <v>643.1</v>
      </c>
      <c r="AL17" s="66">
        <f>AL16</f>
        <v>1042.32</v>
      </c>
      <c r="AM17" s="67">
        <f>AL17/AK17</f>
        <v>1.6207743741253302</v>
      </c>
      <c r="AN17" s="65">
        <f>AN16</f>
        <v>3832.4</v>
      </c>
      <c r="AO17" s="66">
        <f>AO16</f>
        <v>7012.3600000000006</v>
      </c>
      <c r="AP17" s="67">
        <f t="shared" ref="AP17" si="3">AO17/AN17</f>
        <v>1.8297568103538253</v>
      </c>
    </row>
    <row r="18" spans="1:42" ht="15" thickBot="1" x14ac:dyDescent="0.45">
      <c r="A18" s="68"/>
      <c r="B18" s="69"/>
      <c r="C18" s="69"/>
      <c r="D18" s="70"/>
      <c r="E18" s="71"/>
      <c r="F18" s="72"/>
      <c r="G18" s="70"/>
      <c r="H18" s="71"/>
      <c r="I18" s="72"/>
      <c r="J18" s="70"/>
      <c r="K18" s="71"/>
      <c r="L18" s="72"/>
      <c r="M18" s="70"/>
      <c r="N18" s="71"/>
      <c r="O18" s="72"/>
      <c r="P18" s="70"/>
      <c r="Q18" s="71"/>
      <c r="R18" s="72"/>
      <c r="S18" s="70"/>
      <c r="T18" s="71"/>
      <c r="U18" s="72"/>
      <c r="V18" s="70"/>
      <c r="W18" s="71"/>
      <c r="X18" s="72"/>
      <c r="Y18" s="70"/>
      <c r="Z18" s="71"/>
      <c r="AA18" s="72"/>
      <c r="AB18" s="70"/>
      <c r="AC18" s="71"/>
      <c r="AD18" s="72"/>
      <c r="AE18" s="70"/>
      <c r="AF18" s="71"/>
      <c r="AG18" s="72"/>
      <c r="AH18" s="70"/>
      <c r="AI18" s="71"/>
      <c r="AJ18" s="72"/>
      <c r="AK18" s="70"/>
      <c r="AL18" s="71"/>
      <c r="AM18" s="72"/>
      <c r="AN18" s="73"/>
      <c r="AO18" s="72"/>
      <c r="AP18" s="72"/>
    </row>
    <row r="19" spans="1:42" ht="15" thickBot="1" x14ac:dyDescent="0.45">
      <c r="A19" s="74" t="s">
        <v>70</v>
      </c>
      <c r="B19" s="75" t="s">
        <v>70</v>
      </c>
      <c r="C19" s="76"/>
      <c r="D19" s="56">
        <v>75.3</v>
      </c>
      <c r="E19" s="57">
        <v>238.55</v>
      </c>
      <c r="F19" s="77">
        <f>E19/D19</f>
        <v>3.1679946879150069</v>
      </c>
      <c r="G19" s="56">
        <v>72.900000000000006</v>
      </c>
      <c r="H19" s="57">
        <v>144.63</v>
      </c>
      <c r="I19" s="77">
        <f>H19/G19</f>
        <v>1.9839506172839505</v>
      </c>
      <c r="J19" s="56">
        <v>61.1</v>
      </c>
      <c r="K19" s="57">
        <v>101.67</v>
      </c>
      <c r="L19" s="77">
        <f>K19/J19</f>
        <v>1.6639934533551555</v>
      </c>
      <c r="M19" s="56">
        <v>33.1</v>
      </c>
      <c r="N19" s="57">
        <v>45.55</v>
      </c>
      <c r="O19" s="77">
        <f>N19/M19</f>
        <v>1.376132930513595</v>
      </c>
      <c r="P19" s="56">
        <v>16.2</v>
      </c>
      <c r="Q19" s="57">
        <v>22.94</v>
      </c>
      <c r="R19" s="77">
        <f>Q19/P19</f>
        <v>1.4160493827160496</v>
      </c>
      <c r="S19" s="56">
        <v>10.1</v>
      </c>
      <c r="T19" s="57">
        <v>12.36</v>
      </c>
      <c r="U19" s="77">
        <f>T19/S19</f>
        <v>1.2237623762376237</v>
      </c>
      <c r="V19" s="56">
        <v>6.7</v>
      </c>
      <c r="W19" s="57">
        <v>8.52</v>
      </c>
      <c r="X19" s="77">
        <f>W19/V19</f>
        <v>1.2716417910447759</v>
      </c>
      <c r="Y19" s="56">
        <v>7.1</v>
      </c>
      <c r="Z19" s="57">
        <v>7.67</v>
      </c>
      <c r="AA19" s="77">
        <f>Z19/Y19</f>
        <v>1.0802816901408452</v>
      </c>
      <c r="AB19" s="56">
        <v>7.4</v>
      </c>
      <c r="AC19" s="57">
        <v>6.39</v>
      </c>
      <c r="AD19" s="77">
        <f>AC19/AB19</f>
        <v>0.86351351351351346</v>
      </c>
      <c r="AE19" s="56">
        <v>17.8</v>
      </c>
      <c r="AF19" s="57">
        <v>19.649999999999999</v>
      </c>
      <c r="AG19" s="77">
        <f>AF19/AE19</f>
        <v>1.1039325842696628</v>
      </c>
      <c r="AH19" s="56">
        <v>43.8</v>
      </c>
      <c r="AI19" s="57">
        <v>68.33</v>
      </c>
      <c r="AJ19" s="77">
        <f>AI19/AH19</f>
        <v>1.5600456621004566</v>
      </c>
      <c r="AK19" s="56">
        <v>76.8</v>
      </c>
      <c r="AL19" s="57">
        <v>124.11</v>
      </c>
      <c r="AM19" s="77">
        <f>AL19/AK19</f>
        <v>1.616015625</v>
      </c>
      <c r="AN19" s="78">
        <f>AK19+AH19+AE19+AB19+Y19+V19+S19+P19+M19+J19+G19+D19</f>
        <v>428.3</v>
      </c>
      <c r="AO19" s="79">
        <f>AL19+AI19+AF19+AC19+Z19+W19+T19+Q19+N19+K19+H19+E19</f>
        <v>800.36999999999989</v>
      </c>
      <c r="AP19" s="80">
        <f>AO19/AN19</f>
        <v>1.8687135185617554</v>
      </c>
    </row>
    <row r="20" spans="1:42" ht="15" thickBot="1" x14ac:dyDescent="0.45">
      <c r="A20" s="62" t="s">
        <v>64</v>
      </c>
      <c r="B20" s="63"/>
      <c r="C20" s="64"/>
      <c r="D20" s="65">
        <f>D19</f>
        <v>75.3</v>
      </c>
      <c r="E20" s="66">
        <f>E19</f>
        <v>238.55</v>
      </c>
      <c r="F20" s="67">
        <f>E20/D20</f>
        <v>3.1679946879150069</v>
      </c>
      <c r="G20" s="65">
        <f>G19</f>
        <v>72.900000000000006</v>
      </c>
      <c r="H20" s="66">
        <f>H19</f>
        <v>144.63</v>
      </c>
      <c r="I20" s="67">
        <f>H20/G20</f>
        <v>1.9839506172839505</v>
      </c>
      <c r="J20" s="65">
        <f>J19</f>
        <v>61.1</v>
      </c>
      <c r="K20" s="66">
        <f>K19</f>
        <v>101.67</v>
      </c>
      <c r="L20" s="67">
        <f>K20/J20</f>
        <v>1.6639934533551555</v>
      </c>
      <c r="M20" s="65">
        <f>M19</f>
        <v>33.1</v>
      </c>
      <c r="N20" s="66">
        <f>N19</f>
        <v>45.55</v>
      </c>
      <c r="O20" s="67">
        <f>N20/M20</f>
        <v>1.376132930513595</v>
      </c>
      <c r="P20" s="65">
        <f>P19</f>
        <v>16.2</v>
      </c>
      <c r="Q20" s="66">
        <f>Q19</f>
        <v>22.94</v>
      </c>
      <c r="R20" s="67">
        <f>Q20/P20</f>
        <v>1.4160493827160496</v>
      </c>
      <c r="S20" s="65">
        <f>S19</f>
        <v>10.1</v>
      </c>
      <c r="T20" s="66">
        <f>T19</f>
        <v>12.36</v>
      </c>
      <c r="U20" s="67">
        <f>T20/S20</f>
        <v>1.2237623762376237</v>
      </c>
      <c r="V20" s="65">
        <f>V19</f>
        <v>6.7</v>
      </c>
      <c r="W20" s="66">
        <f>W19</f>
        <v>8.52</v>
      </c>
      <c r="X20" s="67">
        <f>W20/V20</f>
        <v>1.2716417910447759</v>
      </c>
      <c r="Y20" s="65">
        <f>Y19</f>
        <v>7.1</v>
      </c>
      <c r="Z20" s="66">
        <f>Z19</f>
        <v>7.67</v>
      </c>
      <c r="AA20" s="67">
        <f>Z20/Y20</f>
        <v>1.0802816901408452</v>
      </c>
      <c r="AB20" s="65">
        <f>AB19</f>
        <v>7.4</v>
      </c>
      <c r="AC20" s="66">
        <f>AC19</f>
        <v>6.39</v>
      </c>
      <c r="AD20" s="67">
        <f>AC20/AB20</f>
        <v>0.86351351351351346</v>
      </c>
      <c r="AE20" s="65">
        <f>AE19</f>
        <v>17.8</v>
      </c>
      <c r="AF20" s="66">
        <f>AF19</f>
        <v>19.649999999999999</v>
      </c>
      <c r="AG20" s="67">
        <f>AF20/AE20</f>
        <v>1.1039325842696628</v>
      </c>
      <c r="AH20" s="65">
        <f>AH19</f>
        <v>43.8</v>
      </c>
      <c r="AI20" s="66">
        <f>AI19</f>
        <v>68.33</v>
      </c>
      <c r="AJ20" s="67">
        <f>AI20/AH20</f>
        <v>1.5600456621004566</v>
      </c>
      <c r="AK20" s="65">
        <f>AK19</f>
        <v>76.8</v>
      </c>
      <c r="AL20" s="66">
        <f>AL19</f>
        <v>124.11</v>
      </c>
      <c r="AM20" s="67">
        <f>AL20/AK20</f>
        <v>1.616015625</v>
      </c>
      <c r="AN20" s="65">
        <f>AN19</f>
        <v>428.3</v>
      </c>
      <c r="AO20" s="66">
        <f>AO19</f>
        <v>800.36999999999989</v>
      </c>
      <c r="AP20" s="67">
        <f t="shared" ref="AP20" si="4">AO20/AN20</f>
        <v>1.8687135185617554</v>
      </c>
    </row>
    <row r="21" spans="1:42" ht="15" thickBot="1" x14ac:dyDescent="0.45">
      <c r="A21" s="68"/>
      <c r="B21" s="69"/>
      <c r="C21" s="69"/>
      <c r="D21" s="70"/>
      <c r="E21" s="71"/>
      <c r="F21" s="72"/>
      <c r="G21" s="70"/>
      <c r="H21" s="71"/>
      <c r="I21" s="72"/>
      <c r="J21" s="70"/>
      <c r="K21" s="71"/>
      <c r="L21" s="72"/>
      <c r="M21" s="70"/>
      <c r="N21" s="71"/>
      <c r="O21" s="72"/>
      <c r="P21" s="70"/>
      <c r="Q21" s="71"/>
      <c r="R21" s="72"/>
      <c r="S21" s="70"/>
      <c r="T21" s="71"/>
      <c r="U21" s="72"/>
      <c r="V21" s="70"/>
      <c r="W21" s="71"/>
      <c r="X21" s="72"/>
      <c r="Y21" s="70"/>
      <c r="Z21" s="71"/>
      <c r="AA21" s="72"/>
      <c r="AB21" s="70"/>
      <c r="AC21" s="71"/>
      <c r="AD21" s="72"/>
      <c r="AE21" s="70"/>
      <c r="AF21" s="71"/>
      <c r="AG21" s="72"/>
      <c r="AH21" s="70"/>
      <c r="AI21" s="71"/>
      <c r="AJ21" s="72"/>
      <c r="AK21" s="70"/>
      <c r="AL21" s="71"/>
      <c r="AM21" s="72"/>
      <c r="AN21" s="73"/>
      <c r="AO21" s="72"/>
      <c r="AP21" s="72"/>
    </row>
    <row r="22" spans="1:42" ht="15" thickBot="1" x14ac:dyDescent="0.45">
      <c r="A22" s="74" t="s">
        <v>71</v>
      </c>
      <c r="B22" s="75" t="s">
        <v>72</v>
      </c>
      <c r="C22" s="76"/>
      <c r="D22" s="56">
        <v>118.3</v>
      </c>
      <c r="E22" s="57">
        <v>621.08000000000004</v>
      </c>
      <c r="F22" s="77">
        <f>E22/D22</f>
        <v>5.250042265426881</v>
      </c>
      <c r="G22" s="56">
        <v>108</v>
      </c>
      <c r="H22" s="57">
        <v>567</v>
      </c>
      <c r="I22" s="77">
        <f>H22/G22</f>
        <v>5.25</v>
      </c>
      <c r="J22" s="56">
        <v>80.599999999999994</v>
      </c>
      <c r="K22" s="57">
        <v>423.15</v>
      </c>
      <c r="L22" s="77">
        <f>K22/J22</f>
        <v>5.25</v>
      </c>
      <c r="M22" s="56">
        <v>40.799999999999997</v>
      </c>
      <c r="N22" s="57">
        <v>214.2</v>
      </c>
      <c r="O22" s="77">
        <f>N22/M22</f>
        <v>5.25</v>
      </c>
      <c r="P22" s="56">
        <v>12.8</v>
      </c>
      <c r="Q22" s="57">
        <v>67.2</v>
      </c>
      <c r="R22" s="77">
        <f>Q22/P22</f>
        <v>5.25</v>
      </c>
      <c r="S22" s="56">
        <v>2.8</v>
      </c>
      <c r="T22" s="57">
        <v>14.7</v>
      </c>
      <c r="U22" s="77">
        <f>T22/S22</f>
        <v>5.25</v>
      </c>
      <c r="V22" s="56">
        <v>1.1000000000000001</v>
      </c>
      <c r="W22" s="57">
        <v>5.76</v>
      </c>
      <c r="X22" s="77">
        <f>W22/V22</f>
        <v>5.2363636363636354</v>
      </c>
      <c r="Y22" s="56">
        <v>1.1000000000000001</v>
      </c>
      <c r="Z22" s="57">
        <v>5.76</v>
      </c>
      <c r="AA22" s="77">
        <f>Z22/Y22</f>
        <v>5.2363636363636354</v>
      </c>
      <c r="AB22" s="56">
        <v>2.1</v>
      </c>
      <c r="AC22" s="57">
        <v>11.03</v>
      </c>
      <c r="AD22" s="77">
        <f>AC22/AB22</f>
        <v>5.2523809523809515</v>
      </c>
      <c r="AE22" s="56">
        <v>18</v>
      </c>
      <c r="AF22" s="57">
        <v>94.5</v>
      </c>
      <c r="AG22" s="77">
        <f>AF22/AE22</f>
        <v>5.25</v>
      </c>
      <c r="AH22" s="56">
        <v>64.7</v>
      </c>
      <c r="AI22" s="57">
        <v>339.68</v>
      </c>
      <c r="AJ22" s="77">
        <f>AI22/AH22</f>
        <v>5.2500772797527047</v>
      </c>
      <c r="AK22" s="56">
        <v>108.8</v>
      </c>
      <c r="AL22" s="57">
        <v>571.20000000000005</v>
      </c>
      <c r="AM22" s="77">
        <f>AL22/AK22</f>
        <v>5.2500000000000009</v>
      </c>
      <c r="AN22" s="78">
        <f>AK22+AH22+AE22+AB22+Y22+V22+S22+P22+M22+J22+G22+D22</f>
        <v>559.09999999999991</v>
      </c>
      <c r="AO22" s="79">
        <f>AL22+AI22+AF22+AC22+Z22+W22+T22+Q22+N22+K22+H22+E22</f>
        <v>2935.26</v>
      </c>
      <c r="AP22" s="80">
        <f>AO22/AN22</f>
        <v>5.2499731711679498</v>
      </c>
    </row>
    <row r="23" spans="1:42" ht="15" thickBot="1" x14ac:dyDescent="0.45">
      <c r="A23" s="62" t="s">
        <v>64</v>
      </c>
      <c r="B23" s="63"/>
      <c r="C23" s="64"/>
      <c r="D23" s="65">
        <f>D22</f>
        <v>118.3</v>
      </c>
      <c r="E23" s="66">
        <f>E22</f>
        <v>621.08000000000004</v>
      </c>
      <c r="F23" s="67">
        <f>E23/D23</f>
        <v>5.250042265426881</v>
      </c>
      <c r="G23" s="65">
        <f>G22</f>
        <v>108</v>
      </c>
      <c r="H23" s="66">
        <f>H22</f>
        <v>567</v>
      </c>
      <c r="I23" s="67">
        <f>H23/G23</f>
        <v>5.25</v>
      </c>
      <c r="J23" s="65">
        <f>J22</f>
        <v>80.599999999999994</v>
      </c>
      <c r="K23" s="66">
        <f>K22</f>
        <v>423.15</v>
      </c>
      <c r="L23" s="67">
        <f>K23/J23</f>
        <v>5.25</v>
      </c>
      <c r="M23" s="65">
        <f>M22</f>
        <v>40.799999999999997</v>
      </c>
      <c r="N23" s="66">
        <f>N22</f>
        <v>214.2</v>
      </c>
      <c r="O23" s="67">
        <f>N23/M23</f>
        <v>5.25</v>
      </c>
      <c r="P23" s="65">
        <f>P22</f>
        <v>12.8</v>
      </c>
      <c r="Q23" s="66">
        <f>Q22</f>
        <v>67.2</v>
      </c>
      <c r="R23" s="67">
        <f>Q23/P23</f>
        <v>5.25</v>
      </c>
      <c r="S23" s="65">
        <f>S22</f>
        <v>2.8</v>
      </c>
      <c r="T23" s="66">
        <f>T22</f>
        <v>14.7</v>
      </c>
      <c r="U23" s="67">
        <f>T23/S23</f>
        <v>5.25</v>
      </c>
      <c r="V23" s="65">
        <f>V22</f>
        <v>1.1000000000000001</v>
      </c>
      <c r="W23" s="66">
        <f>W22</f>
        <v>5.76</v>
      </c>
      <c r="X23" s="67">
        <f>W23/V23</f>
        <v>5.2363636363636354</v>
      </c>
      <c r="Y23" s="65">
        <f>Y22</f>
        <v>1.1000000000000001</v>
      </c>
      <c r="Z23" s="66">
        <f>Z22</f>
        <v>5.76</v>
      </c>
      <c r="AA23" s="67">
        <f>Z23/Y23</f>
        <v>5.2363636363636354</v>
      </c>
      <c r="AB23" s="65">
        <f>AB22</f>
        <v>2.1</v>
      </c>
      <c r="AC23" s="66">
        <f>AC22</f>
        <v>11.03</v>
      </c>
      <c r="AD23" s="67">
        <f>AC23/AB23</f>
        <v>5.2523809523809515</v>
      </c>
      <c r="AE23" s="65">
        <f>AE22</f>
        <v>18</v>
      </c>
      <c r="AF23" s="66">
        <f>AF22</f>
        <v>94.5</v>
      </c>
      <c r="AG23" s="67">
        <f>AF23/AE23</f>
        <v>5.25</v>
      </c>
      <c r="AH23" s="65">
        <f>AH22</f>
        <v>64.7</v>
      </c>
      <c r="AI23" s="66">
        <f>AI22</f>
        <v>339.68</v>
      </c>
      <c r="AJ23" s="67">
        <f>AI23/AH23</f>
        <v>5.2500772797527047</v>
      </c>
      <c r="AK23" s="65">
        <f>AK22</f>
        <v>108.8</v>
      </c>
      <c r="AL23" s="66">
        <f>AL22</f>
        <v>571.20000000000005</v>
      </c>
      <c r="AM23" s="67">
        <f>AL23/AK23</f>
        <v>5.2500000000000009</v>
      </c>
      <c r="AN23" s="65">
        <f>AN22</f>
        <v>559.09999999999991</v>
      </c>
      <c r="AO23" s="66">
        <f>AO22</f>
        <v>2935.26</v>
      </c>
      <c r="AP23" s="67">
        <f t="shared" ref="AP23" si="5">AO23/AN23</f>
        <v>5.2499731711679498</v>
      </c>
    </row>
    <row r="24" spans="1:42" ht="15" thickBot="1" x14ac:dyDescent="0.45">
      <c r="A24" s="68"/>
      <c r="B24" s="69"/>
      <c r="C24" s="69"/>
      <c r="D24" s="81"/>
      <c r="E24" s="82"/>
      <c r="F24" s="83"/>
      <c r="G24" s="81"/>
      <c r="H24" s="82"/>
      <c r="I24" s="83"/>
      <c r="J24" s="81"/>
      <c r="K24" s="82"/>
      <c r="L24" s="83"/>
      <c r="M24" s="81"/>
      <c r="N24" s="82"/>
      <c r="O24" s="83"/>
      <c r="P24" s="81"/>
      <c r="Q24" s="82"/>
      <c r="R24" s="83"/>
      <c r="S24" s="81"/>
      <c r="T24" s="82"/>
      <c r="U24" s="83"/>
      <c r="V24" s="81"/>
      <c r="W24" s="82"/>
      <c r="X24" s="83"/>
      <c r="Y24" s="81"/>
      <c r="Z24" s="82"/>
      <c r="AA24" s="83"/>
      <c r="AB24" s="81"/>
      <c r="AC24" s="82"/>
      <c r="AD24" s="83"/>
      <c r="AE24" s="81"/>
      <c r="AF24" s="82"/>
      <c r="AG24" s="83"/>
      <c r="AH24" s="81"/>
      <c r="AI24" s="82"/>
      <c r="AJ24" s="83"/>
      <c r="AK24" s="81"/>
      <c r="AL24" s="82"/>
      <c r="AM24" s="83"/>
      <c r="AN24" s="81"/>
      <c r="AO24" s="82"/>
      <c r="AP24" s="83"/>
    </row>
    <row r="25" spans="1:42" ht="15" thickBot="1" x14ac:dyDescent="0.45">
      <c r="A25" s="74" t="s">
        <v>73</v>
      </c>
      <c r="B25" s="75" t="s">
        <v>74</v>
      </c>
      <c r="C25" s="76"/>
      <c r="D25" s="56">
        <v>40.53</v>
      </c>
      <c r="E25" s="57">
        <v>141.87</v>
      </c>
      <c r="F25" s="77">
        <f>E25/D25</f>
        <v>3.5003700962250184</v>
      </c>
      <c r="G25" s="56">
        <v>40.031999999999996</v>
      </c>
      <c r="H25" s="57">
        <v>140.11000000000001</v>
      </c>
      <c r="I25" s="77">
        <f>H25/G25</f>
        <v>3.4999500399680263</v>
      </c>
      <c r="J25" s="56">
        <v>35.027000000000001</v>
      </c>
      <c r="K25" s="57">
        <v>122.59</v>
      </c>
      <c r="L25" s="77">
        <f>K25/J25</f>
        <v>3.4998715276786481</v>
      </c>
      <c r="M25" s="56">
        <v>20.114999999999998</v>
      </c>
      <c r="N25" s="57">
        <v>70.400000000000006</v>
      </c>
      <c r="O25" s="77">
        <f>N25/M25</f>
        <v>3.4998757146408157</v>
      </c>
      <c r="P25" s="56">
        <v>11.3</v>
      </c>
      <c r="Q25" s="57">
        <v>39.57</v>
      </c>
      <c r="R25" s="77">
        <f>Q25/P25</f>
        <v>3.5017699115044247</v>
      </c>
      <c r="S25" s="56">
        <v>4.4000000000000004</v>
      </c>
      <c r="T25" s="57">
        <v>15.4</v>
      </c>
      <c r="U25" s="77">
        <f>T25/S25</f>
        <v>3.5</v>
      </c>
      <c r="V25" s="56">
        <v>1.5</v>
      </c>
      <c r="W25" s="57">
        <v>5.25</v>
      </c>
      <c r="X25" s="77">
        <f>W25/V25</f>
        <v>3.5</v>
      </c>
      <c r="Y25" s="56">
        <v>1.8</v>
      </c>
      <c r="Z25" s="57">
        <v>6.3</v>
      </c>
      <c r="AA25" s="77">
        <f>Z25/Y25</f>
        <v>3.5</v>
      </c>
      <c r="AB25" s="56">
        <v>2.1</v>
      </c>
      <c r="AC25" s="57">
        <v>11.03</v>
      </c>
      <c r="AD25" s="77">
        <f>AC25/AB25</f>
        <v>5.2523809523809515</v>
      </c>
      <c r="AE25" s="56">
        <v>14.3</v>
      </c>
      <c r="AF25" s="57">
        <v>50.1</v>
      </c>
      <c r="AG25" s="77">
        <f>AF25/AE25</f>
        <v>3.5034965034965033</v>
      </c>
      <c r="AH25" s="56">
        <v>31.516999999999999</v>
      </c>
      <c r="AI25" s="57">
        <v>110.34</v>
      </c>
      <c r="AJ25" s="77">
        <f>AI25/AH25</f>
        <v>3.5009677317003525</v>
      </c>
      <c r="AK25" s="56">
        <v>43.939</v>
      </c>
      <c r="AL25" s="57">
        <v>153.79</v>
      </c>
      <c r="AM25" s="77">
        <f>AL25/AK25</f>
        <v>3.5000796558865699</v>
      </c>
      <c r="AN25" s="78">
        <f>AK25+AH25+AE25+AB25+Y25+V25+S25+P25+M25+J25+G25+D25</f>
        <v>246.55999999999997</v>
      </c>
      <c r="AO25" s="79">
        <f>AL25+AI25+AF25+AC25+Z25+W25+T25+Q25+N25+K25+H25+E25</f>
        <v>866.75</v>
      </c>
      <c r="AP25" s="80">
        <f>AO25/AN25</f>
        <v>3.5153715120051916</v>
      </c>
    </row>
    <row r="26" spans="1:42" ht="15" thickBot="1" x14ac:dyDescent="0.45">
      <c r="A26" s="62" t="s">
        <v>64</v>
      </c>
      <c r="B26" s="63"/>
      <c r="C26" s="64"/>
      <c r="D26" s="65">
        <f>D25</f>
        <v>40.53</v>
      </c>
      <c r="E26" s="66">
        <f>E25</f>
        <v>141.87</v>
      </c>
      <c r="F26" s="67">
        <f>E26/D26</f>
        <v>3.5003700962250184</v>
      </c>
      <c r="G26" s="65">
        <f>G25</f>
        <v>40.031999999999996</v>
      </c>
      <c r="H26" s="66">
        <f>H25</f>
        <v>140.11000000000001</v>
      </c>
      <c r="I26" s="67">
        <f>H26/G26</f>
        <v>3.4999500399680263</v>
      </c>
      <c r="J26" s="65">
        <f>J25</f>
        <v>35.027000000000001</v>
      </c>
      <c r="K26" s="66">
        <f>K25</f>
        <v>122.59</v>
      </c>
      <c r="L26" s="67">
        <f>K26/J26</f>
        <v>3.4998715276786481</v>
      </c>
      <c r="M26" s="65">
        <f>M25</f>
        <v>20.114999999999998</v>
      </c>
      <c r="N26" s="66">
        <f>N25</f>
        <v>70.400000000000006</v>
      </c>
      <c r="O26" s="67">
        <f>N26/M26</f>
        <v>3.4998757146408157</v>
      </c>
      <c r="P26" s="65">
        <f>P25</f>
        <v>11.3</v>
      </c>
      <c r="Q26" s="66">
        <f>Q25</f>
        <v>39.57</v>
      </c>
      <c r="R26" s="67">
        <f>Q26/P26</f>
        <v>3.5017699115044247</v>
      </c>
      <c r="S26" s="65">
        <f>S25</f>
        <v>4.4000000000000004</v>
      </c>
      <c r="T26" s="66">
        <f>T25</f>
        <v>15.4</v>
      </c>
      <c r="U26" s="67">
        <f>T26/S26</f>
        <v>3.5</v>
      </c>
      <c r="V26" s="65">
        <f>V25</f>
        <v>1.5</v>
      </c>
      <c r="W26" s="66">
        <f>W25</f>
        <v>5.25</v>
      </c>
      <c r="X26" s="67">
        <f>W26/V26</f>
        <v>3.5</v>
      </c>
      <c r="Y26" s="65">
        <f>Y25</f>
        <v>1.8</v>
      </c>
      <c r="Z26" s="66">
        <f>Z25</f>
        <v>6.3</v>
      </c>
      <c r="AA26" s="67">
        <f>Z26/Y26</f>
        <v>3.5</v>
      </c>
      <c r="AB26" s="65">
        <f>AB25</f>
        <v>2.1</v>
      </c>
      <c r="AC26" s="66">
        <f>AC25</f>
        <v>11.03</v>
      </c>
      <c r="AD26" s="67">
        <f>AC26/AB26</f>
        <v>5.2523809523809515</v>
      </c>
      <c r="AE26" s="65">
        <f>AE25</f>
        <v>14.3</v>
      </c>
      <c r="AF26" s="66">
        <f>AF25</f>
        <v>50.1</v>
      </c>
      <c r="AG26" s="67">
        <f>AF26/AE26</f>
        <v>3.5034965034965033</v>
      </c>
      <c r="AH26" s="65">
        <f>AH25</f>
        <v>31.516999999999999</v>
      </c>
      <c r="AI26" s="66">
        <f>AI25</f>
        <v>110.34</v>
      </c>
      <c r="AJ26" s="67">
        <f>AI26/AH26</f>
        <v>3.5009677317003525</v>
      </c>
      <c r="AK26" s="65">
        <f>AK25</f>
        <v>43.939</v>
      </c>
      <c r="AL26" s="66">
        <f>AL25</f>
        <v>153.79</v>
      </c>
      <c r="AM26" s="67">
        <f>AL26/AK26</f>
        <v>3.5000796558865699</v>
      </c>
      <c r="AN26" s="65">
        <f>AN25</f>
        <v>246.55999999999997</v>
      </c>
      <c r="AO26" s="66">
        <f>AO25</f>
        <v>866.75</v>
      </c>
      <c r="AP26" s="67">
        <f t="shared" ref="AP26" si="6">AO26/AN26</f>
        <v>3.5153715120051916</v>
      </c>
    </row>
    <row r="27" spans="1:42" ht="15" thickBot="1" x14ac:dyDescent="0.45">
      <c r="A27" s="68"/>
      <c r="B27" s="69"/>
      <c r="C27" s="69"/>
      <c r="D27" s="81"/>
      <c r="E27" s="82"/>
      <c r="F27" s="72"/>
      <c r="G27" s="81"/>
      <c r="H27" s="82"/>
      <c r="I27" s="72"/>
      <c r="J27" s="81"/>
      <c r="K27" s="82"/>
      <c r="L27" s="72"/>
      <c r="M27" s="81"/>
      <c r="N27" s="82"/>
      <c r="O27" s="72"/>
      <c r="P27" s="81"/>
      <c r="Q27" s="82"/>
      <c r="R27" s="72"/>
      <c r="S27" s="81"/>
      <c r="T27" s="82"/>
      <c r="U27" s="72"/>
      <c r="V27" s="81"/>
      <c r="W27" s="82"/>
      <c r="X27" s="72"/>
      <c r="Y27" s="81"/>
      <c r="Z27" s="82"/>
      <c r="AA27" s="72"/>
      <c r="AB27" s="81"/>
      <c r="AC27" s="82"/>
      <c r="AD27" s="72"/>
      <c r="AE27" s="81"/>
      <c r="AF27" s="82"/>
      <c r="AG27" s="72"/>
      <c r="AH27" s="81"/>
      <c r="AI27" s="82"/>
      <c r="AJ27" s="72"/>
      <c r="AK27" s="81"/>
      <c r="AL27" s="82"/>
      <c r="AM27" s="72"/>
      <c r="AN27" s="81"/>
      <c r="AO27" s="82"/>
      <c r="AP27" s="72"/>
    </row>
    <row r="28" spans="1:42" ht="15" thickBot="1" x14ac:dyDescent="0.45">
      <c r="A28" s="74" t="s">
        <v>75</v>
      </c>
      <c r="B28" s="75" t="s">
        <v>74</v>
      </c>
      <c r="C28" s="76"/>
      <c r="D28" s="56">
        <v>42.6</v>
      </c>
      <c r="E28" s="57">
        <v>196.61</v>
      </c>
      <c r="F28" s="77">
        <f>E28/D28</f>
        <v>4.6152582159624416</v>
      </c>
      <c r="G28" s="56">
        <v>41.2</v>
      </c>
      <c r="H28" s="57">
        <v>190.15</v>
      </c>
      <c r="I28" s="77">
        <f>H28/G28</f>
        <v>4.6152912621359219</v>
      </c>
      <c r="J28" s="56">
        <v>36</v>
      </c>
      <c r="K28" s="57">
        <v>166.15</v>
      </c>
      <c r="L28" s="77">
        <f>K28/J28</f>
        <v>4.615277777777778</v>
      </c>
      <c r="M28" s="56">
        <v>20.9</v>
      </c>
      <c r="N28" s="57">
        <v>96.46</v>
      </c>
      <c r="O28" s="77">
        <f>N28/M28</f>
        <v>4.6153110047846893</v>
      </c>
      <c r="P28" s="56">
        <v>11.5</v>
      </c>
      <c r="Q28" s="57">
        <v>53.07</v>
      </c>
      <c r="R28" s="77">
        <f>Q28/P28</f>
        <v>4.614782608695652</v>
      </c>
      <c r="S28" s="56">
        <v>7.8</v>
      </c>
      <c r="T28" s="57">
        <v>36</v>
      </c>
      <c r="U28" s="77">
        <f>T28/S28</f>
        <v>4.6153846153846159</v>
      </c>
      <c r="V28" s="56">
        <v>5.0999999999999996</v>
      </c>
      <c r="W28" s="57">
        <v>23.54</v>
      </c>
      <c r="X28" s="77">
        <f>W28/V28</f>
        <v>4.6156862745098044</v>
      </c>
      <c r="Y28" s="56">
        <v>6.1</v>
      </c>
      <c r="Z28" s="57">
        <v>28.15</v>
      </c>
      <c r="AA28" s="77">
        <f>Z28/Y28</f>
        <v>4.6147540983606561</v>
      </c>
      <c r="AB28" s="56">
        <v>7.3</v>
      </c>
      <c r="AC28" s="57">
        <v>33.69</v>
      </c>
      <c r="AD28" s="77">
        <f>AC28/AB28</f>
        <v>4.6150684931506847</v>
      </c>
      <c r="AE28" s="56">
        <v>19.100000000000001</v>
      </c>
      <c r="AF28" s="57">
        <v>88.15</v>
      </c>
      <c r="AG28" s="77">
        <f>AF28/AE28</f>
        <v>4.6151832460732987</v>
      </c>
      <c r="AH28" s="56">
        <v>35.5</v>
      </c>
      <c r="AI28" s="57">
        <v>163.84</v>
      </c>
      <c r="AJ28" s="77">
        <f>AI28/AH28</f>
        <v>4.615211267605634</v>
      </c>
      <c r="AK28" s="56">
        <v>50.3</v>
      </c>
      <c r="AL28" s="57">
        <v>232.14</v>
      </c>
      <c r="AM28" s="77">
        <f>AL28/AK28</f>
        <v>4.6151093439363819</v>
      </c>
      <c r="AN28" s="78">
        <f>AK28+AH28+AE28+AB28+Y28+V28+S28+P28+M28+J28+G28+D28</f>
        <v>283.40000000000003</v>
      </c>
      <c r="AO28" s="79">
        <f>AL28+AI28+AF28+AC28+Z28+W28+T28+Q28+N28+K28+H28+E28</f>
        <v>1307.9499999999998</v>
      </c>
      <c r="AP28" s="80">
        <f>AO28/AN28</f>
        <v>4.6152081863091023</v>
      </c>
    </row>
    <row r="29" spans="1:42" ht="15" thickBot="1" x14ac:dyDescent="0.45">
      <c r="A29" s="62" t="s">
        <v>64</v>
      </c>
      <c r="B29" s="63"/>
      <c r="C29" s="64"/>
      <c r="D29" s="65">
        <f>D28</f>
        <v>42.6</v>
      </c>
      <c r="E29" s="66">
        <f>E28</f>
        <v>196.61</v>
      </c>
      <c r="F29" s="67">
        <f>E29/D29</f>
        <v>4.6152582159624416</v>
      </c>
      <c r="G29" s="65">
        <f>G28</f>
        <v>41.2</v>
      </c>
      <c r="H29" s="66">
        <f>H28</f>
        <v>190.15</v>
      </c>
      <c r="I29" s="67">
        <f>H29/G29</f>
        <v>4.6152912621359219</v>
      </c>
      <c r="J29" s="65">
        <f>J28</f>
        <v>36</v>
      </c>
      <c r="K29" s="66">
        <f>K28</f>
        <v>166.15</v>
      </c>
      <c r="L29" s="67">
        <f>K29/J29</f>
        <v>4.615277777777778</v>
      </c>
      <c r="M29" s="65">
        <f>M28</f>
        <v>20.9</v>
      </c>
      <c r="N29" s="66">
        <f>N28</f>
        <v>96.46</v>
      </c>
      <c r="O29" s="67">
        <f>N29/M29</f>
        <v>4.6153110047846893</v>
      </c>
      <c r="P29" s="65">
        <f>P28</f>
        <v>11.5</v>
      </c>
      <c r="Q29" s="66">
        <f>Q28</f>
        <v>53.07</v>
      </c>
      <c r="R29" s="67">
        <f>Q29/P29</f>
        <v>4.614782608695652</v>
      </c>
      <c r="S29" s="65">
        <f>S28</f>
        <v>7.8</v>
      </c>
      <c r="T29" s="66">
        <f>T28</f>
        <v>36</v>
      </c>
      <c r="U29" s="67">
        <f>T29/S29</f>
        <v>4.6153846153846159</v>
      </c>
      <c r="V29" s="65">
        <f>V28</f>
        <v>5.0999999999999996</v>
      </c>
      <c r="W29" s="66">
        <f>W28</f>
        <v>23.54</v>
      </c>
      <c r="X29" s="67">
        <f>W29/V29</f>
        <v>4.6156862745098044</v>
      </c>
      <c r="Y29" s="65">
        <f>Y28</f>
        <v>6.1</v>
      </c>
      <c r="Z29" s="66">
        <f>Z28</f>
        <v>28.15</v>
      </c>
      <c r="AA29" s="67">
        <f>Z29/Y29</f>
        <v>4.6147540983606561</v>
      </c>
      <c r="AB29" s="65">
        <f>AB28</f>
        <v>7.3</v>
      </c>
      <c r="AC29" s="66">
        <f>AC28</f>
        <v>33.69</v>
      </c>
      <c r="AD29" s="67">
        <f>AC29/AB29</f>
        <v>4.6150684931506847</v>
      </c>
      <c r="AE29" s="65">
        <f>AE28</f>
        <v>19.100000000000001</v>
      </c>
      <c r="AF29" s="66">
        <f>AF28</f>
        <v>88.15</v>
      </c>
      <c r="AG29" s="67">
        <f>AF29/AE29</f>
        <v>4.6151832460732987</v>
      </c>
      <c r="AH29" s="65">
        <f>AH28</f>
        <v>35.5</v>
      </c>
      <c r="AI29" s="66">
        <f>AI28</f>
        <v>163.84</v>
      </c>
      <c r="AJ29" s="67">
        <f>AI29/AH29</f>
        <v>4.615211267605634</v>
      </c>
      <c r="AK29" s="65">
        <f>AK28</f>
        <v>50.3</v>
      </c>
      <c r="AL29" s="66">
        <f>AL28</f>
        <v>232.14</v>
      </c>
      <c r="AM29" s="67">
        <f>AL29/AK29</f>
        <v>4.6151093439363819</v>
      </c>
      <c r="AN29" s="65">
        <f>AN28</f>
        <v>283.40000000000003</v>
      </c>
      <c r="AO29" s="66">
        <f>AO28</f>
        <v>1307.9499999999998</v>
      </c>
      <c r="AP29" s="67">
        <f t="shared" ref="AP29" si="7">AO29/AN29</f>
        <v>4.6152081863091023</v>
      </c>
    </row>
    <row r="30" spans="1:42" ht="15" thickBot="1" x14ac:dyDescent="0.45">
      <c r="A30" s="68"/>
      <c r="B30" s="69"/>
      <c r="C30" s="69"/>
      <c r="D30" s="81"/>
      <c r="E30" s="82"/>
      <c r="F30" s="72"/>
      <c r="G30" s="81"/>
      <c r="H30" s="82"/>
      <c r="I30" s="72"/>
      <c r="J30" s="81"/>
      <c r="K30" s="82"/>
      <c r="L30" s="72"/>
      <c r="M30" s="81"/>
      <c r="N30" s="82"/>
      <c r="O30" s="72"/>
      <c r="P30" s="81"/>
      <c r="Q30" s="82"/>
      <c r="R30" s="72"/>
      <c r="S30" s="81"/>
      <c r="T30" s="82"/>
      <c r="U30" s="72"/>
      <c r="V30" s="81"/>
      <c r="W30" s="82"/>
      <c r="X30" s="72"/>
      <c r="Y30" s="81"/>
      <c r="Z30" s="82"/>
      <c r="AA30" s="72"/>
      <c r="AB30" s="81"/>
      <c r="AC30" s="82"/>
      <c r="AD30" s="72"/>
      <c r="AE30" s="81"/>
      <c r="AF30" s="82"/>
      <c r="AG30" s="72"/>
      <c r="AH30" s="81"/>
      <c r="AI30" s="82"/>
      <c r="AJ30" s="72"/>
      <c r="AK30" s="81"/>
      <c r="AL30" s="82"/>
      <c r="AM30" s="72"/>
      <c r="AN30" s="81"/>
      <c r="AO30" s="82"/>
      <c r="AP30" s="72"/>
    </row>
    <row r="31" spans="1:42" ht="15" thickBot="1" x14ac:dyDescent="0.45">
      <c r="A31" s="74" t="s">
        <v>76</v>
      </c>
      <c r="B31" s="75" t="s">
        <v>77</v>
      </c>
      <c r="C31" s="76"/>
      <c r="D31" s="56">
        <v>37.299999999999997</v>
      </c>
      <c r="E31" s="84"/>
      <c r="F31" s="77">
        <f>E31/D31</f>
        <v>0</v>
      </c>
      <c r="G31" s="56">
        <v>35.5</v>
      </c>
      <c r="H31" s="84"/>
      <c r="I31" s="77">
        <f>H31/G31</f>
        <v>0</v>
      </c>
      <c r="J31" s="56">
        <v>24.8</v>
      </c>
      <c r="K31" s="84"/>
      <c r="L31" s="77">
        <f>K31/J31</f>
        <v>0</v>
      </c>
      <c r="M31" s="56">
        <v>6.9</v>
      </c>
      <c r="N31" s="84"/>
      <c r="O31" s="77">
        <f>N31/M31</f>
        <v>0</v>
      </c>
      <c r="P31" s="56">
        <v>2.8</v>
      </c>
      <c r="Q31" s="84"/>
      <c r="R31" s="77">
        <f>Q31/P31</f>
        <v>0</v>
      </c>
      <c r="S31" s="56">
        <v>0.1</v>
      </c>
      <c r="T31" s="84"/>
      <c r="U31" s="77">
        <f>T31/S31</f>
        <v>0</v>
      </c>
      <c r="V31" s="56">
        <v>0</v>
      </c>
      <c r="W31" s="84">
        <v>0</v>
      </c>
      <c r="X31" s="77" t="e">
        <f>W31/V31</f>
        <v>#DIV/0!</v>
      </c>
      <c r="Y31" s="56">
        <v>0.1</v>
      </c>
      <c r="Z31" s="84"/>
      <c r="AA31" s="77">
        <f>Z31/Y31</f>
        <v>0</v>
      </c>
      <c r="AB31" s="56">
        <v>0</v>
      </c>
      <c r="AC31" s="84"/>
      <c r="AD31" s="77" t="e">
        <f>AC31/AB31</f>
        <v>#DIV/0!</v>
      </c>
      <c r="AE31" s="56">
        <v>2.6</v>
      </c>
      <c r="AF31" s="84"/>
      <c r="AG31" s="77">
        <f>AF31/AE31</f>
        <v>0</v>
      </c>
      <c r="AH31" s="56">
        <v>12.3</v>
      </c>
      <c r="AI31" s="84"/>
      <c r="AJ31" s="77">
        <f>AI31/AH31</f>
        <v>0</v>
      </c>
      <c r="AK31" s="56">
        <v>29.8</v>
      </c>
      <c r="AL31" s="84"/>
      <c r="AM31" s="77">
        <f>AL31/AK31</f>
        <v>0</v>
      </c>
      <c r="AN31" s="78">
        <f>AK31+AH31+AE31+AB31+Y31+V31+S31+P31+M31+J31+G31+D31</f>
        <v>152.19999999999999</v>
      </c>
      <c r="AO31" s="79">
        <f>AL31+AI31+AF31+AC31+Z31+W31+T31+Q31+N31+K31+H31+E31</f>
        <v>0</v>
      </c>
      <c r="AP31" s="80">
        <f>AO31/AN31</f>
        <v>0</v>
      </c>
    </row>
    <row r="32" spans="1:42" ht="15" thickBot="1" x14ac:dyDescent="0.45">
      <c r="A32" s="62" t="s">
        <v>64</v>
      </c>
      <c r="B32" s="63"/>
      <c r="C32" s="64"/>
      <c r="D32" s="65">
        <f>D31</f>
        <v>37.299999999999997</v>
      </c>
      <c r="E32" s="66">
        <f>E31</f>
        <v>0</v>
      </c>
      <c r="F32" s="67">
        <f>E32/D32</f>
        <v>0</v>
      </c>
      <c r="G32" s="65">
        <f>G31</f>
        <v>35.5</v>
      </c>
      <c r="H32" s="66">
        <f>H31</f>
        <v>0</v>
      </c>
      <c r="I32" s="67">
        <f>H32/G32</f>
        <v>0</v>
      </c>
      <c r="J32" s="65">
        <f>J31</f>
        <v>24.8</v>
      </c>
      <c r="K32" s="66">
        <f>K31</f>
        <v>0</v>
      </c>
      <c r="L32" s="67">
        <f>K32/J32</f>
        <v>0</v>
      </c>
      <c r="M32" s="65">
        <f>M31</f>
        <v>6.9</v>
      </c>
      <c r="N32" s="66">
        <f>N31</f>
        <v>0</v>
      </c>
      <c r="O32" s="67">
        <f>N32/M32</f>
        <v>0</v>
      </c>
      <c r="P32" s="65">
        <f>P31</f>
        <v>2.8</v>
      </c>
      <c r="Q32" s="66">
        <f>Q31</f>
        <v>0</v>
      </c>
      <c r="R32" s="67">
        <f>Q32/P32</f>
        <v>0</v>
      </c>
      <c r="S32" s="65">
        <f>S31</f>
        <v>0.1</v>
      </c>
      <c r="T32" s="66">
        <f>T31</f>
        <v>0</v>
      </c>
      <c r="U32" s="67">
        <f>T32/S32</f>
        <v>0</v>
      </c>
      <c r="V32" s="65">
        <f>V31</f>
        <v>0</v>
      </c>
      <c r="W32" s="66">
        <f>W31</f>
        <v>0</v>
      </c>
      <c r="X32" s="67" t="e">
        <f>W32/V32</f>
        <v>#DIV/0!</v>
      </c>
      <c r="Y32" s="65">
        <f>Y31</f>
        <v>0.1</v>
      </c>
      <c r="Z32" s="66">
        <f>Z31</f>
        <v>0</v>
      </c>
      <c r="AA32" s="67">
        <f>Z32/Y32</f>
        <v>0</v>
      </c>
      <c r="AB32" s="65">
        <f>AB31</f>
        <v>0</v>
      </c>
      <c r="AC32" s="66">
        <f>AC31</f>
        <v>0</v>
      </c>
      <c r="AD32" s="67" t="e">
        <f>AC32/AB32</f>
        <v>#DIV/0!</v>
      </c>
      <c r="AE32" s="65">
        <f>AE31</f>
        <v>2.6</v>
      </c>
      <c r="AF32" s="66">
        <f>AF31</f>
        <v>0</v>
      </c>
      <c r="AG32" s="67">
        <f>AF32/AE32</f>
        <v>0</v>
      </c>
      <c r="AH32" s="65">
        <f>AH31</f>
        <v>12.3</v>
      </c>
      <c r="AI32" s="66">
        <f>AI31</f>
        <v>0</v>
      </c>
      <c r="AJ32" s="67">
        <f>AI32/AH32</f>
        <v>0</v>
      </c>
      <c r="AK32" s="65">
        <f>AK31</f>
        <v>29.8</v>
      </c>
      <c r="AL32" s="66">
        <f>AL31</f>
        <v>0</v>
      </c>
      <c r="AM32" s="67">
        <f>AL32/AK32</f>
        <v>0</v>
      </c>
      <c r="AN32" s="65">
        <f>AN31</f>
        <v>152.19999999999999</v>
      </c>
      <c r="AO32" s="66">
        <f>AO31</f>
        <v>0</v>
      </c>
      <c r="AP32" s="67">
        <f t="shared" ref="AP32" si="8">AO32/AN32</f>
        <v>0</v>
      </c>
    </row>
    <row r="33" spans="1:42" ht="15" thickBot="1" x14ac:dyDescent="0.45">
      <c r="A33" s="68"/>
      <c r="B33" s="69"/>
      <c r="C33" s="69"/>
      <c r="D33" s="70"/>
      <c r="E33" s="71"/>
      <c r="F33" s="71"/>
      <c r="G33" s="70"/>
      <c r="H33" s="71"/>
      <c r="I33" s="71"/>
      <c r="J33" s="70"/>
      <c r="K33" s="71"/>
      <c r="L33" s="71"/>
      <c r="M33" s="70"/>
      <c r="N33" s="71"/>
      <c r="O33" s="71"/>
      <c r="P33" s="70"/>
      <c r="Q33" s="71"/>
      <c r="R33" s="71"/>
      <c r="S33" s="70"/>
      <c r="T33" s="71"/>
      <c r="U33" s="71"/>
      <c r="V33" s="70"/>
      <c r="W33" s="71"/>
      <c r="X33" s="71"/>
      <c r="Y33" s="70"/>
      <c r="Z33" s="71"/>
      <c r="AA33" s="71"/>
      <c r="AB33" s="70"/>
      <c r="AC33" s="71"/>
      <c r="AD33" s="71"/>
      <c r="AE33" s="70"/>
      <c r="AF33" s="71"/>
      <c r="AG33" s="71"/>
      <c r="AH33" s="70"/>
      <c r="AI33" s="71"/>
      <c r="AJ33" s="71"/>
      <c r="AK33" s="70"/>
      <c r="AL33" s="71"/>
      <c r="AM33" s="71"/>
      <c r="AN33" s="70"/>
      <c r="AO33" s="71"/>
      <c r="AP33" s="71"/>
    </row>
    <row r="34" spans="1:42" ht="15" thickBot="1" x14ac:dyDescent="0.45">
      <c r="A34" s="74" t="s">
        <v>78</v>
      </c>
      <c r="B34" s="85"/>
      <c r="C34" s="86"/>
      <c r="D34" s="87"/>
      <c r="E34" s="88"/>
      <c r="F34" s="88"/>
      <c r="G34" s="87"/>
      <c r="H34" s="88"/>
      <c r="I34" s="88"/>
      <c r="J34" s="87"/>
      <c r="K34" s="88"/>
      <c r="L34" s="88"/>
      <c r="M34" s="87"/>
      <c r="N34" s="88"/>
      <c r="O34" s="88"/>
      <c r="P34" s="87"/>
      <c r="Q34" s="88"/>
      <c r="R34" s="88"/>
      <c r="S34" s="87"/>
      <c r="T34" s="88"/>
      <c r="U34" s="88"/>
      <c r="V34" s="87"/>
      <c r="W34" s="88"/>
      <c r="X34" s="88"/>
      <c r="Y34" s="87"/>
      <c r="Z34" s="88"/>
      <c r="AA34" s="88"/>
      <c r="AB34" s="87"/>
      <c r="AC34" s="88"/>
      <c r="AD34" s="88"/>
      <c r="AE34" s="87"/>
      <c r="AF34" s="88"/>
      <c r="AG34" s="88"/>
      <c r="AH34" s="87"/>
      <c r="AI34" s="88"/>
      <c r="AJ34" s="88"/>
      <c r="AK34" s="87"/>
      <c r="AL34" s="88"/>
      <c r="AM34" s="88"/>
      <c r="AN34" s="87"/>
      <c r="AO34" s="88"/>
      <c r="AP34" s="89"/>
    </row>
    <row r="35" spans="1:42" ht="15" thickBot="1" x14ac:dyDescent="0.45">
      <c r="A35" s="62" t="s">
        <v>64</v>
      </c>
      <c r="B35" s="63"/>
      <c r="C35" s="64"/>
      <c r="D35" s="90">
        <f>D8+D11+D14+D17+D20+D23+D26+D32+D29</f>
        <v>4509.7100000000009</v>
      </c>
      <c r="E35" s="66">
        <f>E8+E11+E14+E17+E20+E23+E26+E32+E29</f>
        <v>17991.14</v>
      </c>
      <c r="F35" s="67">
        <f>E35/D35</f>
        <v>3.9894228231970561</v>
      </c>
      <c r="G35" s="90">
        <f>G8+G11+G14+G17+G20+G23+G26+G32+G29</f>
        <v>4471.8320000000003</v>
      </c>
      <c r="H35" s="66">
        <f>H8+H11+H14+H17+H20+H23+H26+H32+H29</f>
        <v>16394.45</v>
      </c>
      <c r="I35" s="67">
        <f>H35/G35</f>
        <v>3.6661596410598607</v>
      </c>
      <c r="J35" s="90">
        <f>J8+J11+J14+J17+J20+J23+J26+J32+J29</f>
        <v>4342.6470000000008</v>
      </c>
      <c r="K35" s="66">
        <f>K8+K11+K14+K17+K20+K23+K26+K32+K29</f>
        <v>15100.659999999998</v>
      </c>
      <c r="L35" s="67">
        <f>K35/J35</f>
        <v>3.477293917741874</v>
      </c>
      <c r="M35" s="90">
        <f>M8+M11+M14+M17+M20+M23+M26+M32+M29</f>
        <v>2385.6849999999999</v>
      </c>
      <c r="N35" s="66">
        <f>N8+N11+N14+N17+N20+N23+N26+N32+N29</f>
        <v>8320.5899999999983</v>
      </c>
      <c r="O35" s="67">
        <f>N35/M35</f>
        <v>3.4877152683610779</v>
      </c>
      <c r="P35" s="90">
        <f>P8+P11+P14+P17+P20+P23+P26+P32+P29</f>
        <v>1524.75</v>
      </c>
      <c r="Q35" s="66">
        <f>Q8+Q11+Q14+Q17+Q20+Q23+Q26+Q32+Q29</f>
        <v>5710.2399999999989</v>
      </c>
      <c r="R35" s="67">
        <f>Q35/P35</f>
        <v>3.7450336120675511</v>
      </c>
      <c r="S35" s="90">
        <f>S8+S11+S14+S17+S20+S23+S26+S32+S29</f>
        <v>1111.8199999999997</v>
      </c>
      <c r="T35" s="66">
        <f>T8+T11+T14+T17+T20+T23+T26+T32+T29</f>
        <v>4455.79</v>
      </c>
      <c r="U35" s="67">
        <f>T35/S35</f>
        <v>4.0076541166735629</v>
      </c>
      <c r="V35" s="90">
        <f>V8+V11+V14+V17+V20+V23+V26+V32+V29</f>
        <v>623.23</v>
      </c>
      <c r="W35" s="66">
        <f>W8+W11+W14+W17+W20+W23+W26+W32+W29</f>
        <v>2386.8000000000002</v>
      </c>
      <c r="X35" s="67">
        <f>W35/V35</f>
        <v>3.8297257834186418</v>
      </c>
      <c r="Y35" s="90">
        <f>Y8+Y11+Y14+Y17+Y20+Y23+Y26+Y32+Y29</f>
        <v>634.37000000000012</v>
      </c>
      <c r="Z35" s="66">
        <f>Z8+Z11+Z14+Z17+Z20+Z23+Z26+Z32+Z29</f>
        <v>2400.8200000000006</v>
      </c>
      <c r="AA35" s="67">
        <f>Z35/Y35</f>
        <v>3.7845736715166232</v>
      </c>
      <c r="AB35" s="90">
        <f>AB8+AB11+AB14+AB17+AB20+AB23+AB26+AB32+AB29</f>
        <v>765.28</v>
      </c>
      <c r="AC35" s="66">
        <f>AC8+AC11+AC14+AC17+AC20+AC23+AC26+AC32+AC29</f>
        <v>3026.34</v>
      </c>
      <c r="AD35" s="67">
        <f>AC35/AB35</f>
        <v>3.954552582061468</v>
      </c>
      <c r="AE35" s="90">
        <f>AE8+AE11+AE14+AE17+AE20+AE23+AE26+AE32+AE29</f>
        <v>1969.6899999999998</v>
      </c>
      <c r="AF35" s="66">
        <f>AF8+AF11+AF14+AF17+AF20+AF23+AF26+AF32+AF29</f>
        <v>6756.2499999999991</v>
      </c>
      <c r="AG35" s="67">
        <f>AF35/AE35</f>
        <v>3.4301082911524148</v>
      </c>
      <c r="AH35" s="90">
        <f>AH8+AH11+AH14+AH17+AH20+AH23+AH26+AH32+AH29</f>
        <v>3794.4470000000006</v>
      </c>
      <c r="AI35" s="66">
        <f>AI8+AI11+AI14+AI17+AI20+AI23+AI26+AI32+AI29</f>
        <v>13022.650000000001</v>
      </c>
      <c r="AJ35" s="67">
        <f>AI35/AH35</f>
        <v>3.4320284352370711</v>
      </c>
      <c r="AK35" s="90">
        <f>AK8+AK11+AK14+AK17+AK20+AK23+AK26+AK32+AK29</f>
        <v>5703.1090000000013</v>
      </c>
      <c r="AL35" s="66">
        <f>AL8+AL11+AL14+AL17+AL20+AL23+AL26+AL32+AL29</f>
        <v>19549.930000000004</v>
      </c>
      <c r="AM35" s="67">
        <f>AL35/AK35</f>
        <v>3.4279425485292321</v>
      </c>
      <c r="AN35" s="90">
        <f>AN8+AN11+AN14+AN17+AN20+AN23+AN26+AN32</f>
        <v>31553.170000000002</v>
      </c>
      <c r="AO35" s="66">
        <f>AO8+AO11+AO14+AO17+AO20+AO23+AO26+AO32</f>
        <v>113807.70999999999</v>
      </c>
      <c r="AP35" s="91">
        <f>AO35/AN35</f>
        <v>3.6068550323152948</v>
      </c>
    </row>
    <row r="38" spans="1:42" ht="15" thickBot="1" x14ac:dyDescent="0.45"/>
    <row r="39" spans="1:42" ht="15" thickBot="1" x14ac:dyDescent="0.45">
      <c r="A39" s="94" t="s">
        <v>87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3"/>
    </row>
    <row r="40" spans="1:42" ht="15" thickBot="1" x14ac:dyDescent="0.45">
      <c r="A40" s="139"/>
      <c r="B40" s="138"/>
      <c r="C40" s="49"/>
      <c r="D40" s="136" t="s">
        <v>46</v>
      </c>
      <c r="E40" s="137"/>
      <c r="F40" s="138"/>
      <c r="G40" s="136" t="s">
        <v>47</v>
      </c>
      <c r="H40" s="137"/>
      <c r="I40" s="138"/>
      <c r="J40" s="136" t="s">
        <v>48</v>
      </c>
      <c r="K40" s="137"/>
      <c r="L40" s="138"/>
      <c r="M40" s="136" t="s">
        <v>49</v>
      </c>
      <c r="N40" s="137"/>
      <c r="O40" s="138"/>
      <c r="P40" s="136" t="s">
        <v>4</v>
      </c>
      <c r="Q40" s="137"/>
      <c r="R40" s="138"/>
      <c r="S40" s="136" t="s">
        <v>50</v>
      </c>
      <c r="T40" s="137"/>
      <c r="U40" s="138"/>
      <c r="V40" s="136" t="s">
        <v>51</v>
      </c>
      <c r="W40" s="137"/>
      <c r="X40" s="138"/>
      <c r="Y40" s="136" t="s">
        <v>52</v>
      </c>
      <c r="Z40" s="137"/>
      <c r="AA40" s="138"/>
      <c r="AB40" s="136" t="s">
        <v>53</v>
      </c>
      <c r="AC40" s="137"/>
      <c r="AD40" s="138"/>
      <c r="AE40" s="136" t="s">
        <v>54</v>
      </c>
      <c r="AF40" s="137"/>
      <c r="AG40" s="138"/>
      <c r="AH40" s="136" t="s">
        <v>55</v>
      </c>
      <c r="AI40" s="137"/>
      <c r="AJ40" s="138"/>
      <c r="AK40" s="136" t="s">
        <v>56</v>
      </c>
      <c r="AL40" s="137"/>
      <c r="AM40" s="138"/>
      <c r="AN40" s="136" t="s">
        <v>79</v>
      </c>
      <c r="AO40" s="137"/>
      <c r="AP40" s="138"/>
    </row>
    <row r="41" spans="1:42" ht="15" thickBot="1" x14ac:dyDescent="0.45">
      <c r="A41" s="50" t="s">
        <v>58</v>
      </c>
      <c r="B41" s="48" t="s">
        <v>59</v>
      </c>
      <c r="C41" s="48"/>
      <c r="D41" s="51" t="s">
        <v>31</v>
      </c>
      <c r="E41" s="52" t="s">
        <v>60</v>
      </c>
      <c r="F41" s="52" t="s">
        <v>61</v>
      </c>
      <c r="G41" s="51" t="s">
        <v>31</v>
      </c>
      <c r="H41" s="52" t="s">
        <v>60</v>
      </c>
      <c r="I41" s="52" t="s">
        <v>61</v>
      </c>
      <c r="J41" s="51" t="s">
        <v>31</v>
      </c>
      <c r="K41" s="52" t="s">
        <v>60</v>
      </c>
      <c r="L41" s="52" t="s">
        <v>61</v>
      </c>
      <c r="M41" s="51" t="s">
        <v>31</v>
      </c>
      <c r="N41" s="52" t="s">
        <v>60</v>
      </c>
      <c r="O41" s="52" t="s">
        <v>61</v>
      </c>
      <c r="P41" s="51" t="s">
        <v>31</v>
      </c>
      <c r="Q41" s="52" t="s">
        <v>60</v>
      </c>
      <c r="R41" s="52" t="s">
        <v>61</v>
      </c>
      <c r="S41" s="51" t="s">
        <v>31</v>
      </c>
      <c r="T41" s="52" t="s">
        <v>60</v>
      </c>
      <c r="U41" s="52" t="s">
        <v>61</v>
      </c>
      <c r="V41" s="51" t="s">
        <v>31</v>
      </c>
      <c r="W41" s="52" t="s">
        <v>60</v>
      </c>
      <c r="X41" s="52" t="s">
        <v>61</v>
      </c>
      <c r="Y41" s="51" t="s">
        <v>31</v>
      </c>
      <c r="Z41" s="52" t="s">
        <v>60</v>
      </c>
      <c r="AA41" s="52" t="s">
        <v>61</v>
      </c>
      <c r="AB41" s="51" t="s">
        <v>31</v>
      </c>
      <c r="AC41" s="52" t="s">
        <v>60</v>
      </c>
      <c r="AD41" s="52" t="s">
        <v>61</v>
      </c>
      <c r="AE41" s="51" t="s">
        <v>31</v>
      </c>
      <c r="AF41" s="52" t="s">
        <v>60</v>
      </c>
      <c r="AG41" s="52" t="s">
        <v>61</v>
      </c>
      <c r="AH41" s="51" t="s">
        <v>31</v>
      </c>
      <c r="AI41" s="52" t="s">
        <v>60</v>
      </c>
      <c r="AJ41" s="52" t="s">
        <v>61</v>
      </c>
      <c r="AK41" s="51" t="s">
        <v>31</v>
      </c>
      <c r="AL41" s="52" t="s">
        <v>60</v>
      </c>
      <c r="AM41" s="52" t="s">
        <v>61</v>
      </c>
      <c r="AN41" s="51" t="s">
        <v>31</v>
      </c>
      <c r="AO41" s="52" t="s">
        <v>60</v>
      </c>
      <c r="AP41" s="52" t="s">
        <v>61</v>
      </c>
    </row>
    <row r="42" spans="1:42" x14ac:dyDescent="0.4">
      <c r="A42" s="53" t="s">
        <v>62</v>
      </c>
      <c r="B42" s="54" t="s">
        <v>63</v>
      </c>
      <c r="C42" s="55"/>
      <c r="D42" s="56">
        <v>1904.1</v>
      </c>
      <c r="E42" s="57">
        <v>8093.09</v>
      </c>
      <c r="F42" s="58">
        <f>E42/D42</f>
        <v>4.2503492463631112</v>
      </c>
      <c r="G42" s="56">
        <v>1766</v>
      </c>
      <c r="H42" s="57">
        <v>4866.07</v>
      </c>
      <c r="I42" s="58">
        <f>H42/G42</f>
        <v>2.7554190260475648</v>
      </c>
      <c r="J42" s="56">
        <v>1286.02</v>
      </c>
      <c r="K42" s="57">
        <v>3361.27</v>
      </c>
      <c r="L42" s="58">
        <f>K42/J42</f>
        <v>2.6136996314209733</v>
      </c>
      <c r="M42" s="56">
        <v>1105.45</v>
      </c>
      <c r="N42" s="57">
        <v>2772.42</v>
      </c>
      <c r="O42" s="58">
        <f>N42/M42</f>
        <v>2.5079560360034376</v>
      </c>
      <c r="P42" s="56">
        <v>212</v>
      </c>
      <c r="Q42" s="57">
        <v>692.45</v>
      </c>
      <c r="R42" s="58">
        <f>Q42/P42</f>
        <v>3.2662735849056608</v>
      </c>
      <c r="S42" s="56">
        <v>142</v>
      </c>
      <c r="T42" s="57">
        <v>470.31</v>
      </c>
      <c r="U42" s="58">
        <f>T42/S42</f>
        <v>3.3120422535211267</v>
      </c>
      <c r="V42" s="56">
        <v>124</v>
      </c>
      <c r="W42" s="57">
        <v>395.81</v>
      </c>
      <c r="X42" s="58">
        <f>W42/V42</f>
        <v>3.192016129032258</v>
      </c>
      <c r="Y42" s="56">
        <v>131.27000000000001</v>
      </c>
      <c r="Z42" s="57">
        <v>420.01</v>
      </c>
      <c r="AA42" s="58">
        <f>Z42/Y42</f>
        <v>3.1995886341128967</v>
      </c>
      <c r="AB42" s="56">
        <v>141.93</v>
      </c>
      <c r="AC42" s="95">
        <v>454.27</v>
      </c>
      <c r="AD42" s="58">
        <f>AC42/AB42</f>
        <v>3.2006622983160709</v>
      </c>
      <c r="AE42" s="56">
        <v>620.77</v>
      </c>
      <c r="AF42" s="57">
        <v>1723.61</v>
      </c>
      <c r="AG42" s="58">
        <f>AF42/AE42</f>
        <v>2.776567810944472</v>
      </c>
      <c r="AH42" s="56">
        <v>914.39</v>
      </c>
      <c r="AI42" s="57">
        <v>2627.16</v>
      </c>
      <c r="AJ42" s="58">
        <f>AI42/AH42</f>
        <v>2.8731285337766161</v>
      </c>
      <c r="AK42" s="56">
        <v>2457.25</v>
      </c>
      <c r="AL42" s="57">
        <v>8766.65</v>
      </c>
      <c r="AM42" s="58">
        <f>AL42/AK42</f>
        <v>3.5676671075389152</v>
      </c>
      <c r="AN42" s="59">
        <f>AK42+AH42+AE42+AB42+Y42+V42+S42+P42+M42+J42+G42+D42</f>
        <v>10805.18</v>
      </c>
      <c r="AO42" s="60">
        <f>AL42+AI42+AF42+AC42+Z42+W42+T42+Q42+N42+K42+H42+E42</f>
        <v>34643.120000000003</v>
      </c>
      <c r="AP42" s="61">
        <f>AO42/AN42</f>
        <v>3.2061585276691367</v>
      </c>
    </row>
    <row r="43" spans="1:42" ht="15" thickBot="1" x14ac:dyDescent="0.45">
      <c r="A43" s="62" t="s">
        <v>64</v>
      </c>
      <c r="B43" s="63"/>
      <c r="C43" s="64"/>
      <c r="D43" s="65">
        <f>D42</f>
        <v>1904.1</v>
      </c>
      <c r="E43" s="66">
        <f>E42</f>
        <v>8093.09</v>
      </c>
      <c r="F43" s="67">
        <f>E43/D43</f>
        <v>4.2503492463631112</v>
      </c>
      <c r="G43" s="65">
        <f>G42</f>
        <v>1766</v>
      </c>
      <c r="H43" s="66">
        <f>H42</f>
        <v>4866.07</v>
      </c>
      <c r="I43" s="67">
        <f>H43/G43</f>
        <v>2.7554190260475648</v>
      </c>
      <c r="J43" s="65">
        <f>J42</f>
        <v>1286.02</v>
      </c>
      <c r="K43" s="66">
        <f>K42</f>
        <v>3361.27</v>
      </c>
      <c r="L43" s="67">
        <f>K43/J43</f>
        <v>2.6136996314209733</v>
      </c>
      <c r="M43" s="65">
        <f>M42</f>
        <v>1105.45</v>
      </c>
      <c r="N43" s="66">
        <f>N42</f>
        <v>2772.42</v>
      </c>
      <c r="O43" s="67">
        <f>N43/M43</f>
        <v>2.5079560360034376</v>
      </c>
      <c r="P43" s="65">
        <v>211.91</v>
      </c>
      <c r="Q43" s="66">
        <v>692.45</v>
      </c>
      <c r="R43" s="67">
        <f>Q43/P43</f>
        <v>3.2676607993959701</v>
      </c>
      <c r="S43" s="65">
        <v>141.9</v>
      </c>
      <c r="T43" s="66">
        <v>470.31</v>
      </c>
      <c r="U43" s="67">
        <f>T43/S43</f>
        <v>3.3143763213530653</v>
      </c>
      <c r="V43" s="65">
        <v>124.2</v>
      </c>
      <c r="W43" s="66">
        <v>395.81</v>
      </c>
      <c r="X43" s="67">
        <f>W43/V43</f>
        <v>3.1868760064412238</v>
      </c>
      <c r="Y43" s="65">
        <f>Y42</f>
        <v>131.27000000000001</v>
      </c>
      <c r="Z43" s="66">
        <f>Z42</f>
        <v>420.01</v>
      </c>
      <c r="AA43" s="67">
        <f>Z43/Y43</f>
        <v>3.1995886341128967</v>
      </c>
      <c r="AB43" s="65">
        <f>AB42</f>
        <v>141.93</v>
      </c>
      <c r="AC43" s="66">
        <f>AC42</f>
        <v>454.27</v>
      </c>
      <c r="AD43" s="67">
        <f>AC43/AB43</f>
        <v>3.2006622983160709</v>
      </c>
      <c r="AE43" s="65">
        <f>AE42</f>
        <v>620.77</v>
      </c>
      <c r="AF43" s="66">
        <f>AF42</f>
        <v>1723.61</v>
      </c>
      <c r="AG43" s="67">
        <f>AF43/AE43</f>
        <v>2.776567810944472</v>
      </c>
      <c r="AH43" s="65">
        <f>AH42</f>
        <v>914.39</v>
      </c>
      <c r="AI43" s="66">
        <f>AI42</f>
        <v>2627.16</v>
      </c>
      <c r="AJ43" s="67">
        <f>AI43/AH43</f>
        <v>2.8731285337766161</v>
      </c>
      <c r="AK43" s="65">
        <f>AK42</f>
        <v>2457.25</v>
      </c>
      <c r="AL43" s="66">
        <f>AL42</f>
        <v>8766.65</v>
      </c>
      <c r="AM43" s="67">
        <f>AL43/AK43</f>
        <v>3.5676671075389152</v>
      </c>
      <c r="AN43" s="65">
        <f>AN42</f>
        <v>10805.18</v>
      </c>
      <c r="AO43" s="66">
        <f>AO42</f>
        <v>34643.120000000003</v>
      </c>
      <c r="AP43" s="67">
        <f t="shared" ref="AP43" si="9">AO43/AN43</f>
        <v>3.2061585276691367</v>
      </c>
    </row>
    <row r="44" spans="1:42" ht="15" thickBot="1" x14ac:dyDescent="0.45">
      <c r="A44" s="62" t="s">
        <v>64</v>
      </c>
      <c r="B44" s="69"/>
      <c r="C44" s="69"/>
      <c r="D44" s="70"/>
      <c r="E44" s="71"/>
      <c r="F44" s="72"/>
      <c r="G44" s="70"/>
      <c r="H44" s="71"/>
      <c r="I44" s="72"/>
      <c r="J44" s="70"/>
      <c r="K44" s="71"/>
      <c r="L44" s="72"/>
      <c r="M44" s="70"/>
      <c r="N44" s="71"/>
      <c r="O44" s="72"/>
      <c r="P44" s="70"/>
      <c r="Q44" s="71"/>
      <c r="R44" s="72"/>
      <c r="S44" s="70"/>
      <c r="T44" s="71"/>
      <c r="U44" s="72"/>
      <c r="V44" s="70"/>
      <c r="W44" s="71"/>
      <c r="X44" s="72"/>
      <c r="Y44" s="70"/>
      <c r="Z44" s="71"/>
      <c r="AA44" s="72"/>
      <c r="AB44" s="70"/>
      <c r="AC44" s="71"/>
      <c r="AD44" s="72"/>
      <c r="AE44" s="70"/>
      <c r="AF44" s="71"/>
      <c r="AG44" s="72"/>
      <c r="AH44" s="70"/>
      <c r="AI44" s="71"/>
      <c r="AJ44" s="72"/>
      <c r="AK44" s="70"/>
      <c r="AL44" s="71"/>
      <c r="AM44" s="72"/>
      <c r="AN44" s="73"/>
      <c r="AO44" s="72"/>
      <c r="AP44" s="72"/>
    </row>
    <row r="45" spans="1:42" x14ac:dyDescent="0.4">
      <c r="A45" s="53" t="s">
        <v>65</v>
      </c>
      <c r="B45" s="54" t="s">
        <v>66</v>
      </c>
      <c r="C45" s="55"/>
      <c r="D45" s="56">
        <v>2256.2199999999998</v>
      </c>
      <c r="E45" s="57">
        <v>9273.07</v>
      </c>
      <c r="F45" s="58">
        <f>E45/D45</f>
        <v>4.1100025706713001</v>
      </c>
      <c r="G45" s="56">
        <v>1547.56</v>
      </c>
      <c r="H45" s="57">
        <v>6360.46</v>
      </c>
      <c r="I45" s="58">
        <f>H45/G45</f>
        <v>4.1099925043293961</v>
      </c>
      <c r="J45" s="56">
        <v>961.27</v>
      </c>
      <c r="K45" s="57">
        <v>3920.92</v>
      </c>
      <c r="L45" s="58">
        <f>K45/J45</f>
        <v>4.078895627659243</v>
      </c>
      <c r="M45" s="56">
        <v>561.25</v>
      </c>
      <c r="N45" s="57">
        <v>2288.7399999999998</v>
      </c>
      <c r="O45" s="58">
        <f>N45/M45</f>
        <v>4.0779331848552332</v>
      </c>
      <c r="P45" s="56">
        <v>184</v>
      </c>
      <c r="Q45" s="57">
        <v>754.69</v>
      </c>
      <c r="R45" s="58">
        <f>Q45/P45</f>
        <v>4.1015760869565216</v>
      </c>
      <c r="S45" s="56">
        <v>125</v>
      </c>
      <c r="T45" s="57">
        <v>511.06</v>
      </c>
      <c r="U45" s="58">
        <f>T45/S45</f>
        <v>4.0884799999999997</v>
      </c>
      <c r="V45" s="56">
        <v>100</v>
      </c>
      <c r="W45" s="57">
        <v>409.24</v>
      </c>
      <c r="X45" s="58">
        <f>W45/V45</f>
        <v>4.0924000000000005</v>
      </c>
      <c r="Y45" s="56">
        <v>110.26</v>
      </c>
      <c r="Z45" s="57">
        <v>451.57</v>
      </c>
      <c r="AA45" s="58">
        <f>Z45/Y45</f>
        <v>4.0955015418102665</v>
      </c>
      <c r="AB45" s="56">
        <v>111.4</v>
      </c>
      <c r="AC45" s="57">
        <v>456.32</v>
      </c>
      <c r="AD45" s="58">
        <f>AC45/AB45</f>
        <v>4.0962298025134647</v>
      </c>
      <c r="AE45" s="56">
        <v>501.11</v>
      </c>
      <c r="AF45" s="57">
        <v>2048.4299999999998</v>
      </c>
      <c r="AG45" s="58">
        <f>AF45/AE45</f>
        <v>4.0877851170401707</v>
      </c>
      <c r="AH45" s="56">
        <v>684.4</v>
      </c>
      <c r="AI45" s="57">
        <v>2796.71</v>
      </c>
      <c r="AJ45" s="58">
        <f>AI45/AH45</f>
        <v>4.0863676212741087</v>
      </c>
      <c r="AK45" s="56">
        <v>1773.79</v>
      </c>
      <c r="AL45" s="57">
        <v>7271.2</v>
      </c>
      <c r="AM45" s="58">
        <f>AL45/AK45</f>
        <v>4.0992451192080237</v>
      </c>
      <c r="AN45" s="59">
        <f>AK45+AH45+AE45+AB45+Y45+V45+S45+P45+M45+J45+G45+D45</f>
        <v>8916.26</v>
      </c>
      <c r="AO45" s="60">
        <f>AL45+AI45+AF45+AC45+Z45+W45+T45+Q45+N45+K45+H45+E45</f>
        <v>36542.409999999996</v>
      </c>
      <c r="AP45" s="61">
        <f>AO45/AN45</f>
        <v>4.0984011233409516</v>
      </c>
    </row>
    <row r="46" spans="1:42" ht="15" thickBot="1" x14ac:dyDescent="0.45">
      <c r="A46" s="62" t="s">
        <v>64</v>
      </c>
      <c r="B46" s="63"/>
      <c r="C46" s="64"/>
      <c r="D46" s="65">
        <f>D45</f>
        <v>2256.2199999999998</v>
      </c>
      <c r="E46" s="66">
        <f>E45</f>
        <v>9273.07</v>
      </c>
      <c r="F46" s="67">
        <f>E46/D46</f>
        <v>4.1100025706713001</v>
      </c>
      <c r="G46" s="65">
        <f>G45</f>
        <v>1547.56</v>
      </c>
      <c r="H46" s="66">
        <f>H45</f>
        <v>6360.46</v>
      </c>
      <c r="I46" s="67">
        <f>H46/G46</f>
        <v>4.1099925043293961</v>
      </c>
      <c r="J46" s="65">
        <f>J45</f>
        <v>961.27</v>
      </c>
      <c r="K46" s="66">
        <f>K45</f>
        <v>3920.92</v>
      </c>
      <c r="L46" s="67">
        <f>K46/J46</f>
        <v>4.078895627659243</v>
      </c>
      <c r="M46" s="65">
        <f>M45</f>
        <v>561.25</v>
      </c>
      <c r="N46" s="66">
        <f>N45</f>
        <v>2288.7399999999998</v>
      </c>
      <c r="O46" s="67">
        <f>N46/M46</f>
        <v>4.0779331848552332</v>
      </c>
      <c r="P46" s="65">
        <v>184.34</v>
      </c>
      <c r="Q46" s="66">
        <v>754.69</v>
      </c>
      <c r="R46" s="67">
        <f>Q46/P46</f>
        <v>4.0940110665075409</v>
      </c>
      <c r="S46" s="65">
        <v>124.64</v>
      </c>
      <c r="T46" s="66">
        <v>511.06</v>
      </c>
      <c r="U46" s="67">
        <f>T46/S46</f>
        <v>4.1002888318356865</v>
      </c>
      <c r="V46" s="65">
        <v>100</v>
      </c>
      <c r="W46" s="66">
        <v>409.24</v>
      </c>
      <c r="X46" s="67">
        <f>W46/V46</f>
        <v>4.0924000000000005</v>
      </c>
      <c r="Y46" s="65">
        <f>Y45</f>
        <v>110.26</v>
      </c>
      <c r="Z46" s="66">
        <f>Z45</f>
        <v>451.57</v>
      </c>
      <c r="AA46" s="67">
        <f>Z46/Y46</f>
        <v>4.0955015418102665</v>
      </c>
      <c r="AB46" s="65">
        <f>AB45</f>
        <v>111.4</v>
      </c>
      <c r="AC46" s="66">
        <f>AC45</f>
        <v>456.32</v>
      </c>
      <c r="AD46" s="67">
        <f>AC46/AB46</f>
        <v>4.0962298025134647</v>
      </c>
      <c r="AE46" s="65">
        <f>AE45</f>
        <v>501.11</v>
      </c>
      <c r="AF46" s="66">
        <f>AF45</f>
        <v>2048.4299999999998</v>
      </c>
      <c r="AG46" s="67">
        <f>AF46/AE46</f>
        <v>4.0877851170401707</v>
      </c>
      <c r="AH46" s="65">
        <f>AH45</f>
        <v>684.4</v>
      </c>
      <c r="AI46" s="66">
        <f>AI45</f>
        <v>2796.71</v>
      </c>
      <c r="AJ46" s="67">
        <f>AI46/AH46</f>
        <v>4.0863676212741087</v>
      </c>
      <c r="AK46" s="65">
        <f>AK45</f>
        <v>1773.79</v>
      </c>
      <c r="AL46" s="66">
        <f>AL45</f>
        <v>7271.2</v>
      </c>
      <c r="AM46" s="67">
        <f>AL46/AK46</f>
        <v>4.0992451192080237</v>
      </c>
      <c r="AN46" s="65">
        <f>AN45</f>
        <v>8916.26</v>
      </c>
      <c r="AO46" s="66">
        <f>AO45</f>
        <v>36542.409999999996</v>
      </c>
      <c r="AP46" s="67">
        <f t="shared" ref="AP46" si="10">AO46/AN46</f>
        <v>4.0984011233409516</v>
      </c>
    </row>
    <row r="47" spans="1:42" ht="15" thickBot="1" x14ac:dyDescent="0.45">
      <c r="A47" s="68"/>
      <c r="B47" s="69"/>
      <c r="C47" s="69"/>
      <c r="D47" s="70"/>
      <c r="E47" s="71"/>
      <c r="F47" s="72"/>
      <c r="G47" s="70"/>
      <c r="H47" s="71"/>
      <c r="I47" s="72"/>
      <c r="J47" s="70"/>
      <c r="K47" s="71"/>
      <c r="L47" s="72"/>
      <c r="M47" s="70"/>
      <c r="N47" s="71"/>
      <c r="O47" s="72"/>
      <c r="P47" s="70"/>
      <c r="Q47" s="71"/>
      <c r="R47" s="72"/>
      <c r="S47" s="70"/>
      <c r="T47" s="71"/>
      <c r="U47" s="72"/>
      <c r="V47" s="70"/>
      <c r="W47" s="71"/>
      <c r="X47" s="72"/>
      <c r="Y47" s="70"/>
      <c r="Z47" s="71"/>
      <c r="AA47" s="72"/>
      <c r="AB47" s="70"/>
      <c r="AC47" s="71"/>
      <c r="AD47" s="72"/>
      <c r="AE47" s="70"/>
      <c r="AF47" s="71"/>
      <c r="AG47" s="72"/>
      <c r="AH47" s="70"/>
      <c r="AI47" s="71"/>
      <c r="AJ47" s="72"/>
      <c r="AK47" s="70"/>
      <c r="AL47" s="71"/>
      <c r="AM47" s="72"/>
      <c r="AN47" s="73"/>
      <c r="AO47" s="72"/>
      <c r="AP47" s="72"/>
    </row>
    <row r="48" spans="1:42" ht="15" thickBot="1" x14ac:dyDescent="0.45">
      <c r="A48" s="74" t="s">
        <v>67</v>
      </c>
      <c r="B48" s="75" t="s">
        <v>67</v>
      </c>
      <c r="C48" s="76"/>
      <c r="D48" s="56">
        <v>1231.1600000000001</v>
      </c>
      <c r="E48" s="57">
        <v>5784.86</v>
      </c>
      <c r="F48" s="77">
        <f>E48/D48</f>
        <v>4.6987069105558978</v>
      </c>
      <c r="G48" s="56">
        <v>757.36</v>
      </c>
      <c r="H48" s="57">
        <v>3554.62</v>
      </c>
      <c r="I48" s="77">
        <f>H48/G48</f>
        <v>4.693435090313721</v>
      </c>
      <c r="J48" s="56">
        <v>462.45</v>
      </c>
      <c r="K48" s="57">
        <v>2148.83</v>
      </c>
      <c r="L48" s="77">
        <f>K48/J48</f>
        <v>4.6466212563520379</v>
      </c>
      <c r="M48" s="96">
        <v>462.39</v>
      </c>
      <c r="N48" s="95">
        <v>2173.9699999999998</v>
      </c>
      <c r="O48" s="77">
        <f>N48/M48</f>
        <v>4.7015938926014833</v>
      </c>
      <c r="P48" s="56">
        <v>556</v>
      </c>
      <c r="Q48" s="57">
        <v>2631.09</v>
      </c>
      <c r="R48" s="77">
        <f>Q48/P48</f>
        <v>4.7321762589928058</v>
      </c>
      <c r="S48" s="56">
        <v>372</v>
      </c>
      <c r="T48" s="57">
        <v>1758.53</v>
      </c>
      <c r="U48" s="77">
        <f>T48/S48</f>
        <v>4.7272311827956992</v>
      </c>
      <c r="V48" s="56">
        <v>312.63</v>
      </c>
      <c r="W48" s="57">
        <v>1477.86</v>
      </c>
      <c r="X48" s="77">
        <f>W48/V48</f>
        <v>4.7271854908358124</v>
      </c>
      <c r="Y48" s="56">
        <v>401.36</v>
      </c>
      <c r="Z48" s="57">
        <v>1898.35</v>
      </c>
      <c r="AA48" s="77">
        <f>Z48/Y48</f>
        <v>4.7297937014151881</v>
      </c>
      <c r="AB48" s="56">
        <v>453.34</v>
      </c>
      <c r="AC48" s="57">
        <v>2144.29</v>
      </c>
      <c r="AD48" s="77">
        <f>AC48/AB48</f>
        <v>4.7299819120307056</v>
      </c>
      <c r="AE48" s="56">
        <v>466</v>
      </c>
      <c r="AF48" s="57">
        <v>2196.65</v>
      </c>
      <c r="AG48" s="77">
        <f>AF48/AE48</f>
        <v>4.7138412017167388</v>
      </c>
      <c r="AH48" s="56">
        <v>380.85</v>
      </c>
      <c r="AI48" s="57">
        <v>1787.46</v>
      </c>
      <c r="AJ48" s="77">
        <f>AI48/AH48</f>
        <v>4.6933438361559672</v>
      </c>
      <c r="AK48" s="56">
        <v>923.17</v>
      </c>
      <c r="AL48" s="57">
        <v>4334.25</v>
      </c>
      <c r="AM48" s="77">
        <f>AL48/AK48</f>
        <v>4.6949640911208119</v>
      </c>
      <c r="AN48" s="78">
        <f>AK48+AH48+AE48+AB48+Y48+V48+S48+P48+M48+J48+G48+D48</f>
        <v>6778.71</v>
      </c>
      <c r="AO48" s="79">
        <f>AL48+AI48+AF48+AC48+Z48+W48+T48+Q48+N48+K48+H48+E48</f>
        <v>31890.760000000006</v>
      </c>
      <c r="AP48" s="80">
        <f>AO48/AN48</f>
        <v>4.7045470303346812</v>
      </c>
    </row>
    <row r="49" spans="1:42" ht="15" thickBot="1" x14ac:dyDescent="0.45">
      <c r="A49" s="62" t="s">
        <v>64</v>
      </c>
      <c r="B49" s="63"/>
      <c r="C49" s="64"/>
      <c r="D49" s="65">
        <f>D48</f>
        <v>1231.1600000000001</v>
      </c>
      <c r="E49" s="66">
        <f>E48</f>
        <v>5784.86</v>
      </c>
      <c r="F49" s="67">
        <f>E49/D49</f>
        <v>4.6987069105558978</v>
      </c>
      <c r="G49" s="65">
        <f>G48</f>
        <v>757.36</v>
      </c>
      <c r="H49" s="66">
        <f>H48</f>
        <v>3554.62</v>
      </c>
      <c r="I49" s="67">
        <f>H49/G49</f>
        <v>4.693435090313721</v>
      </c>
      <c r="J49" s="65">
        <f>J48</f>
        <v>462.45</v>
      </c>
      <c r="K49" s="66">
        <f>K48</f>
        <v>2148.83</v>
      </c>
      <c r="L49" s="67">
        <f>K49/J49</f>
        <v>4.6466212563520379</v>
      </c>
      <c r="M49" s="65">
        <f>M48</f>
        <v>462.39</v>
      </c>
      <c r="N49" s="66">
        <f>N48</f>
        <v>2173.9699999999998</v>
      </c>
      <c r="O49" s="67">
        <f>N49/M49</f>
        <v>4.7015938926014833</v>
      </c>
      <c r="P49" s="65">
        <v>556.35</v>
      </c>
      <c r="Q49" s="66">
        <v>2631.09</v>
      </c>
      <c r="R49" s="67">
        <f>Q49/P49</f>
        <v>4.7291992450795366</v>
      </c>
      <c r="S49" s="65">
        <v>371.86</v>
      </c>
      <c r="T49" s="66">
        <v>1758.53</v>
      </c>
      <c r="U49" s="67">
        <f>T49/S49</f>
        <v>4.729010918087452</v>
      </c>
      <c r="V49" s="65">
        <v>312.63</v>
      </c>
      <c r="W49" s="66">
        <v>1477.86</v>
      </c>
      <c r="X49" s="67">
        <f>W49/V49</f>
        <v>4.7271854908358124</v>
      </c>
      <c r="Y49" s="65">
        <f>Y48</f>
        <v>401.36</v>
      </c>
      <c r="Z49" s="66">
        <f>Z48</f>
        <v>1898.35</v>
      </c>
      <c r="AA49" s="67">
        <f>Z49/Y49</f>
        <v>4.7297937014151881</v>
      </c>
      <c r="AB49" s="65">
        <f>AB48</f>
        <v>453.34</v>
      </c>
      <c r="AC49" s="66">
        <f>AC48</f>
        <v>2144.29</v>
      </c>
      <c r="AD49" s="67">
        <f>AC49/AB49</f>
        <v>4.7299819120307056</v>
      </c>
      <c r="AE49" s="65">
        <f>AE48</f>
        <v>466</v>
      </c>
      <c r="AF49" s="66">
        <f>AF48</f>
        <v>2196.65</v>
      </c>
      <c r="AG49" s="67">
        <f>AF49/AE49</f>
        <v>4.7138412017167388</v>
      </c>
      <c r="AH49" s="65">
        <f>AH48</f>
        <v>380.85</v>
      </c>
      <c r="AI49" s="66">
        <f>AI48</f>
        <v>1787.46</v>
      </c>
      <c r="AJ49" s="67">
        <f>AI49/AH49</f>
        <v>4.6933438361559672</v>
      </c>
      <c r="AK49" s="65">
        <f>AK48</f>
        <v>923.17</v>
      </c>
      <c r="AL49" s="66">
        <f>AL48</f>
        <v>4334.25</v>
      </c>
      <c r="AM49" s="67">
        <f>AL49/AK49</f>
        <v>4.6949640911208119</v>
      </c>
      <c r="AN49" s="65">
        <f>AN48</f>
        <v>6778.71</v>
      </c>
      <c r="AO49" s="66">
        <f>AO48</f>
        <v>31890.760000000006</v>
      </c>
      <c r="AP49" s="67">
        <f t="shared" ref="AP49" si="11">AO49/AN49</f>
        <v>4.7045470303346812</v>
      </c>
    </row>
    <row r="50" spans="1:42" ht="15" thickBot="1" x14ac:dyDescent="0.45">
      <c r="A50" s="68"/>
      <c r="B50" s="69"/>
      <c r="C50" s="69"/>
      <c r="D50" s="70"/>
      <c r="E50" s="71"/>
      <c r="F50" s="72"/>
      <c r="G50" s="70"/>
      <c r="H50" s="71"/>
      <c r="I50" s="72"/>
      <c r="J50" s="70"/>
      <c r="K50" s="71"/>
      <c r="L50" s="72"/>
      <c r="M50" s="70"/>
      <c r="N50" s="71"/>
      <c r="O50" s="72"/>
      <c r="P50" s="70"/>
      <c r="Q50" s="71"/>
      <c r="R50" s="72"/>
      <c r="S50" s="70"/>
      <c r="T50" s="71"/>
      <c r="U50" s="72"/>
      <c r="V50" s="70"/>
      <c r="W50" s="71"/>
      <c r="X50" s="72"/>
      <c r="Y50" s="70"/>
      <c r="Z50" s="71"/>
      <c r="AA50" s="72"/>
      <c r="AB50" s="70"/>
      <c r="AC50" s="71"/>
      <c r="AD50" s="72"/>
      <c r="AE50" s="70"/>
      <c r="AF50" s="71"/>
      <c r="AG50" s="72"/>
      <c r="AH50" s="70"/>
      <c r="AI50" s="71"/>
      <c r="AJ50" s="72"/>
      <c r="AK50" s="70"/>
      <c r="AL50" s="71"/>
      <c r="AM50" s="72"/>
      <c r="AN50" s="73"/>
      <c r="AO50" s="72"/>
      <c r="AP50" s="72"/>
    </row>
    <row r="51" spans="1:42" x14ac:dyDescent="0.4">
      <c r="A51" s="53" t="s">
        <v>68</v>
      </c>
      <c r="B51" s="54" t="s">
        <v>69</v>
      </c>
      <c r="C51" s="55"/>
      <c r="D51" s="56">
        <v>871</v>
      </c>
      <c r="E51" s="57">
        <v>1475.31</v>
      </c>
      <c r="F51" s="58">
        <f>E51/D51</f>
        <v>1.6938117106773822</v>
      </c>
      <c r="G51" s="56">
        <v>596</v>
      </c>
      <c r="H51" s="57">
        <v>975.94</v>
      </c>
      <c r="I51" s="58">
        <f>H51/G51</f>
        <v>1.6374832214765103</v>
      </c>
      <c r="J51" s="56">
        <v>641</v>
      </c>
      <c r="K51" s="57">
        <v>632.71</v>
      </c>
      <c r="L51" s="58">
        <f>K51/J51</f>
        <v>0.98706708268330734</v>
      </c>
      <c r="M51" s="56">
        <v>268</v>
      </c>
      <c r="N51" s="57">
        <v>284.06</v>
      </c>
      <c r="O51" s="58">
        <f>N51/M51</f>
        <v>1.0599253731343283</v>
      </c>
      <c r="P51" s="96">
        <v>279</v>
      </c>
      <c r="Q51" s="95">
        <v>302.39999999999998</v>
      </c>
      <c r="R51" s="97">
        <f>Q51/P51</f>
        <v>1.0838709677419354</v>
      </c>
      <c r="S51" s="56">
        <v>47</v>
      </c>
      <c r="T51" s="57">
        <v>64.3</v>
      </c>
      <c r="U51" s="58">
        <f>T51/S51</f>
        <v>1.3680851063829786</v>
      </c>
      <c r="V51" s="56">
        <v>46</v>
      </c>
      <c r="W51" s="57">
        <v>71.39</v>
      </c>
      <c r="X51" s="58">
        <f>W51/V51</f>
        <v>1.5519565217391305</v>
      </c>
      <c r="Y51" s="56">
        <v>44</v>
      </c>
      <c r="Z51" s="57">
        <v>45.06</v>
      </c>
      <c r="AA51" s="58">
        <f>Z51/Y51</f>
        <v>1.0240909090909092</v>
      </c>
      <c r="AB51" s="56">
        <v>51</v>
      </c>
      <c r="AC51" s="57">
        <v>56.71</v>
      </c>
      <c r="AD51" s="58">
        <f>AC51/AB51</f>
        <v>1.1119607843137256</v>
      </c>
      <c r="AE51" s="56">
        <v>163</v>
      </c>
      <c r="AF51" s="57">
        <v>226.98</v>
      </c>
      <c r="AG51" s="58">
        <f>AF51/AE51</f>
        <v>1.3925153374233128</v>
      </c>
      <c r="AH51" s="56">
        <v>206</v>
      </c>
      <c r="AI51" s="57">
        <v>294.77</v>
      </c>
      <c r="AJ51" s="58">
        <f>AI51/AH51</f>
        <v>1.4309223300970872</v>
      </c>
      <c r="AK51" s="56">
        <v>510</v>
      </c>
      <c r="AL51" s="57">
        <v>1273.8599999999999</v>
      </c>
      <c r="AM51" s="58">
        <f>AL51/AK51</f>
        <v>2.4977647058823527</v>
      </c>
      <c r="AN51" s="59">
        <f>AK51+AH51+AE51+AB51+Y51+V51+S51+P51+M51+J51+G51+D51</f>
        <v>3722</v>
      </c>
      <c r="AO51" s="60">
        <f>AL51+AI51+AF51+AC51+Z51+W51+T51+Q51+N51+K51+H51+E51</f>
        <v>5703.49</v>
      </c>
      <c r="AP51" s="61">
        <f>AO51/AN51</f>
        <v>1.5323723804406233</v>
      </c>
    </row>
    <row r="52" spans="1:42" ht="15" thickBot="1" x14ac:dyDescent="0.45">
      <c r="A52" s="62" t="s">
        <v>64</v>
      </c>
      <c r="B52" s="63"/>
      <c r="C52" s="64"/>
      <c r="D52" s="65">
        <f>D51</f>
        <v>871</v>
      </c>
      <c r="E52" s="66">
        <f>E51</f>
        <v>1475.31</v>
      </c>
      <c r="F52" s="67">
        <f>E52/D52</f>
        <v>1.6938117106773822</v>
      </c>
      <c r="G52" s="65">
        <f>G51</f>
        <v>596</v>
      </c>
      <c r="H52" s="66">
        <f>H51</f>
        <v>975.94</v>
      </c>
      <c r="I52" s="67">
        <f>H52/G52</f>
        <v>1.6374832214765103</v>
      </c>
      <c r="J52" s="65">
        <f>J51</f>
        <v>641</v>
      </c>
      <c r="K52" s="66">
        <f>K51</f>
        <v>632.71</v>
      </c>
      <c r="L52" s="67">
        <f>K52/J52</f>
        <v>0.98706708268330734</v>
      </c>
      <c r="M52" s="65">
        <f>M51</f>
        <v>268</v>
      </c>
      <c r="N52" s="66">
        <f>N51</f>
        <v>284.06</v>
      </c>
      <c r="O52" s="67">
        <f>N52/M52</f>
        <v>1.0599253731343283</v>
      </c>
      <c r="P52" s="65">
        <f>P51</f>
        <v>279</v>
      </c>
      <c r="Q52" s="66">
        <f>Q51</f>
        <v>302.39999999999998</v>
      </c>
      <c r="R52" s="67">
        <f>Q52/P52</f>
        <v>1.0838709677419354</v>
      </c>
      <c r="S52" s="65">
        <f>S51</f>
        <v>47</v>
      </c>
      <c r="T52" s="66">
        <f>T51</f>
        <v>64.3</v>
      </c>
      <c r="U52" s="67">
        <f>T52/S52</f>
        <v>1.3680851063829786</v>
      </c>
      <c r="V52" s="65">
        <v>46</v>
      </c>
      <c r="W52" s="66">
        <v>71.39</v>
      </c>
      <c r="X52" s="67">
        <f>W52/V52</f>
        <v>1.5519565217391305</v>
      </c>
      <c r="Y52" s="65">
        <f>Y51</f>
        <v>44</v>
      </c>
      <c r="Z52" s="66">
        <f>Z51</f>
        <v>45.06</v>
      </c>
      <c r="AA52" s="67">
        <f>Z52/Y52</f>
        <v>1.0240909090909092</v>
      </c>
      <c r="AB52" s="65">
        <f>AB51</f>
        <v>51</v>
      </c>
      <c r="AC52" s="66">
        <f>AC51</f>
        <v>56.71</v>
      </c>
      <c r="AD52" s="67">
        <f>AC52/AB52</f>
        <v>1.1119607843137256</v>
      </c>
      <c r="AE52" s="65">
        <f>AE51</f>
        <v>163</v>
      </c>
      <c r="AF52" s="66">
        <f>AF51</f>
        <v>226.98</v>
      </c>
      <c r="AG52" s="67">
        <f>AF52/AE52</f>
        <v>1.3925153374233128</v>
      </c>
      <c r="AH52" s="65">
        <f>AH51</f>
        <v>206</v>
      </c>
      <c r="AI52" s="66">
        <f>AI51</f>
        <v>294.77</v>
      </c>
      <c r="AJ52" s="67">
        <f>AI52/AH52</f>
        <v>1.4309223300970872</v>
      </c>
      <c r="AK52" s="65">
        <f>AK51</f>
        <v>510</v>
      </c>
      <c r="AL52" s="66">
        <f>AL51</f>
        <v>1273.8599999999999</v>
      </c>
      <c r="AM52" s="67">
        <f>AL52/AK52</f>
        <v>2.4977647058823527</v>
      </c>
      <c r="AN52" s="65">
        <f>AN51</f>
        <v>3722</v>
      </c>
      <c r="AO52" s="66">
        <f>AO51</f>
        <v>5703.49</v>
      </c>
      <c r="AP52" s="67">
        <f t="shared" ref="AP52" si="12">AO52/AN52</f>
        <v>1.5323723804406233</v>
      </c>
    </row>
    <row r="53" spans="1:42" ht="15" thickBot="1" x14ac:dyDescent="0.45">
      <c r="A53" s="68"/>
      <c r="B53" s="69"/>
      <c r="C53" s="69"/>
      <c r="D53" s="70"/>
      <c r="E53" s="71"/>
      <c r="F53" s="72"/>
      <c r="G53" s="70"/>
      <c r="H53" s="71"/>
      <c r="I53" s="72"/>
      <c r="J53" s="70"/>
      <c r="K53" s="71"/>
      <c r="L53" s="72"/>
      <c r="M53" s="70"/>
      <c r="N53" s="71"/>
      <c r="O53" s="72"/>
      <c r="P53" s="70"/>
      <c r="Q53" s="71"/>
      <c r="R53" s="72"/>
      <c r="S53" s="70"/>
      <c r="T53" s="71"/>
      <c r="U53" s="72"/>
      <c r="V53" s="70"/>
      <c r="W53" s="71"/>
      <c r="X53" s="72"/>
      <c r="Y53" s="70"/>
      <c r="Z53" s="71"/>
      <c r="AA53" s="72"/>
      <c r="AB53" s="70"/>
      <c r="AC53" s="71"/>
      <c r="AD53" s="72"/>
      <c r="AE53" s="70"/>
      <c r="AF53" s="71"/>
      <c r="AG53" s="72"/>
      <c r="AH53" s="70"/>
      <c r="AI53" s="71"/>
      <c r="AJ53" s="72"/>
      <c r="AK53" s="70"/>
      <c r="AL53" s="71"/>
      <c r="AM53" s="72"/>
      <c r="AN53" s="73"/>
      <c r="AO53" s="72"/>
      <c r="AP53" s="72"/>
    </row>
    <row r="54" spans="1:42" ht="15" thickBot="1" x14ac:dyDescent="0.45">
      <c r="A54" s="74" t="s">
        <v>70</v>
      </c>
      <c r="B54" s="75" t="s">
        <v>70</v>
      </c>
      <c r="C54" s="76"/>
      <c r="D54" s="56">
        <v>109.6</v>
      </c>
      <c r="E54" s="95">
        <v>185</v>
      </c>
      <c r="F54" s="77">
        <f>E54/D54</f>
        <v>1.6879562043795622</v>
      </c>
      <c r="G54" s="56">
        <v>75</v>
      </c>
      <c r="H54" s="95">
        <v>122.4</v>
      </c>
      <c r="I54" s="77">
        <f>H54/G54</f>
        <v>1.6320000000000001</v>
      </c>
      <c r="J54" s="56">
        <v>50.4</v>
      </c>
      <c r="K54" s="95">
        <v>49.59</v>
      </c>
      <c r="L54" s="77">
        <f>K54/J54</f>
        <v>0.98392857142857149</v>
      </c>
      <c r="M54" s="56">
        <v>32.5</v>
      </c>
      <c r="N54" s="95">
        <v>34.32</v>
      </c>
      <c r="O54" s="77">
        <f>N54/M54</f>
        <v>1.056</v>
      </c>
      <c r="P54" s="56">
        <v>8.4</v>
      </c>
      <c r="Q54" s="95">
        <v>9.07</v>
      </c>
      <c r="R54" s="77">
        <f>Q54/P54</f>
        <v>1.0797619047619047</v>
      </c>
      <c r="S54" s="56">
        <v>5.8</v>
      </c>
      <c r="T54" s="95">
        <v>7.93</v>
      </c>
      <c r="U54" s="77">
        <f>T54/S54</f>
        <v>1.3672413793103448</v>
      </c>
      <c r="V54" s="56">
        <v>7.6</v>
      </c>
      <c r="W54" s="95">
        <v>11.82</v>
      </c>
      <c r="X54" s="77">
        <f>W54/V54</f>
        <v>1.5552631578947369</v>
      </c>
      <c r="Y54" s="56">
        <v>7.1</v>
      </c>
      <c r="Z54" s="95">
        <v>7.28</v>
      </c>
      <c r="AA54" s="77">
        <f>Z54/Y54</f>
        <v>1.0253521126760565</v>
      </c>
      <c r="AB54" s="56">
        <v>7</v>
      </c>
      <c r="AC54" s="57">
        <v>7.79</v>
      </c>
      <c r="AD54" s="77">
        <f>AC54/AB54</f>
        <v>1.1128571428571428</v>
      </c>
      <c r="AE54" s="56">
        <v>26</v>
      </c>
      <c r="AF54" s="57">
        <v>36.020000000000003</v>
      </c>
      <c r="AG54" s="77">
        <f>AF54/AE54</f>
        <v>1.3853846153846154</v>
      </c>
      <c r="AH54" s="56">
        <v>35.5</v>
      </c>
      <c r="AI54" s="57">
        <v>50.6</v>
      </c>
      <c r="AJ54" s="77">
        <f>AI54/AH54</f>
        <v>1.4253521126760564</v>
      </c>
      <c r="AK54" s="56">
        <v>93.1</v>
      </c>
      <c r="AL54" s="57">
        <v>231.59</v>
      </c>
      <c r="AM54" s="77">
        <f>AL54/AK54</f>
        <v>2.4875402792696026</v>
      </c>
      <c r="AN54" s="78">
        <f>AK54+AH54+AE54+AB54+Y54+V54+S54+P54+M54+J54+G54+D54</f>
        <v>458</v>
      </c>
      <c r="AO54" s="79">
        <f>AL54+AI54+AF54+AC54+Z54+W54+T54+Q54+N54+K54+H54+E54</f>
        <v>753.41</v>
      </c>
      <c r="AP54" s="80">
        <f>AO54/AN54</f>
        <v>1.645</v>
      </c>
    </row>
    <row r="55" spans="1:42" ht="15" thickBot="1" x14ac:dyDescent="0.45">
      <c r="A55" s="62" t="s">
        <v>64</v>
      </c>
      <c r="B55" s="63"/>
      <c r="C55" s="64"/>
      <c r="D55" s="65">
        <f>D54</f>
        <v>109.6</v>
      </c>
      <c r="E55" s="66">
        <f>E54</f>
        <v>185</v>
      </c>
      <c r="F55" s="67">
        <f>E55/D55</f>
        <v>1.6879562043795622</v>
      </c>
      <c r="G55" s="65">
        <f>G54</f>
        <v>75</v>
      </c>
      <c r="H55" s="66">
        <f>H54</f>
        <v>122.4</v>
      </c>
      <c r="I55" s="67">
        <f>H55/G55</f>
        <v>1.6320000000000001</v>
      </c>
      <c r="J55" s="65">
        <f>J54</f>
        <v>50.4</v>
      </c>
      <c r="K55" s="66">
        <f>K54</f>
        <v>49.59</v>
      </c>
      <c r="L55" s="67">
        <f>K55/J55</f>
        <v>0.98392857142857149</v>
      </c>
      <c r="M55" s="65">
        <f>M54</f>
        <v>32.5</v>
      </c>
      <c r="N55" s="66">
        <f>N54</f>
        <v>34.32</v>
      </c>
      <c r="O55" s="67">
        <f>N55/M55</f>
        <v>1.056</v>
      </c>
      <c r="P55" s="65">
        <f>P54</f>
        <v>8.4</v>
      </c>
      <c r="Q55" s="66">
        <f>Q54</f>
        <v>9.07</v>
      </c>
      <c r="R55" s="67">
        <f>Q55/P55</f>
        <v>1.0797619047619047</v>
      </c>
      <c r="S55" s="65">
        <f>S54</f>
        <v>5.8</v>
      </c>
      <c r="T55" s="66">
        <f>T54</f>
        <v>7.93</v>
      </c>
      <c r="U55" s="67">
        <f>T55/S55</f>
        <v>1.3672413793103448</v>
      </c>
      <c r="V55" s="65">
        <f>V54</f>
        <v>7.6</v>
      </c>
      <c r="W55" s="66">
        <f>W54</f>
        <v>11.82</v>
      </c>
      <c r="X55" s="67">
        <f>W55/V55</f>
        <v>1.5552631578947369</v>
      </c>
      <c r="Y55" s="65">
        <f>Y54</f>
        <v>7.1</v>
      </c>
      <c r="Z55" s="66">
        <f>Z54</f>
        <v>7.28</v>
      </c>
      <c r="AA55" s="67">
        <f>Z55/Y55</f>
        <v>1.0253521126760565</v>
      </c>
      <c r="AB55" s="65">
        <f>AB54</f>
        <v>7</v>
      </c>
      <c r="AC55" s="66">
        <f>AC54</f>
        <v>7.79</v>
      </c>
      <c r="AD55" s="67">
        <f>AC55/AB55</f>
        <v>1.1128571428571428</v>
      </c>
      <c r="AE55" s="65">
        <f>AE54</f>
        <v>26</v>
      </c>
      <c r="AF55" s="66">
        <f>AF54</f>
        <v>36.020000000000003</v>
      </c>
      <c r="AG55" s="67">
        <f>AF55/AE55</f>
        <v>1.3853846153846154</v>
      </c>
      <c r="AH55" s="65">
        <f>AH54</f>
        <v>35.5</v>
      </c>
      <c r="AI55" s="66">
        <f>AI54</f>
        <v>50.6</v>
      </c>
      <c r="AJ55" s="67">
        <f>AI55/AH55</f>
        <v>1.4253521126760564</v>
      </c>
      <c r="AK55" s="65">
        <f>AK54</f>
        <v>93.1</v>
      </c>
      <c r="AL55" s="66">
        <f>AL54</f>
        <v>231.59</v>
      </c>
      <c r="AM55" s="67">
        <f>AL55/AK55</f>
        <v>2.4875402792696026</v>
      </c>
      <c r="AN55" s="65">
        <f>AN54</f>
        <v>458</v>
      </c>
      <c r="AO55" s="66">
        <f>AO54</f>
        <v>753.41</v>
      </c>
      <c r="AP55" s="67">
        <f t="shared" ref="AP55" si="13">AO55/AN55</f>
        <v>1.645</v>
      </c>
    </row>
    <row r="56" spans="1:42" ht="15" thickBot="1" x14ac:dyDescent="0.45">
      <c r="A56" s="68"/>
      <c r="B56" s="69"/>
      <c r="C56" s="69"/>
      <c r="D56" s="70"/>
      <c r="E56" s="71"/>
      <c r="F56" s="72"/>
      <c r="G56" s="70"/>
      <c r="H56" s="71"/>
      <c r="I56" s="72"/>
      <c r="J56" s="70"/>
      <c r="K56" s="71"/>
      <c r="L56" s="72"/>
      <c r="M56" s="70"/>
      <c r="N56" s="71"/>
      <c r="O56" s="72"/>
      <c r="P56" s="70"/>
      <c r="Q56" s="71"/>
      <c r="R56" s="72"/>
      <c r="S56" s="70"/>
      <c r="T56" s="71"/>
      <c r="U56" s="72"/>
      <c r="V56" s="70"/>
      <c r="W56" s="71"/>
      <c r="X56" s="72"/>
      <c r="Y56" s="70"/>
      <c r="Z56" s="71"/>
      <c r="AA56" s="72"/>
      <c r="AB56" s="70"/>
      <c r="AC56" s="71"/>
      <c r="AD56" s="72"/>
      <c r="AE56" s="70"/>
      <c r="AF56" s="71"/>
      <c r="AG56" s="72"/>
      <c r="AH56" s="70"/>
      <c r="AI56" s="71"/>
      <c r="AJ56" s="72"/>
      <c r="AK56" s="70"/>
      <c r="AL56" s="71"/>
      <c r="AM56" s="72"/>
      <c r="AN56" s="73"/>
      <c r="AO56" s="72"/>
      <c r="AP56" s="72"/>
    </row>
    <row r="57" spans="1:42" ht="15" thickBot="1" x14ac:dyDescent="0.45">
      <c r="A57" s="74" t="s">
        <v>71</v>
      </c>
      <c r="B57" s="75" t="s">
        <v>72</v>
      </c>
      <c r="C57" s="76"/>
      <c r="D57" s="56">
        <v>147.69999999999999</v>
      </c>
      <c r="E57" s="57">
        <v>775.43</v>
      </c>
      <c r="F57" s="77">
        <f>E57/D57</f>
        <v>5.2500338524035204</v>
      </c>
      <c r="G57" s="56">
        <v>101.3</v>
      </c>
      <c r="H57" s="57">
        <v>531.83000000000004</v>
      </c>
      <c r="I57" s="77">
        <f>H57/G57</f>
        <v>5.2500493583415606</v>
      </c>
      <c r="J57" s="56">
        <v>66.400000000000006</v>
      </c>
      <c r="K57" s="57">
        <v>348.6</v>
      </c>
      <c r="L57" s="77">
        <f>K57/J57</f>
        <v>5.25</v>
      </c>
      <c r="M57" s="56">
        <v>43.8</v>
      </c>
      <c r="N57" s="95">
        <v>229.95</v>
      </c>
      <c r="O57" s="77">
        <f>N57/M57</f>
        <v>5.25</v>
      </c>
      <c r="P57" s="56">
        <v>7.7</v>
      </c>
      <c r="Q57" s="95">
        <v>40.43</v>
      </c>
      <c r="R57" s="77">
        <f>Q57/P57</f>
        <v>5.2506493506493506</v>
      </c>
      <c r="S57" s="56">
        <v>2.6</v>
      </c>
      <c r="T57" s="95">
        <v>13.65</v>
      </c>
      <c r="U57" s="77">
        <f>T57/S57</f>
        <v>5.25</v>
      </c>
      <c r="V57" s="56">
        <v>1.3</v>
      </c>
      <c r="W57" s="95">
        <v>6.85</v>
      </c>
      <c r="X57" s="77">
        <f>W57/V57</f>
        <v>5.2692307692307692</v>
      </c>
      <c r="Y57" s="56">
        <v>1.2</v>
      </c>
      <c r="Z57" s="95">
        <v>6.3</v>
      </c>
      <c r="AA57" s="77">
        <f>Z57/Y57</f>
        <v>5.25</v>
      </c>
      <c r="AB57" s="56">
        <v>3.4</v>
      </c>
      <c r="AC57" s="57">
        <v>17.850000000000001</v>
      </c>
      <c r="AD57" s="77">
        <f>AC57/AB57</f>
        <v>5.2500000000000009</v>
      </c>
      <c r="AE57" s="56">
        <v>25.2</v>
      </c>
      <c r="AF57" s="57">
        <v>132.30000000000001</v>
      </c>
      <c r="AG57" s="77">
        <f>AF57/AE57</f>
        <v>5.2500000000000009</v>
      </c>
      <c r="AH57" s="56">
        <v>36.1</v>
      </c>
      <c r="AI57" s="57">
        <v>189.53</v>
      </c>
      <c r="AJ57" s="77">
        <f>AI57/AH57</f>
        <v>5.2501385041551245</v>
      </c>
      <c r="AK57" s="56">
        <v>106.8</v>
      </c>
      <c r="AL57" s="57">
        <v>560.70000000000005</v>
      </c>
      <c r="AM57" s="77">
        <f>AL57/AK57</f>
        <v>5.2500000000000009</v>
      </c>
      <c r="AN57" s="78">
        <f>AK57+AH57+AE57+AB57+Y57+V57+S57+P57+M57+J57+G57+D57</f>
        <v>543.5</v>
      </c>
      <c r="AO57" s="79">
        <f>AL57+AI57+AF57+AC57+Z57+W57+T57+Q57+N57+K57+H57+E57</f>
        <v>2853.4199999999996</v>
      </c>
      <c r="AP57" s="80">
        <f>AO57/AN57</f>
        <v>5.2500827966881314</v>
      </c>
    </row>
    <row r="58" spans="1:42" ht="15" thickBot="1" x14ac:dyDescent="0.45">
      <c r="A58" s="62" t="s">
        <v>64</v>
      </c>
      <c r="B58" s="63"/>
      <c r="C58" s="64"/>
      <c r="D58" s="65">
        <f>D57</f>
        <v>147.69999999999999</v>
      </c>
      <c r="E58" s="66">
        <f>E57</f>
        <v>775.43</v>
      </c>
      <c r="F58" s="67">
        <f>E58/D58</f>
        <v>5.2500338524035204</v>
      </c>
      <c r="G58" s="65">
        <f>G57</f>
        <v>101.3</v>
      </c>
      <c r="H58" s="66">
        <f>H57</f>
        <v>531.83000000000004</v>
      </c>
      <c r="I58" s="67">
        <f>H58/G58</f>
        <v>5.2500493583415606</v>
      </c>
      <c r="J58" s="65">
        <f>J57</f>
        <v>66.400000000000006</v>
      </c>
      <c r="K58" s="66">
        <f>K57</f>
        <v>348.6</v>
      </c>
      <c r="L58" s="67">
        <f>K58/J58</f>
        <v>5.25</v>
      </c>
      <c r="M58" s="65">
        <f>M57</f>
        <v>43.8</v>
      </c>
      <c r="N58" s="66">
        <f>N57</f>
        <v>229.95</v>
      </c>
      <c r="O58" s="67">
        <f>N58/M58</f>
        <v>5.25</v>
      </c>
      <c r="P58" s="65">
        <f>P57</f>
        <v>7.7</v>
      </c>
      <c r="Q58" s="66">
        <f>Q57</f>
        <v>40.43</v>
      </c>
      <c r="R58" s="67">
        <f>Q58/P58</f>
        <v>5.2506493506493506</v>
      </c>
      <c r="S58" s="65">
        <f>S57</f>
        <v>2.6</v>
      </c>
      <c r="T58" s="66">
        <f>T57</f>
        <v>13.65</v>
      </c>
      <c r="U58" s="67">
        <f>T58/S58</f>
        <v>5.25</v>
      </c>
      <c r="V58" s="65">
        <f>V57</f>
        <v>1.3</v>
      </c>
      <c r="W58" s="66">
        <f>W57</f>
        <v>6.85</v>
      </c>
      <c r="X58" s="67">
        <f>W58/V58</f>
        <v>5.2692307692307692</v>
      </c>
      <c r="Y58" s="65">
        <f>Y57</f>
        <v>1.2</v>
      </c>
      <c r="Z58" s="66">
        <f>Z57</f>
        <v>6.3</v>
      </c>
      <c r="AA58" s="67">
        <f>Z58/Y58</f>
        <v>5.25</v>
      </c>
      <c r="AB58" s="65">
        <f>AB57</f>
        <v>3.4</v>
      </c>
      <c r="AC58" s="66">
        <f>AC57</f>
        <v>17.850000000000001</v>
      </c>
      <c r="AD58" s="67">
        <f>AC58/AB58</f>
        <v>5.2500000000000009</v>
      </c>
      <c r="AE58" s="65">
        <f>AE57</f>
        <v>25.2</v>
      </c>
      <c r="AF58" s="66">
        <f>AF57</f>
        <v>132.30000000000001</v>
      </c>
      <c r="AG58" s="67">
        <f>AF58/AE58</f>
        <v>5.2500000000000009</v>
      </c>
      <c r="AH58" s="65">
        <f>AH57</f>
        <v>36.1</v>
      </c>
      <c r="AI58" s="66">
        <f>AI57</f>
        <v>189.53</v>
      </c>
      <c r="AJ58" s="67">
        <f>AI58/AH58</f>
        <v>5.2501385041551245</v>
      </c>
      <c r="AK58" s="65">
        <f>AK57</f>
        <v>106.8</v>
      </c>
      <c r="AL58" s="66">
        <f>AL57</f>
        <v>560.70000000000005</v>
      </c>
      <c r="AM58" s="67">
        <f>AL58/AK58</f>
        <v>5.2500000000000009</v>
      </c>
      <c r="AN58" s="65">
        <f>AN57</f>
        <v>543.5</v>
      </c>
      <c r="AO58" s="66">
        <f>AO57</f>
        <v>2853.4199999999996</v>
      </c>
      <c r="AP58" s="67">
        <f t="shared" ref="AP58" si="14">AO58/AN58</f>
        <v>5.2500827966881314</v>
      </c>
    </row>
    <row r="59" spans="1:42" ht="15" thickBot="1" x14ac:dyDescent="0.45">
      <c r="A59" s="68"/>
      <c r="B59" s="69"/>
      <c r="C59" s="69"/>
      <c r="D59" s="81"/>
      <c r="E59" s="82"/>
      <c r="F59" s="83"/>
      <c r="G59" s="81"/>
      <c r="H59" s="82"/>
      <c r="I59" s="83"/>
      <c r="J59" s="81"/>
      <c r="K59" s="82"/>
      <c r="L59" s="83"/>
      <c r="M59" s="81"/>
      <c r="N59" s="82"/>
      <c r="O59" s="83"/>
      <c r="P59" s="81"/>
      <c r="Q59" s="82"/>
      <c r="R59" s="83"/>
      <c r="S59" s="81"/>
      <c r="T59" s="82"/>
      <c r="U59" s="83"/>
      <c r="V59" s="81"/>
      <c r="W59" s="82"/>
      <c r="X59" s="83"/>
      <c r="Y59" s="81"/>
      <c r="Z59" s="82"/>
      <c r="AA59" s="83"/>
      <c r="AB59" s="81"/>
      <c r="AC59" s="82"/>
      <c r="AD59" s="83"/>
      <c r="AE59" s="81"/>
      <c r="AF59" s="82"/>
      <c r="AG59" s="83"/>
      <c r="AH59" s="81"/>
      <c r="AI59" s="82"/>
      <c r="AJ59" s="83"/>
      <c r="AK59" s="81"/>
      <c r="AL59" s="82"/>
      <c r="AM59" s="83"/>
      <c r="AN59" s="81"/>
      <c r="AO59" s="82"/>
      <c r="AP59" s="83"/>
    </row>
    <row r="60" spans="1:42" ht="15" thickBot="1" x14ac:dyDescent="0.45">
      <c r="A60" s="74" t="s">
        <v>73</v>
      </c>
      <c r="B60" s="75" t="s">
        <v>74</v>
      </c>
      <c r="C60" s="76"/>
      <c r="D60" s="56">
        <v>58.250999999999998</v>
      </c>
      <c r="E60" s="57">
        <v>203.88</v>
      </c>
      <c r="F60" s="77">
        <f>E60/D60</f>
        <v>3.5000257506308907</v>
      </c>
      <c r="G60" s="56">
        <v>40.33</v>
      </c>
      <c r="H60" s="57">
        <v>141.16999999999999</v>
      </c>
      <c r="I60" s="77">
        <f>H60/G60</f>
        <v>3.500371931564592</v>
      </c>
      <c r="J60" s="56">
        <v>28.33</v>
      </c>
      <c r="K60" s="57">
        <v>98.78</v>
      </c>
      <c r="L60" s="77">
        <f>K60/J60</f>
        <v>3.4867631486057187</v>
      </c>
      <c r="M60" s="56">
        <v>19.914999999999999</v>
      </c>
      <c r="N60" s="57">
        <v>69.7</v>
      </c>
      <c r="O60" s="77">
        <f>N60/M60</f>
        <v>3.499874466482551</v>
      </c>
      <c r="P60" s="56">
        <v>4.9000000000000004</v>
      </c>
      <c r="Q60" s="57">
        <v>17.149999999999999</v>
      </c>
      <c r="R60" s="77">
        <f>Q60/P60</f>
        <v>3.4999999999999996</v>
      </c>
      <c r="S60" s="56">
        <v>2.5</v>
      </c>
      <c r="T60" s="95">
        <v>8.75</v>
      </c>
      <c r="U60" s="77">
        <f>T60/S60</f>
        <v>3.5</v>
      </c>
      <c r="V60" s="56">
        <v>2.7</v>
      </c>
      <c r="W60" s="95">
        <v>9.4499999999999993</v>
      </c>
      <c r="X60" s="77">
        <f>W60/V60</f>
        <v>3.4999999999999996</v>
      </c>
      <c r="Y60" s="56">
        <v>2.4</v>
      </c>
      <c r="Z60" s="95">
        <v>8.4</v>
      </c>
      <c r="AA60" s="77">
        <f>Z60/Y60</f>
        <v>3.5000000000000004</v>
      </c>
      <c r="AB60" s="56">
        <v>3.702</v>
      </c>
      <c r="AC60" s="57">
        <v>12.96</v>
      </c>
      <c r="AD60" s="77">
        <f>AC60/AB60</f>
        <v>3.500810372771475</v>
      </c>
      <c r="AE60" s="56">
        <v>16.715</v>
      </c>
      <c r="AF60" s="57">
        <v>58.5</v>
      </c>
      <c r="AG60" s="77">
        <f>AF60/AE60</f>
        <v>3.4998504337421479</v>
      </c>
      <c r="AH60" s="56">
        <v>20.818000000000001</v>
      </c>
      <c r="AI60" s="57">
        <v>72.86</v>
      </c>
      <c r="AJ60" s="77">
        <f>AI60/AH60</f>
        <v>3.4998558939379381</v>
      </c>
      <c r="AK60" s="56">
        <v>45.64</v>
      </c>
      <c r="AL60" s="57">
        <v>159.74</v>
      </c>
      <c r="AM60" s="77">
        <f>AL60/AK60</f>
        <v>3.5</v>
      </c>
      <c r="AN60" s="78">
        <f>AK60+AH60+AE60+AB60+Y60+V60+S60+P60+M60+J60+G60+D60</f>
        <v>246.20099999999999</v>
      </c>
      <c r="AO60" s="79">
        <f>AL60+AI60+AF60+AC60+Z60+W60+T60+Q60+N60+K60+H60+E60</f>
        <v>861.33999999999992</v>
      </c>
      <c r="AP60" s="80">
        <f>AO60/AN60</f>
        <v>3.4985235640797558</v>
      </c>
    </row>
    <row r="61" spans="1:42" ht="15" thickBot="1" x14ac:dyDescent="0.45">
      <c r="A61" s="62" t="s">
        <v>64</v>
      </c>
      <c r="B61" s="63"/>
      <c r="C61" s="64"/>
      <c r="D61" s="65">
        <f>D60</f>
        <v>58.250999999999998</v>
      </c>
      <c r="E61" s="66">
        <f>E60</f>
        <v>203.88</v>
      </c>
      <c r="F61" s="67">
        <f>E61/D61</f>
        <v>3.5000257506308907</v>
      </c>
      <c r="G61" s="65">
        <f>G60</f>
        <v>40.33</v>
      </c>
      <c r="H61" s="66">
        <f>H60</f>
        <v>141.16999999999999</v>
      </c>
      <c r="I61" s="67">
        <f>H61/G61</f>
        <v>3.500371931564592</v>
      </c>
      <c r="J61" s="65">
        <f>J60</f>
        <v>28.33</v>
      </c>
      <c r="K61" s="66">
        <f>K60</f>
        <v>98.78</v>
      </c>
      <c r="L61" s="67">
        <f>K61/J61</f>
        <v>3.4867631486057187</v>
      </c>
      <c r="M61" s="65">
        <f>M60</f>
        <v>19.914999999999999</v>
      </c>
      <c r="N61" s="66">
        <f>N60</f>
        <v>69.7</v>
      </c>
      <c r="O61" s="67">
        <f>N61/M61</f>
        <v>3.499874466482551</v>
      </c>
      <c r="P61" s="65">
        <f>P60</f>
        <v>4.9000000000000004</v>
      </c>
      <c r="Q61" s="66">
        <f>Q60</f>
        <v>17.149999999999999</v>
      </c>
      <c r="R61" s="67">
        <f>Q61/P61</f>
        <v>3.4999999999999996</v>
      </c>
      <c r="S61" s="65">
        <f>S60</f>
        <v>2.5</v>
      </c>
      <c r="T61" s="66">
        <f>T60</f>
        <v>8.75</v>
      </c>
      <c r="U61" s="67">
        <f>T61/S61</f>
        <v>3.5</v>
      </c>
      <c r="V61" s="65">
        <f>V60</f>
        <v>2.7</v>
      </c>
      <c r="W61" s="66">
        <f>W60</f>
        <v>9.4499999999999993</v>
      </c>
      <c r="X61" s="67">
        <f>W61/V61</f>
        <v>3.4999999999999996</v>
      </c>
      <c r="Y61" s="65">
        <f>Y60</f>
        <v>2.4</v>
      </c>
      <c r="Z61" s="66">
        <f>Z60</f>
        <v>8.4</v>
      </c>
      <c r="AA61" s="67">
        <f>Z61/Y61</f>
        <v>3.5000000000000004</v>
      </c>
      <c r="AB61" s="65">
        <f>AB60</f>
        <v>3.702</v>
      </c>
      <c r="AC61" s="66">
        <f>AC60</f>
        <v>12.96</v>
      </c>
      <c r="AD61" s="67">
        <f>AC61/AB61</f>
        <v>3.500810372771475</v>
      </c>
      <c r="AE61" s="65">
        <f>AE60</f>
        <v>16.715</v>
      </c>
      <c r="AF61" s="66">
        <f>AF60</f>
        <v>58.5</v>
      </c>
      <c r="AG61" s="67">
        <f>AF61/AE61</f>
        <v>3.4998504337421479</v>
      </c>
      <c r="AH61" s="65">
        <f>AH60</f>
        <v>20.818000000000001</v>
      </c>
      <c r="AI61" s="66">
        <f>AI60</f>
        <v>72.86</v>
      </c>
      <c r="AJ61" s="67">
        <f>AI61/AH61</f>
        <v>3.4998558939379381</v>
      </c>
      <c r="AK61" s="65">
        <f>AK60</f>
        <v>45.64</v>
      </c>
      <c r="AL61" s="66">
        <f>AL60</f>
        <v>159.74</v>
      </c>
      <c r="AM61" s="67">
        <f>AL61/AK61</f>
        <v>3.5</v>
      </c>
      <c r="AN61" s="65">
        <f>AN60</f>
        <v>246.20099999999999</v>
      </c>
      <c r="AO61" s="66">
        <f>AO60</f>
        <v>861.33999999999992</v>
      </c>
      <c r="AP61" s="67">
        <f t="shared" ref="AP61" si="15">AO61/AN61</f>
        <v>3.4985235640797558</v>
      </c>
    </row>
    <row r="62" spans="1:42" ht="15" thickBot="1" x14ac:dyDescent="0.45">
      <c r="A62" s="68"/>
      <c r="B62" s="69"/>
      <c r="C62" s="69"/>
      <c r="D62" s="81"/>
      <c r="E62" s="82"/>
      <c r="F62" s="72"/>
      <c r="G62" s="81"/>
      <c r="H62" s="82"/>
      <c r="I62" s="72"/>
      <c r="J62" s="81"/>
      <c r="K62" s="82"/>
      <c r="L62" s="72"/>
      <c r="M62" s="81"/>
      <c r="N62" s="82"/>
      <c r="O62" s="72"/>
      <c r="P62" s="81"/>
      <c r="Q62" s="82"/>
      <c r="R62" s="72"/>
      <c r="S62" s="81"/>
      <c r="T62" s="82"/>
      <c r="U62" s="72"/>
      <c r="V62" s="81"/>
      <c r="W62" s="82"/>
      <c r="X62" s="72"/>
      <c r="Y62" s="81"/>
      <c r="Z62" s="82"/>
      <c r="AA62" s="72"/>
      <c r="AB62" s="81"/>
      <c r="AC62" s="82"/>
      <c r="AD62" s="72"/>
      <c r="AE62" s="81"/>
      <c r="AF62" s="82"/>
      <c r="AG62" s="72"/>
      <c r="AH62" s="81"/>
      <c r="AI62" s="82"/>
      <c r="AJ62" s="72"/>
      <c r="AK62" s="81"/>
      <c r="AL62" s="82"/>
      <c r="AM62" s="72"/>
      <c r="AN62" s="81"/>
      <c r="AO62" s="82"/>
      <c r="AP62" s="72"/>
    </row>
    <row r="63" spans="1:42" ht="15" thickBot="1" x14ac:dyDescent="0.45">
      <c r="A63" s="74" t="s">
        <v>75</v>
      </c>
      <c r="B63" s="75" t="s">
        <v>80</v>
      </c>
      <c r="C63" s="76"/>
      <c r="D63" s="56">
        <v>66.8</v>
      </c>
      <c r="E63" s="57">
        <v>308.3</v>
      </c>
      <c r="F63" s="77">
        <f>E63/D63</f>
        <v>4.6152694610778449</v>
      </c>
      <c r="G63" s="56">
        <v>46.9</v>
      </c>
      <c r="H63" s="57">
        <v>216.45</v>
      </c>
      <c r="I63" s="77">
        <f>H63/G63</f>
        <v>4.6151385927505331</v>
      </c>
      <c r="J63" s="56">
        <v>36.799999999999997</v>
      </c>
      <c r="K63" s="57">
        <v>169.84</v>
      </c>
      <c r="L63" s="77">
        <f>K63/J63</f>
        <v>4.6152173913043484</v>
      </c>
      <c r="M63" s="56">
        <v>26.3</v>
      </c>
      <c r="N63" s="57">
        <v>121.38</v>
      </c>
      <c r="O63" s="77">
        <f>N63/M63</f>
        <v>4.6152091254752845</v>
      </c>
      <c r="P63" s="56">
        <v>11</v>
      </c>
      <c r="Q63" s="57">
        <v>50.77</v>
      </c>
      <c r="R63" s="77">
        <f>Q63/P63</f>
        <v>4.6154545454545461</v>
      </c>
      <c r="S63" s="56">
        <v>6.6</v>
      </c>
      <c r="T63" s="57">
        <v>30.46</v>
      </c>
      <c r="U63" s="77">
        <f>T63/S63</f>
        <v>4.6151515151515152</v>
      </c>
      <c r="V63" s="56">
        <v>6.9</v>
      </c>
      <c r="W63" s="57">
        <v>31.84</v>
      </c>
      <c r="X63" s="77">
        <f>W63/V63</f>
        <v>4.6144927536231881</v>
      </c>
      <c r="Y63" s="56">
        <v>6.6</v>
      </c>
      <c r="Z63" s="57">
        <v>30.46</v>
      </c>
      <c r="AA63" s="77">
        <f>Z63/Y63</f>
        <v>4.6151515151515152</v>
      </c>
      <c r="AB63" s="56">
        <v>9.1</v>
      </c>
      <c r="AC63" s="57">
        <v>42</v>
      </c>
      <c r="AD63" s="77">
        <f>AC63/AB63</f>
        <v>4.6153846153846159</v>
      </c>
      <c r="AE63" s="56">
        <v>24.5</v>
      </c>
      <c r="AF63" s="57">
        <v>113.15</v>
      </c>
      <c r="AG63" s="77">
        <f>AF63/AE63</f>
        <v>4.6183673469387756</v>
      </c>
      <c r="AH63" s="56">
        <v>29.5</v>
      </c>
      <c r="AI63" s="57">
        <v>136.15</v>
      </c>
      <c r="AJ63" s="77">
        <f>AI63/AH63</f>
        <v>4.615254237288136</v>
      </c>
      <c r="AK63" s="56">
        <v>60.8</v>
      </c>
      <c r="AL63" s="57">
        <v>280.60000000000002</v>
      </c>
      <c r="AM63" s="77">
        <f>AL63/AK63</f>
        <v>4.615131578947369</v>
      </c>
      <c r="AN63" s="78">
        <f>AK63+AH63+AE63+AB63+Y63+V63+S63+P63+M63+J63+G63+D63</f>
        <v>331.8</v>
      </c>
      <c r="AO63" s="79">
        <f>AL63+AI63+AF63+AC63+Z63+W63+T63+Q63+N63+K63+H63+E63</f>
        <v>1531.4</v>
      </c>
      <c r="AP63" s="80">
        <f>AO63/AN63</f>
        <v>4.6154309825195901</v>
      </c>
    </row>
    <row r="64" spans="1:42" ht="15" thickBot="1" x14ac:dyDescent="0.45">
      <c r="A64" s="62" t="s">
        <v>64</v>
      </c>
      <c r="B64" s="63"/>
      <c r="C64" s="64"/>
      <c r="D64" s="65">
        <f>D63</f>
        <v>66.8</v>
      </c>
      <c r="E64" s="66">
        <f>E63</f>
        <v>308.3</v>
      </c>
      <c r="F64" s="67">
        <f>E64/D64</f>
        <v>4.6152694610778449</v>
      </c>
      <c r="G64" s="65">
        <f>G63</f>
        <v>46.9</v>
      </c>
      <c r="H64" s="66">
        <f>H63</f>
        <v>216.45</v>
      </c>
      <c r="I64" s="67">
        <f>H64/G64</f>
        <v>4.6151385927505331</v>
      </c>
      <c r="J64" s="65">
        <f>J63</f>
        <v>36.799999999999997</v>
      </c>
      <c r="K64" s="66">
        <f>K63</f>
        <v>169.84</v>
      </c>
      <c r="L64" s="67">
        <f>K64/J64</f>
        <v>4.6152173913043484</v>
      </c>
      <c r="M64" s="65">
        <f>M63</f>
        <v>26.3</v>
      </c>
      <c r="N64" s="66">
        <f>N63</f>
        <v>121.38</v>
      </c>
      <c r="O64" s="67">
        <f>N64/M64</f>
        <v>4.6152091254752845</v>
      </c>
      <c r="P64" s="65">
        <f>P63</f>
        <v>11</v>
      </c>
      <c r="Q64" s="66">
        <f>Q63</f>
        <v>50.77</v>
      </c>
      <c r="R64" s="67">
        <f>Q64/P64</f>
        <v>4.6154545454545461</v>
      </c>
      <c r="S64" s="65">
        <f>S63</f>
        <v>6.6</v>
      </c>
      <c r="T64" s="66">
        <f>T63</f>
        <v>30.46</v>
      </c>
      <c r="U64" s="67">
        <f>T64/S64</f>
        <v>4.6151515151515152</v>
      </c>
      <c r="V64" s="65">
        <f>V63</f>
        <v>6.9</v>
      </c>
      <c r="W64" s="66">
        <f>W63</f>
        <v>31.84</v>
      </c>
      <c r="X64" s="67">
        <f>W64/V64</f>
        <v>4.6144927536231881</v>
      </c>
      <c r="Y64" s="65">
        <f>Y63</f>
        <v>6.6</v>
      </c>
      <c r="Z64" s="66">
        <f>Z63</f>
        <v>30.46</v>
      </c>
      <c r="AA64" s="67">
        <f>Z64/Y64</f>
        <v>4.6151515151515152</v>
      </c>
      <c r="AB64" s="65">
        <f>AB63</f>
        <v>9.1</v>
      </c>
      <c r="AC64" s="66">
        <f>AC63</f>
        <v>42</v>
      </c>
      <c r="AD64" s="67">
        <f>AC64/AB64</f>
        <v>4.6153846153846159</v>
      </c>
      <c r="AE64" s="65">
        <f>AE63</f>
        <v>24.5</v>
      </c>
      <c r="AF64" s="66">
        <f>AF63</f>
        <v>113.15</v>
      </c>
      <c r="AG64" s="67">
        <f>AF64/AE64</f>
        <v>4.6183673469387756</v>
      </c>
      <c r="AH64" s="65">
        <f>AH63</f>
        <v>29.5</v>
      </c>
      <c r="AI64" s="66">
        <f>AI63</f>
        <v>136.15</v>
      </c>
      <c r="AJ64" s="67">
        <f>AI64/AH64</f>
        <v>4.615254237288136</v>
      </c>
      <c r="AK64" s="65">
        <f>AK63</f>
        <v>60.8</v>
      </c>
      <c r="AL64" s="66">
        <f>AL63</f>
        <v>280.60000000000002</v>
      </c>
      <c r="AM64" s="67">
        <f>AL64/AK64</f>
        <v>4.615131578947369</v>
      </c>
      <c r="AN64" s="65">
        <f>AN63</f>
        <v>331.8</v>
      </c>
      <c r="AO64" s="66">
        <f>AO63</f>
        <v>1531.4</v>
      </c>
      <c r="AP64" s="67">
        <f t="shared" ref="AP64" si="16">AO64/AN64</f>
        <v>4.6154309825195901</v>
      </c>
    </row>
    <row r="65" spans="1:42" ht="15" thickBot="1" x14ac:dyDescent="0.45">
      <c r="A65" s="68"/>
      <c r="B65" s="69"/>
      <c r="C65" s="69"/>
      <c r="D65" s="81"/>
      <c r="E65" s="82"/>
      <c r="F65" s="72"/>
      <c r="G65" s="81"/>
      <c r="H65" s="82"/>
      <c r="I65" s="72"/>
      <c r="J65" s="81"/>
      <c r="K65" s="82"/>
      <c r="L65" s="72"/>
      <c r="M65" s="81"/>
      <c r="N65" s="82"/>
      <c r="O65" s="72"/>
      <c r="P65" s="81"/>
      <c r="Q65" s="82"/>
      <c r="R65" s="72"/>
      <c r="S65" s="81"/>
      <c r="T65" s="82"/>
      <c r="U65" s="72"/>
      <c r="V65" s="81"/>
      <c r="W65" s="82"/>
      <c r="X65" s="72"/>
      <c r="Y65" s="81"/>
      <c r="Z65" s="82"/>
      <c r="AA65" s="72"/>
      <c r="AB65" s="81"/>
      <c r="AC65" s="82"/>
      <c r="AD65" s="72"/>
      <c r="AE65" s="81"/>
      <c r="AF65" s="82"/>
      <c r="AG65" s="72"/>
      <c r="AH65" s="81"/>
      <c r="AI65" s="82"/>
      <c r="AJ65" s="72"/>
      <c r="AK65" s="81"/>
      <c r="AL65" s="82"/>
      <c r="AM65" s="72"/>
      <c r="AN65" s="81"/>
      <c r="AO65" s="82"/>
      <c r="AP65" s="72"/>
    </row>
    <row r="66" spans="1:42" ht="15" thickBot="1" x14ac:dyDescent="0.45">
      <c r="A66" s="74" t="s">
        <v>76</v>
      </c>
      <c r="B66" s="75" t="s">
        <v>77</v>
      </c>
      <c r="C66" s="76"/>
      <c r="D66" s="96">
        <v>55</v>
      </c>
      <c r="E66" s="95">
        <v>139.26</v>
      </c>
      <c r="F66" s="77">
        <f>E66/D66</f>
        <v>2.532</v>
      </c>
      <c r="G66" s="96">
        <v>35.9</v>
      </c>
      <c r="H66" s="95">
        <v>87.88</v>
      </c>
      <c r="I66" s="77">
        <f>H66/G66</f>
        <v>2.4479108635097493</v>
      </c>
      <c r="J66" s="56">
        <v>17</v>
      </c>
      <c r="K66" s="95">
        <v>25.68</v>
      </c>
      <c r="L66" s="77">
        <f>K66/J66</f>
        <v>1.5105882352941176</v>
      </c>
      <c r="M66" s="56">
        <v>7.2</v>
      </c>
      <c r="N66" s="95">
        <v>11.4</v>
      </c>
      <c r="O66" s="77">
        <f>N66/M66</f>
        <v>1.5833333333333333</v>
      </c>
      <c r="P66" s="56">
        <v>0</v>
      </c>
      <c r="Q66" s="95">
        <v>0</v>
      </c>
      <c r="R66" s="77" t="e">
        <f>Q66/P66</f>
        <v>#DIV/0!</v>
      </c>
      <c r="S66" s="56">
        <v>0.1</v>
      </c>
      <c r="T66" s="95">
        <v>0.21</v>
      </c>
      <c r="U66" s="77">
        <f>T66/S66</f>
        <v>2.0999999999999996</v>
      </c>
      <c r="V66" s="56">
        <v>0</v>
      </c>
      <c r="W66" s="95">
        <v>0</v>
      </c>
      <c r="X66" s="77" t="e">
        <f>W66/V66</f>
        <v>#DIV/0!</v>
      </c>
      <c r="Y66" s="56">
        <v>0.1</v>
      </c>
      <c r="Z66" s="95">
        <v>0.15</v>
      </c>
      <c r="AA66" s="77">
        <f>Z66/Y66</f>
        <v>1.4999999999999998</v>
      </c>
      <c r="AB66" s="56">
        <v>0</v>
      </c>
      <c r="AC66" s="95">
        <v>0</v>
      </c>
      <c r="AD66" s="77" t="e">
        <f>AC66/AB66</f>
        <v>#DIV/0!</v>
      </c>
      <c r="AE66" s="56">
        <v>4</v>
      </c>
      <c r="AF66" s="95">
        <v>8.7200000000000006</v>
      </c>
      <c r="AG66" s="77">
        <f>AF66/AE66</f>
        <v>2.1800000000000002</v>
      </c>
      <c r="AH66" s="56">
        <v>12.6</v>
      </c>
      <c r="AI66" s="95">
        <v>26.91</v>
      </c>
      <c r="AJ66" s="77">
        <f>AI66/AH66</f>
        <v>2.1357142857142857</v>
      </c>
      <c r="AK66" s="56">
        <v>39.200000000000003</v>
      </c>
      <c r="AL66" s="95">
        <v>146.29</v>
      </c>
      <c r="AM66" s="77">
        <f>AL66/AK66</f>
        <v>3.7318877551020404</v>
      </c>
      <c r="AN66" s="78">
        <f>AK66+AH66+AE66+AB66+Y66+V66+S66+P66+M66+J66+G66+D66</f>
        <v>171.10000000000002</v>
      </c>
      <c r="AO66" s="79">
        <f>AL66+AI66+AF66+AC66+Z66+W66+T66+Q66+N66+K66+H66+E66</f>
        <v>446.5</v>
      </c>
      <c r="AP66" s="80">
        <f>AO66/AN66</f>
        <v>2.6095850379894796</v>
      </c>
    </row>
    <row r="67" spans="1:42" ht="15" thickBot="1" x14ac:dyDescent="0.45">
      <c r="A67" s="62" t="s">
        <v>64</v>
      </c>
      <c r="B67" s="63"/>
      <c r="C67" s="64"/>
      <c r="D67" s="65">
        <f>D66</f>
        <v>55</v>
      </c>
      <c r="E67" s="66">
        <f>E66</f>
        <v>139.26</v>
      </c>
      <c r="F67" s="67">
        <f>E67/D67</f>
        <v>2.532</v>
      </c>
      <c r="G67" s="65">
        <f>G66</f>
        <v>35.9</v>
      </c>
      <c r="H67" s="66">
        <f>H66</f>
        <v>87.88</v>
      </c>
      <c r="I67" s="67">
        <f>H67/G67</f>
        <v>2.4479108635097493</v>
      </c>
      <c r="J67" s="65">
        <f>J66</f>
        <v>17</v>
      </c>
      <c r="K67" s="66">
        <f>K66</f>
        <v>25.68</v>
      </c>
      <c r="L67" s="67">
        <f>K67/J67</f>
        <v>1.5105882352941176</v>
      </c>
      <c r="M67" s="65">
        <f>M66</f>
        <v>7.2</v>
      </c>
      <c r="N67" s="66">
        <f>N66</f>
        <v>11.4</v>
      </c>
      <c r="O67" s="67">
        <f>N67/M67</f>
        <v>1.5833333333333333</v>
      </c>
      <c r="P67" s="65">
        <f>P66</f>
        <v>0</v>
      </c>
      <c r="Q67" s="66">
        <v>0</v>
      </c>
      <c r="R67" s="67" t="e">
        <f>Q67/P67</f>
        <v>#DIV/0!</v>
      </c>
      <c r="S67" s="65">
        <f>S66</f>
        <v>0.1</v>
      </c>
      <c r="T67" s="66">
        <f>T66</f>
        <v>0.21</v>
      </c>
      <c r="U67" s="67">
        <f>T67/S67</f>
        <v>2.0999999999999996</v>
      </c>
      <c r="V67" s="65">
        <f>V66</f>
        <v>0</v>
      </c>
      <c r="W67" s="66">
        <f>W66</f>
        <v>0</v>
      </c>
      <c r="X67" s="67" t="e">
        <f>W67/V67</f>
        <v>#DIV/0!</v>
      </c>
      <c r="Y67" s="65">
        <f>Y66</f>
        <v>0.1</v>
      </c>
      <c r="Z67" s="66">
        <f>Z66</f>
        <v>0.15</v>
      </c>
      <c r="AA67" s="67">
        <f>Z67/Y67</f>
        <v>1.4999999999999998</v>
      </c>
      <c r="AB67" s="65">
        <f>AB66</f>
        <v>0</v>
      </c>
      <c r="AC67" s="66">
        <f>AC66</f>
        <v>0</v>
      </c>
      <c r="AD67" s="67" t="e">
        <f>AC67/AB67</f>
        <v>#DIV/0!</v>
      </c>
      <c r="AE67" s="65">
        <f>AE66</f>
        <v>4</v>
      </c>
      <c r="AF67" s="66">
        <f>AF66</f>
        <v>8.7200000000000006</v>
      </c>
      <c r="AG67" s="67">
        <f>AF67/AE67</f>
        <v>2.1800000000000002</v>
      </c>
      <c r="AH67" s="65">
        <f>AH66</f>
        <v>12.6</v>
      </c>
      <c r="AI67" s="66">
        <f>AI66</f>
        <v>26.91</v>
      </c>
      <c r="AJ67" s="67">
        <f>AI67/AH67</f>
        <v>2.1357142857142857</v>
      </c>
      <c r="AK67" s="65">
        <f>AK66</f>
        <v>39.200000000000003</v>
      </c>
      <c r="AL67" s="66">
        <f>AL66</f>
        <v>146.29</v>
      </c>
      <c r="AM67" s="67">
        <f>AL67/AK67</f>
        <v>3.7318877551020404</v>
      </c>
      <c r="AN67" s="65">
        <f>AN66</f>
        <v>171.10000000000002</v>
      </c>
      <c r="AO67" s="66">
        <f>AO66</f>
        <v>446.5</v>
      </c>
      <c r="AP67" s="67">
        <f t="shared" ref="AP67" si="17">AO67/AN67</f>
        <v>2.6095850379894796</v>
      </c>
    </row>
    <row r="68" spans="1:42" ht="15" thickBot="1" x14ac:dyDescent="0.45">
      <c r="A68" s="68"/>
      <c r="B68" s="69"/>
      <c r="C68" s="69"/>
      <c r="D68" s="70"/>
      <c r="E68" s="71"/>
      <c r="F68" s="71"/>
      <c r="G68" s="70"/>
      <c r="H68" s="71"/>
      <c r="I68" s="71"/>
      <c r="J68" s="70"/>
      <c r="K68" s="71"/>
      <c r="L68" s="71"/>
      <c r="M68" s="70"/>
      <c r="N68" s="71"/>
      <c r="O68" s="71"/>
      <c r="P68" s="70"/>
      <c r="Q68" s="71"/>
      <c r="R68" s="71"/>
      <c r="S68" s="70"/>
      <c r="T68" s="71"/>
      <c r="U68" s="71"/>
      <c r="V68" s="70"/>
      <c r="W68" s="71"/>
      <c r="X68" s="71"/>
      <c r="Y68" s="70"/>
      <c r="Z68" s="71"/>
      <c r="AA68" s="71"/>
      <c r="AB68" s="70"/>
      <c r="AC68" s="71"/>
      <c r="AD68" s="71"/>
      <c r="AE68" s="70"/>
      <c r="AF68" s="71"/>
      <c r="AG68" s="71"/>
      <c r="AH68" s="70"/>
      <c r="AI68" s="71"/>
      <c r="AJ68" s="71"/>
      <c r="AK68" s="70"/>
      <c r="AL68" s="71"/>
      <c r="AM68" s="71"/>
      <c r="AN68" s="70"/>
      <c r="AO68" s="71"/>
      <c r="AP68" s="71"/>
    </row>
    <row r="69" spans="1:42" ht="15" thickBot="1" x14ac:dyDescent="0.45">
      <c r="A69" s="74" t="s">
        <v>78</v>
      </c>
      <c r="B69" s="85"/>
      <c r="C69" s="86"/>
      <c r="D69" s="87"/>
      <c r="E69" s="88"/>
      <c r="F69" s="88"/>
      <c r="G69" s="87"/>
      <c r="H69" s="88"/>
      <c r="I69" s="88"/>
      <c r="J69" s="87"/>
      <c r="K69" s="88"/>
      <c r="L69" s="88"/>
      <c r="M69" s="87"/>
      <c r="N69" s="88"/>
      <c r="O69" s="88"/>
      <c r="P69" s="87"/>
      <c r="Q69" s="88"/>
      <c r="R69" s="88"/>
      <c r="S69" s="87"/>
      <c r="T69" s="88"/>
      <c r="U69" s="88"/>
      <c r="V69" s="87"/>
      <c r="W69" s="88"/>
      <c r="X69" s="88"/>
      <c r="Y69" s="87"/>
      <c r="Z69" s="88"/>
      <c r="AA69" s="88"/>
      <c r="AB69" s="87"/>
      <c r="AC69" s="88"/>
      <c r="AD69" s="88"/>
      <c r="AE69" s="87"/>
      <c r="AF69" s="88"/>
      <c r="AG69" s="88"/>
      <c r="AH69" s="87"/>
      <c r="AI69" s="88"/>
      <c r="AJ69" s="88"/>
      <c r="AK69" s="87"/>
      <c r="AL69" s="88"/>
      <c r="AM69" s="88"/>
      <c r="AN69" s="87"/>
      <c r="AO69" s="88"/>
      <c r="AP69" s="89"/>
    </row>
    <row r="70" spans="1:42" ht="15" thickBot="1" x14ac:dyDescent="0.45">
      <c r="A70" s="62" t="s">
        <v>64</v>
      </c>
      <c r="B70" s="63"/>
      <c r="C70" s="64"/>
      <c r="D70" s="90">
        <f>D43+D46+D49+D52+D55+D58+D61+D67+D64</f>
        <v>6699.8310000000001</v>
      </c>
      <c r="E70" s="66">
        <f>E43+E46+E49+E52+E55+E58+E61+E67+E64</f>
        <v>26238.2</v>
      </c>
      <c r="F70" s="67">
        <f>E70/D70</f>
        <v>3.9162480367042094</v>
      </c>
      <c r="G70" s="90">
        <f>G43+G46+G49+G52+G55+G58+G61+G67+G64</f>
        <v>4966.3499999999995</v>
      </c>
      <c r="H70" s="66">
        <f>H43+H46+H49+H52+H55+H58+H61+H67+H64</f>
        <v>16856.82</v>
      </c>
      <c r="I70" s="67">
        <f>H70/G70</f>
        <v>3.3942070131988284</v>
      </c>
      <c r="J70" s="90">
        <f>J43+J46+J49+J52+J55+J58+J61+J67+J64</f>
        <v>3549.67</v>
      </c>
      <c r="K70" s="66">
        <f>K43+K46+K49+K52+K55+K58+K61+K67+K64</f>
        <v>10756.220000000001</v>
      </c>
      <c r="L70" s="67">
        <f>K70/J70</f>
        <v>3.0302028075849305</v>
      </c>
      <c r="M70" s="90">
        <f>M43+M46+M49+M52+M55+M58+M61+M67+M64</f>
        <v>2526.8050000000003</v>
      </c>
      <c r="N70" s="66">
        <f>N43+N46+N49+N52+N55+N58+N61+N67+N64</f>
        <v>7985.9399999999987</v>
      </c>
      <c r="O70" s="67">
        <f>N70/M70</f>
        <v>3.1604892344284572</v>
      </c>
      <c r="P70" s="90">
        <f>P43+P46+P49+P52+P55+P58+P61+P67+P64</f>
        <v>1263.6000000000001</v>
      </c>
      <c r="Q70" s="66">
        <f>Q43+Q46+Q49+Q52+Q55+Q58+Q61+Q67+Q64</f>
        <v>4498.05</v>
      </c>
      <c r="R70" s="67">
        <f>Q70/P70</f>
        <v>3.5597103513770176</v>
      </c>
      <c r="S70" s="90">
        <f>S43+S46+S49+S52+S55+S58+S61+S67+S64</f>
        <v>703.00000000000011</v>
      </c>
      <c r="T70" s="66">
        <f>T43+T46+T49+T52+T55+T58+T61+T67+T64</f>
        <v>2865.2000000000003</v>
      </c>
      <c r="U70" s="67">
        <f>T70/S70</f>
        <v>4.0756756756756758</v>
      </c>
      <c r="V70" s="90">
        <f>V43+V46+V49+V52+V55+V58+V61+V67+V64</f>
        <v>601.32999999999993</v>
      </c>
      <c r="W70" s="66">
        <f>W43+W46+W49+W52+W55+W58+W61+W67+W64</f>
        <v>2414.2599999999998</v>
      </c>
      <c r="X70" s="67">
        <f>W70/V70</f>
        <v>4.0148670447175432</v>
      </c>
      <c r="Y70" s="90">
        <f>Y43+Y46+Y49+Y52+Y55+Y58+Y61+Y67+Y64</f>
        <v>704.29000000000019</v>
      </c>
      <c r="Z70" s="66">
        <f>Z43+Z46+Z49+Z52+Z55+Z58+Z61+Z67+Z64</f>
        <v>2867.5800000000004</v>
      </c>
      <c r="AA70" s="67">
        <f>Z70/Y70</f>
        <v>4.0715898280537841</v>
      </c>
      <c r="AB70" s="90">
        <f>AB43+AB46+AB49+AB52+AB55+AB58+AB61+AB67+AB64</f>
        <v>780.87199999999996</v>
      </c>
      <c r="AC70" s="66">
        <f>AC43+AC46+AC49+AC52+AC55+AC58+AC61+AC67+AC64</f>
        <v>3192.19</v>
      </c>
      <c r="AD70" s="67">
        <f>AC70/AB70</f>
        <v>4.0879811287893535</v>
      </c>
      <c r="AE70" s="90">
        <f>AE43+AE46+AE49+AE52+AE55+AE58+AE61+AE67+AE64</f>
        <v>1847.2950000000001</v>
      </c>
      <c r="AF70" s="66">
        <f>AF43+AF46+AF49+AF52+AF55+AF58+AF61+AF67+AF64</f>
        <v>6544.3600000000006</v>
      </c>
      <c r="AG70" s="67">
        <f>AF70/AE70</f>
        <v>3.5426718526277612</v>
      </c>
      <c r="AH70" s="90">
        <f>AH43+AH46+AH49+AH52+AH55+AH58+AH61+AH67+AH64</f>
        <v>2320.1579999999999</v>
      </c>
      <c r="AI70" s="66">
        <f>AI43+AI46+AI49+AI52+AI55+AI58+AI61+AI67+AI64</f>
        <v>7982.15</v>
      </c>
      <c r="AJ70" s="67">
        <f>AI70/AH70</f>
        <v>3.4403475970170998</v>
      </c>
      <c r="AK70" s="90">
        <f>AK43+AK46+AK49+AK52+AK55+AK58+AK61+AK67+AK64</f>
        <v>6009.7500000000009</v>
      </c>
      <c r="AL70" s="66">
        <f>AL43+AL46+AL49+AL52+AL55+AL58+AL61+AL67+AL64</f>
        <v>23024.880000000001</v>
      </c>
      <c r="AM70" s="67">
        <f>AL70/AK70</f>
        <v>3.831254211905653</v>
      </c>
      <c r="AN70" s="90">
        <f>AN43+AN46+AN49+AN52+AN55+AN58+AN61+AN67</f>
        <v>31640.951000000001</v>
      </c>
      <c r="AO70" s="66">
        <f>AO43+AO46+AO49+AO52+AO55+AO58+AO61+AO67</f>
        <v>113694.45000000001</v>
      </c>
      <c r="AP70" s="98">
        <f>AO70/AN70</f>
        <v>3.5932690518688899</v>
      </c>
    </row>
    <row r="73" spans="1:42" ht="15" thickBot="1" x14ac:dyDescent="0.45"/>
    <row r="74" spans="1:42" ht="15" thickBot="1" x14ac:dyDescent="0.45">
      <c r="A74" s="94" t="s">
        <v>88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100"/>
    </row>
    <row r="75" spans="1:42" ht="15" thickBot="1" x14ac:dyDescent="0.45">
      <c r="A75" s="139"/>
      <c r="B75" s="138"/>
      <c r="C75" s="49"/>
      <c r="D75" s="136" t="s">
        <v>46</v>
      </c>
      <c r="E75" s="137"/>
      <c r="F75" s="138"/>
      <c r="G75" s="136" t="s">
        <v>47</v>
      </c>
      <c r="H75" s="137"/>
      <c r="I75" s="138"/>
      <c r="J75" s="136" t="s">
        <v>48</v>
      </c>
      <c r="K75" s="137"/>
      <c r="L75" s="138"/>
      <c r="M75" s="136" t="s">
        <v>49</v>
      </c>
      <c r="N75" s="137"/>
      <c r="O75" s="138"/>
      <c r="P75" s="136" t="s">
        <v>4</v>
      </c>
      <c r="Q75" s="137"/>
      <c r="R75" s="138"/>
      <c r="S75" s="136" t="s">
        <v>50</v>
      </c>
      <c r="T75" s="137"/>
      <c r="U75" s="138"/>
      <c r="V75" s="136" t="s">
        <v>51</v>
      </c>
      <c r="W75" s="137"/>
      <c r="X75" s="138"/>
      <c r="Y75" s="136" t="s">
        <v>52</v>
      </c>
      <c r="Z75" s="137"/>
      <c r="AA75" s="138"/>
      <c r="AB75" s="136" t="s">
        <v>53</v>
      </c>
      <c r="AC75" s="137"/>
      <c r="AD75" s="138"/>
      <c r="AE75" s="136" t="s">
        <v>54</v>
      </c>
      <c r="AF75" s="137"/>
      <c r="AG75" s="138"/>
      <c r="AH75" s="136" t="s">
        <v>55</v>
      </c>
      <c r="AI75" s="137"/>
      <c r="AJ75" s="138"/>
      <c r="AK75" s="136" t="s">
        <v>56</v>
      </c>
      <c r="AL75" s="137"/>
      <c r="AM75" s="138"/>
      <c r="AN75" s="136" t="s">
        <v>82</v>
      </c>
      <c r="AO75" s="137"/>
      <c r="AP75" s="138"/>
    </row>
    <row r="76" spans="1:42" ht="15" thickBot="1" x14ac:dyDescent="0.45">
      <c r="A76" s="50" t="s">
        <v>58</v>
      </c>
      <c r="B76" s="48" t="s">
        <v>59</v>
      </c>
      <c r="C76" s="48"/>
      <c r="D76" s="51" t="s">
        <v>31</v>
      </c>
      <c r="E76" s="52" t="s">
        <v>60</v>
      </c>
      <c r="F76" s="52" t="s">
        <v>61</v>
      </c>
      <c r="G76" s="51" t="s">
        <v>31</v>
      </c>
      <c r="H76" s="52" t="s">
        <v>60</v>
      </c>
      <c r="I76" s="52" t="s">
        <v>61</v>
      </c>
      <c r="J76" s="51" t="s">
        <v>31</v>
      </c>
      <c r="K76" s="52" t="s">
        <v>60</v>
      </c>
      <c r="L76" s="52" t="s">
        <v>61</v>
      </c>
      <c r="M76" s="51" t="s">
        <v>31</v>
      </c>
      <c r="N76" s="52" t="s">
        <v>60</v>
      </c>
      <c r="O76" s="52" t="s">
        <v>61</v>
      </c>
      <c r="P76" s="51" t="s">
        <v>31</v>
      </c>
      <c r="Q76" s="52" t="s">
        <v>60</v>
      </c>
      <c r="R76" s="52" t="s">
        <v>61</v>
      </c>
      <c r="S76" s="51" t="s">
        <v>31</v>
      </c>
      <c r="T76" s="52" t="s">
        <v>60</v>
      </c>
      <c r="U76" s="52" t="s">
        <v>61</v>
      </c>
      <c r="V76" s="51" t="s">
        <v>31</v>
      </c>
      <c r="W76" s="52" t="s">
        <v>60</v>
      </c>
      <c r="X76" s="52" t="s">
        <v>61</v>
      </c>
      <c r="Y76" s="51" t="s">
        <v>31</v>
      </c>
      <c r="Z76" s="52" t="s">
        <v>60</v>
      </c>
      <c r="AA76" s="52" t="s">
        <v>61</v>
      </c>
      <c r="AB76" s="51" t="s">
        <v>31</v>
      </c>
      <c r="AC76" s="52" t="s">
        <v>60</v>
      </c>
      <c r="AD76" s="52" t="s">
        <v>61</v>
      </c>
      <c r="AE76" s="51" t="s">
        <v>31</v>
      </c>
      <c r="AF76" s="52" t="s">
        <v>60</v>
      </c>
      <c r="AG76" s="52" t="s">
        <v>61</v>
      </c>
      <c r="AH76" s="51" t="s">
        <v>31</v>
      </c>
      <c r="AI76" s="52" t="s">
        <v>60</v>
      </c>
      <c r="AJ76" s="52" t="s">
        <v>61</v>
      </c>
      <c r="AK76" s="51" t="s">
        <v>31</v>
      </c>
      <c r="AL76" s="52" t="s">
        <v>60</v>
      </c>
      <c r="AM76" s="52" t="s">
        <v>61</v>
      </c>
      <c r="AN76" s="51" t="s">
        <v>31</v>
      </c>
      <c r="AO76" s="52" t="s">
        <v>60</v>
      </c>
      <c r="AP76" s="52" t="s">
        <v>61</v>
      </c>
    </row>
    <row r="77" spans="1:42" x14ac:dyDescent="0.4">
      <c r="A77" s="53" t="s">
        <v>62</v>
      </c>
      <c r="B77" s="54" t="s">
        <v>63</v>
      </c>
      <c r="C77" s="55"/>
      <c r="D77" s="56">
        <v>2263.34</v>
      </c>
      <c r="E77" s="57">
        <v>10467.01</v>
      </c>
      <c r="F77" s="58">
        <f>E77/D77</f>
        <v>4.6245857891434783</v>
      </c>
      <c r="G77" s="56">
        <v>2207.61</v>
      </c>
      <c r="H77" s="57">
        <v>9852.64</v>
      </c>
      <c r="I77" s="58">
        <f>H77/G77</f>
        <v>4.4630346845683793</v>
      </c>
      <c r="J77" s="56">
        <v>1634.3</v>
      </c>
      <c r="K77" s="57">
        <v>6548.56</v>
      </c>
      <c r="L77" s="58">
        <f>K77/J77</f>
        <v>4.0069509881906633</v>
      </c>
      <c r="M77" s="56">
        <v>745.42</v>
      </c>
      <c r="N77" s="57">
        <v>2774.24</v>
      </c>
      <c r="O77" s="58">
        <f>N77/M77</f>
        <v>3.721713933084704</v>
      </c>
      <c r="P77" s="56">
        <v>248.5</v>
      </c>
      <c r="Q77" s="57">
        <v>892.03</v>
      </c>
      <c r="R77" s="58">
        <f>Q77/P77</f>
        <v>3.5896579476861166</v>
      </c>
      <c r="S77" s="96">
        <v>167.29</v>
      </c>
      <c r="T77" s="95">
        <v>573.46</v>
      </c>
      <c r="U77" s="58">
        <f>T77/S77</f>
        <v>3.4279395062466378</v>
      </c>
      <c r="V77" s="56">
        <v>105.84</v>
      </c>
      <c r="W77" s="57">
        <v>393.64</v>
      </c>
      <c r="X77" s="58">
        <f>W77/V77</f>
        <v>3.7191987906273618</v>
      </c>
      <c r="Y77" s="56">
        <v>66.5</v>
      </c>
      <c r="Z77" s="57">
        <v>233.47</v>
      </c>
      <c r="AA77" s="58">
        <f>Z77/Y77</f>
        <v>3.5108270676691729</v>
      </c>
      <c r="AB77" s="56">
        <v>165.48</v>
      </c>
      <c r="AC77" s="57">
        <v>380.27</v>
      </c>
      <c r="AD77" s="58">
        <f>AC77/AB77</f>
        <v>2.2979816291999033</v>
      </c>
      <c r="AE77" s="56">
        <v>699.46</v>
      </c>
      <c r="AF77" s="57">
        <v>2097.87</v>
      </c>
      <c r="AG77" s="58">
        <f>AF77/AE77</f>
        <v>2.9992708660967029</v>
      </c>
      <c r="AH77" s="56">
        <v>1222.3499999999999</v>
      </c>
      <c r="AI77" s="57">
        <v>4882.95</v>
      </c>
      <c r="AJ77" s="58">
        <f>AI77/AH77</f>
        <v>3.9947232789299303</v>
      </c>
      <c r="AK77" s="96">
        <v>2509</v>
      </c>
      <c r="AL77" s="95">
        <v>10902.71</v>
      </c>
      <c r="AM77" s="58">
        <f>AL77/AK77</f>
        <v>4.3454404145077721</v>
      </c>
      <c r="AN77" s="59">
        <f>AK77+AH77+AE77+AB77+Y77+V77+S77+P77+M77+J77+G77+D77</f>
        <v>12035.09</v>
      </c>
      <c r="AO77" s="60">
        <f>AL77+AI77+AF77+AC77+Z77+W77+T77+Q77+N77+K77+H77+E77</f>
        <v>49998.85</v>
      </c>
      <c r="AP77" s="61">
        <f>AO77/AN77</f>
        <v>4.1544226092202052</v>
      </c>
    </row>
    <row r="78" spans="1:42" ht="15" thickBot="1" x14ac:dyDescent="0.45">
      <c r="A78" s="62" t="s">
        <v>64</v>
      </c>
      <c r="B78" s="63"/>
      <c r="C78" s="64"/>
      <c r="D78" s="65">
        <f>D77</f>
        <v>2263.34</v>
      </c>
      <c r="E78" s="66">
        <f>E77</f>
        <v>10467.01</v>
      </c>
      <c r="F78" s="67">
        <f>E78/D78</f>
        <v>4.6245857891434783</v>
      </c>
      <c r="G78" s="65">
        <f>G77</f>
        <v>2207.61</v>
      </c>
      <c r="H78" s="66">
        <f>H77</f>
        <v>9852.64</v>
      </c>
      <c r="I78" s="67">
        <f>H78/G78</f>
        <v>4.4630346845683793</v>
      </c>
      <c r="J78" s="65">
        <f>J77</f>
        <v>1634.3</v>
      </c>
      <c r="K78" s="66">
        <f>K77</f>
        <v>6548.56</v>
      </c>
      <c r="L78" s="67">
        <f>K78/J78</f>
        <v>4.0069509881906633</v>
      </c>
      <c r="M78" s="65">
        <f>M77</f>
        <v>745.42</v>
      </c>
      <c r="N78" s="66">
        <f>N77</f>
        <v>2774.24</v>
      </c>
      <c r="O78" s="67">
        <f>N78/M78</f>
        <v>3.721713933084704</v>
      </c>
      <c r="P78" s="65">
        <f>P77</f>
        <v>248.5</v>
      </c>
      <c r="Q78" s="66">
        <f>Q77</f>
        <v>892.03</v>
      </c>
      <c r="R78" s="67">
        <f>Q78/P78</f>
        <v>3.5896579476861166</v>
      </c>
      <c r="S78" s="65">
        <f>S77</f>
        <v>167.29</v>
      </c>
      <c r="T78" s="66">
        <f>T77</f>
        <v>573.46</v>
      </c>
      <c r="U78" s="67">
        <f>T78/S78</f>
        <v>3.4279395062466378</v>
      </c>
      <c r="V78" s="65">
        <f>V77</f>
        <v>105.84</v>
      </c>
      <c r="W78" s="66">
        <f>W77</f>
        <v>393.64</v>
      </c>
      <c r="X78" s="67">
        <f>W78/V78</f>
        <v>3.7191987906273618</v>
      </c>
      <c r="Y78" s="65">
        <f>Y77</f>
        <v>66.5</v>
      </c>
      <c r="Z78" s="66">
        <f>Z77</f>
        <v>233.47</v>
      </c>
      <c r="AA78" s="67">
        <f>Z78/Y78</f>
        <v>3.5108270676691729</v>
      </c>
      <c r="AB78" s="65">
        <f>AB77</f>
        <v>165.48</v>
      </c>
      <c r="AC78" s="66">
        <f>AC77</f>
        <v>380.27</v>
      </c>
      <c r="AD78" s="67">
        <f>AC78/AB78</f>
        <v>2.2979816291999033</v>
      </c>
      <c r="AE78" s="65">
        <f>AE77</f>
        <v>699.46</v>
      </c>
      <c r="AF78" s="66">
        <f>AF77</f>
        <v>2097.87</v>
      </c>
      <c r="AG78" s="67">
        <f>AF78/AE78</f>
        <v>2.9992708660967029</v>
      </c>
      <c r="AH78" s="65">
        <f>AH77</f>
        <v>1222.3499999999999</v>
      </c>
      <c r="AI78" s="66">
        <f>AI77</f>
        <v>4882.95</v>
      </c>
      <c r="AJ78" s="67">
        <f>AI78/AH78</f>
        <v>3.9947232789299303</v>
      </c>
      <c r="AK78" s="65">
        <f>AK77</f>
        <v>2509</v>
      </c>
      <c r="AL78" s="66">
        <f>AL77</f>
        <v>10902.71</v>
      </c>
      <c r="AM78" s="67">
        <f>AL78/AK78</f>
        <v>4.3454404145077721</v>
      </c>
      <c r="AN78" s="65">
        <f>AN77</f>
        <v>12035.09</v>
      </c>
      <c r="AO78" s="66">
        <f>AO77</f>
        <v>49998.85</v>
      </c>
      <c r="AP78" s="67">
        <f t="shared" ref="AP78" si="18">AO78/AN78</f>
        <v>4.1544226092202052</v>
      </c>
    </row>
    <row r="79" spans="1:42" ht="15" thickBot="1" x14ac:dyDescent="0.45">
      <c r="A79" s="68"/>
      <c r="B79" s="69"/>
      <c r="C79" s="69"/>
      <c r="D79" s="70"/>
      <c r="E79" s="71"/>
      <c r="F79" s="72"/>
      <c r="G79" s="70"/>
      <c r="H79" s="71"/>
      <c r="I79" s="72"/>
      <c r="J79" s="70"/>
      <c r="K79" s="71"/>
      <c r="L79" s="72"/>
      <c r="M79" s="70"/>
      <c r="N79" s="71"/>
      <c r="O79" s="72"/>
      <c r="P79" s="70"/>
      <c r="Q79" s="71"/>
      <c r="R79" s="72"/>
      <c r="S79" s="70"/>
      <c r="T79" s="71"/>
      <c r="U79" s="72"/>
      <c r="V79" s="70"/>
      <c r="W79" s="71"/>
      <c r="X79" s="72"/>
      <c r="Y79" s="70"/>
      <c r="Z79" s="71"/>
      <c r="AA79" s="72"/>
      <c r="AB79" s="70"/>
      <c r="AC79" s="71"/>
      <c r="AD79" s="72"/>
      <c r="AE79" s="70"/>
      <c r="AF79" s="71"/>
      <c r="AG79" s="72"/>
      <c r="AH79" s="70"/>
      <c r="AI79" s="71"/>
      <c r="AJ79" s="72"/>
      <c r="AK79" s="70"/>
      <c r="AL79" s="71"/>
      <c r="AM79" s="72"/>
      <c r="AN79" s="73"/>
      <c r="AO79" s="72"/>
      <c r="AP79" s="72"/>
    </row>
    <row r="80" spans="1:42" x14ac:dyDescent="0.4">
      <c r="A80" s="53" t="s">
        <v>65</v>
      </c>
      <c r="B80" s="54" t="s">
        <v>66</v>
      </c>
      <c r="C80" s="55"/>
      <c r="D80" s="56">
        <v>2417.6999999999998</v>
      </c>
      <c r="E80" s="57">
        <v>9936.74</v>
      </c>
      <c r="F80" s="58">
        <f>E80/D80</f>
        <v>4.109997104686272</v>
      </c>
      <c r="G80" s="56">
        <v>1611.61</v>
      </c>
      <c r="H80" s="57">
        <v>6625.89</v>
      </c>
      <c r="I80" s="58">
        <f>H80/G80</f>
        <v>4.1113482790501426</v>
      </c>
      <c r="J80" s="56">
        <v>1305.57</v>
      </c>
      <c r="K80" s="57">
        <v>5363.54</v>
      </c>
      <c r="L80" s="58">
        <f>K80/J80</f>
        <v>4.1081979518524481</v>
      </c>
      <c r="M80" s="56">
        <v>540.99</v>
      </c>
      <c r="N80" s="57">
        <v>2219.96</v>
      </c>
      <c r="O80" s="58">
        <f>N80/M80</f>
        <v>4.1035139281687281</v>
      </c>
      <c r="P80" s="56">
        <v>205.88</v>
      </c>
      <c r="Q80" s="57">
        <v>844.91</v>
      </c>
      <c r="R80" s="58">
        <f>Q80/P80</f>
        <v>4.1038954730911206</v>
      </c>
      <c r="S80" s="56">
        <v>126.92</v>
      </c>
      <c r="T80" s="57">
        <v>520.42999999999995</v>
      </c>
      <c r="U80" s="58">
        <f>T80/S80</f>
        <v>4.1004569807752906</v>
      </c>
      <c r="V80" s="56">
        <v>79.88</v>
      </c>
      <c r="W80" s="57">
        <v>327.64999999999998</v>
      </c>
      <c r="X80" s="58">
        <f>W80/V80</f>
        <v>4.1017776664997498</v>
      </c>
      <c r="Y80" s="56">
        <v>71.25</v>
      </c>
      <c r="Z80" s="57">
        <v>291.87</v>
      </c>
      <c r="AA80" s="58">
        <f>Z80/Y80</f>
        <v>4.0964210526315794</v>
      </c>
      <c r="AB80" s="56">
        <v>128.57</v>
      </c>
      <c r="AC80" s="57">
        <v>526.5</v>
      </c>
      <c r="AD80" s="58">
        <f>AC80/AB80</f>
        <v>4.0950455005055613</v>
      </c>
      <c r="AE80" s="56">
        <v>405.84</v>
      </c>
      <c r="AF80" s="57">
        <v>1662.72</v>
      </c>
      <c r="AG80" s="58">
        <f>AF80/AE80</f>
        <v>4.0969840331164997</v>
      </c>
      <c r="AH80" s="56">
        <v>945.83</v>
      </c>
      <c r="AI80" s="57">
        <v>3886.04</v>
      </c>
      <c r="AJ80" s="58">
        <f>AI80/AH80</f>
        <v>4.1086030259137472</v>
      </c>
      <c r="AK80" s="96">
        <v>2013.56</v>
      </c>
      <c r="AL80" s="95">
        <v>8283.2999999999993</v>
      </c>
      <c r="AM80" s="58">
        <f>AL80/AK80</f>
        <v>4.1137587159061564</v>
      </c>
      <c r="AN80" s="59">
        <f>AK80+AH80+AE80+AB80+Y80+V80+S80+P80+M80+J80+G80+D80</f>
        <v>9853.5999999999985</v>
      </c>
      <c r="AO80" s="60">
        <f>AL80+AI80+AF80+AC80+Z80+W80+T80+Q80+N80+K80+H80+E80</f>
        <v>40489.550000000003</v>
      </c>
      <c r="AP80" s="61">
        <f>AO80/AN80</f>
        <v>4.1091124056182524</v>
      </c>
    </row>
    <row r="81" spans="1:42" ht="15" thickBot="1" x14ac:dyDescent="0.45">
      <c r="A81" s="62" t="s">
        <v>64</v>
      </c>
      <c r="B81" s="63"/>
      <c r="C81" s="64"/>
      <c r="D81" s="65">
        <f>D80</f>
        <v>2417.6999999999998</v>
      </c>
      <c r="E81" s="66">
        <f>E80</f>
        <v>9936.74</v>
      </c>
      <c r="F81" s="67">
        <f>E81/D81</f>
        <v>4.109997104686272</v>
      </c>
      <c r="G81" s="65">
        <f>G80</f>
        <v>1611.61</v>
      </c>
      <c r="H81" s="66">
        <f>H80</f>
        <v>6625.89</v>
      </c>
      <c r="I81" s="67">
        <f>H81/G81</f>
        <v>4.1113482790501426</v>
      </c>
      <c r="J81" s="65">
        <f>J80</f>
        <v>1305.57</v>
      </c>
      <c r="K81" s="66">
        <f>K80</f>
        <v>5363.54</v>
      </c>
      <c r="L81" s="67">
        <f>K81/J81</f>
        <v>4.1081979518524481</v>
      </c>
      <c r="M81" s="65">
        <f>M80</f>
        <v>540.99</v>
      </c>
      <c r="N81" s="66">
        <f>N80</f>
        <v>2219.96</v>
      </c>
      <c r="O81" s="67">
        <f>N81/M81</f>
        <v>4.1035139281687281</v>
      </c>
      <c r="P81" s="65">
        <f>P80</f>
        <v>205.88</v>
      </c>
      <c r="Q81" s="66">
        <f>Q80</f>
        <v>844.91</v>
      </c>
      <c r="R81" s="67">
        <f>Q81/P81</f>
        <v>4.1038954730911206</v>
      </c>
      <c r="S81" s="65">
        <f>S80</f>
        <v>126.92</v>
      </c>
      <c r="T81" s="66">
        <f>T80</f>
        <v>520.42999999999995</v>
      </c>
      <c r="U81" s="67">
        <f>T81/S81</f>
        <v>4.1004569807752906</v>
      </c>
      <c r="V81" s="65">
        <f>V80</f>
        <v>79.88</v>
      </c>
      <c r="W81" s="66">
        <f>W80</f>
        <v>327.64999999999998</v>
      </c>
      <c r="X81" s="67">
        <f>W81/V81</f>
        <v>4.1017776664997498</v>
      </c>
      <c r="Y81" s="65">
        <f>Y80</f>
        <v>71.25</v>
      </c>
      <c r="Z81" s="66">
        <f>Z80</f>
        <v>291.87</v>
      </c>
      <c r="AA81" s="67">
        <f>Z81/Y81</f>
        <v>4.0964210526315794</v>
      </c>
      <c r="AB81" s="65">
        <f>AB80</f>
        <v>128.57</v>
      </c>
      <c r="AC81" s="66">
        <f>AC80</f>
        <v>526.5</v>
      </c>
      <c r="AD81" s="67">
        <f>AC81/AB81</f>
        <v>4.0950455005055613</v>
      </c>
      <c r="AE81" s="65">
        <f>AE80</f>
        <v>405.84</v>
      </c>
      <c r="AF81" s="66">
        <f>AF80</f>
        <v>1662.72</v>
      </c>
      <c r="AG81" s="67">
        <f>AF81/AE81</f>
        <v>4.0969840331164997</v>
      </c>
      <c r="AH81" s="65">
        <f>AH80</f>
        <v>945.83</v>
      </c>
      <c r="AI81" s="66">
        <f>AI80</f>
        <v>3886.04</v>
      </c>
      <c r="AJ81" s="67">
        <f>AI81/AH81</f>
        <v>4.1086030259137472</v>
      </c>
      <c r="AK81" s="65">
        <f>AK80</f>
        <v>2013.56</v>
      </c>
      <c r="AL81" s="66">
        <f>AL80</f>
        <v>8283.2999999999993</v>
      </c>
      <c r="AM81" s="67">
        <f>AL81/AK81</f>
        <v>4.1137587159061564</v>
      </c>
      <c r="AN81" s="65">
        <f>AN80</f>
        <v>9853.5999999999985</v>
      </c>
      <c r="AO81" s="66">
        <f>AO80</f>
        <v>40489.550000000003</v>
      </c>
      <c r="AP81" s="67">
        <f t="shared" ref="AP81" si="19">AO81/AN81</f>
        <v>4.1091124056182524</v>
      </c>
    </row>
    <row r="82" spans="1:42" ht="15" thickBot="1" x14ac:dyDescent="0.45">
      <c r="A82" s="68"/>
      <c r="B82" s="69"/>
      <c r="C82" s="69"/>
      <c r="D82" s="70"/>
      <c r="E82" s="71"/>
      <c r="F82" s="72"/>
      <c r="G82" s="70"/>
      <c r="H82" s="71"/>
      <c r="I82" s="72"/>
      <c r="J82" s="70"/>
      <c r="K82" s="71"/>
      <c r="L82" s="72"/>
      <c r="M82" s="70"/>
      <c r="N82" s="71"/>
      <c r="O82" s="72"/>
      <c r="P82" s="70"/>
      <c r="Q82" s="71"/>
      <c r="R82" s="72"/>
      <c r="S82" s="70"/>
      <c r="T82" s="71"/>
      <c r="U82" s="72"/>
      <c r="V82" s="70"/>
      <c r="W82" s="71"/>
      <c r="X82" s="72"/>
      <c r="Y82" s="70"/>
      <c r="Z82" s="71"/>
      <c r="AA82" s="72"/>
      <c r="AB82" s="70"/>
      <c r="AC82" s="71"/>
      <c r="AD82" s="72"/>
      <c r="AE82" s="70"/>
      <c r="AF82" s="71"/>
      <c r="AG82" s="72"/>
      <c r="AH82" s="70"/>
      <c r="AI82" s="71"/>
      <c r="AJ82" s="72"/>
      <c r="AK82" s="70"/>
      <c r="AL82" s="71"/>
      <c r="AM82" s="72"/>
      <c r="AN82" s="73"/>
      <c r="AO82" s="72"/>
      <c r="AP82" s="72"/>
    </row>
    <row r="83" spans="1:42" ht="15" thickBot="1" x14ac:dyDescent="0.45">
      <c r="A83" s="74" t="s">
        <v>67</v>
      </c>
      <c r="B83" s="75" t="s">
        <v>67</v>
      </c>
      <c r="C83" s="76"/>
      <c r="D83" s="56">
        <v>1339.5</v>
      </c>
      <c r="E83" s="57">
        <v>6289.6</v>
      </c>
      <c r="F83" s="77">
        <f>E83/D83</f>
        <v>4.6954833893243748</v>
      </c>
      <c r="G83" s="56">
        <v>875.3</v>
      </c>
      <c r="H83" s="57">
        <v>4106.47</v>
      </c>
      <c r="I83" s="77">
        <f>H83/G83</f>
        <v>4.6915000571232728</v>
      </c>
      <c r="J83" s="56">
        <v>605.46</v>
      </c>
      <c r="K83" s="57">
        <v>2839.3</v>
      </c>
      <c r="L83" s="77">
        <f>K83/J83</f>
        <v>4.6894922868562743</v>
      </c>
      <c r="M83" s="56">
        <v>408.98</v>
      </c>
      <c r="N83" s="57">
        <v>1921.06</v>
      </c>
      <c r="O83" s="77">
        <f>N83/M83</f>
        <v>4.6971979069881167</v>
      </c>
      <c r="P83" s="56">
        <v>528.37</v>
      </c>
      <c r="Q83" s="57">
        <v>2497.64</v>
      </c>
      <c r="R83" s="77">
        <f>Q83/P83</f>
        <v>4.7270662603857145</v>
      </c>
      <c r="S83" s="56">
        <v>321.74</v>
      </c>
      <c r="T83" s="57">
        <v>1519.58</v>
      </c>
      <c r="U83" s="77">
        <f>T83/S83</f>
        <v>4.7230061540374209</v>
      </c>
      <c r="V83" s="56">
        <v>171.31</v>
      </c>
      <c r="W83" s="57">
        <v>808.79</v>
      </c>
      <c r="X83" s="77">
        <f>W83/V83</f>
        <v>4.721207168291401</v>
      </c>
      <c r="Y83" s="56">
        <v>235</v>
      </c>
      <c r="Z83" s="57">
        <v>1098.1400000000001</v>
      </c>
      <c r="AA83" s="77">
        <f>Z83/Y83</f>
        <v>4.6729361702127665</v>
      </c>
      <c r="AB83" s="56">
        <v>474.13</v>
      </c>
      <c r="AC83" s="57">
        <v>2245.09</v>
      </c>
      <c r="AD83" s="77">
        <f>AC83/AB83</f>
        <v>4.7351781157066632</v>
      </c>
      <c r="AE83" s="56">
        <v>433.12</v>
      </c>
      <c r="AF83" s="57">
        <v>2041.2</v>
      </c>
      <c r="AG83" s="77">
        <f>AF83/AE83</f>
        <v>4.7127816771333579</v>
      </c>
      <c r="AH83" s="56">
        <v>526.28</v>
      </c>
      <c r="AI83" s="57">
        <v>2469.63</v>
      </c>
      <c r="AJ83" s="77">
        <f>AI83/AH83</f>
        <v>4.6926160978946569</v>
      </c>
      <c r="AK83" s="96">
        <v>1013.05</v>
      </c>
      <c r="AL83" s="95">
        <v>4756.18</v>
      </c>
      <c r="AM83" s="77">
        <f>AL83/AK83</f>
        <v>4.6949114061497461</v>
      </c>
      <c r="AN83" s="78">
        <f>AK83+AH83+AE83+AB83+Y83+V83+S83+P83+M83+J83+G83+D83</f>
        <v>6932.24</v>
      </c>
      <c r="AO83" s="79">
        <f>AL83+AI83+AF83+AC83+Z83+W83+T83+Q83+N83+K83+H83+E83</f>
        <v>32592.68</v>
      </c>
      <c r="AP83" s="80">
        <f>AO83/AN83</f>
        <v>4.7016087152204769</v>
      </c>
    </row>
    <row r="84" spans="1:42" ht="15" thickBot="1" x14ac:dyDescent="0.45">
      <c r="A84" s="62" t="s">
        <v>64</v>
      </c>
      <c r="B84" s="63"/>
      <c r="C84" s="64"/>
      <c r="D84" s="65">
        <f>D83</f>
        <v>1339.5</v>
      </c>
      <c r="E84" s="66">
        <f>E83</f>
        <v>6289.6</v>
      </c>
      <c r="F84" s="67">
        <f>E84/D84</f>
        <v>4.6954833893243748</v>
      </c>
      <c r="G84" s="65">
        <f>G83</f>
        <v>875.3</v>
      </c>
      <c r="H84" s="66">
        <f>H83</f>
        <v>4106.47</v>
      </c>
      <c r="I84" s="67">
        <f>H84/G84</f>
        <v>4.6915000571232728</v>
      </c>
      <c r="J84" s="65">
        <f>J83</f>
        <v>605.46</v>
      </c>
      <c r="K84" s="66">
        <f>K83</f>
        <v>2839.3</v>
      </c>
      <c r="L84" s="67">
        <f>K84/J84</f>
        <v>4.6894922868562743</v>
      </c>
      <c r="M84" s="65">
        <f>M83</f>
        <v>408.98</v>
      </c>
      <c r="N84" s="66">
        <f>N83</f>
        <v>1921.06</v>
      </c>
      <c r="O84" s="67">
        <f>N84/M84</f>
        <v>4.6971979069881167</v>
      </c>
      <c r="P84" s="65">
        <f>P83</f>
        <v>528.37</v>
      </c>
      <c r="Q84" s="66">
        <f>Q83</f>
        <v>2497.64</v>
      </c>
      <c r="R84" s="67">
        <f>Q84/P84</f>
        <v>4.7270662603857145</v>
      </c>
      <c r="S84" s="65">
        <f>S83</f>
        <v>321.74</v>
      </c>
      <c r="T84" s="66">
        <f>T83</f>
        <v>1519.58</v>
      </c>
      <c r="U84" s="67">
        <f>T84/S84</f>
        <v>4.7230061540374209</v>
      </c>
      <c r="V84" s="65">
        <f>V83</f>
        <v>171.31</v>
      </c>
      <c r="W84" s="66">
        <f>W83</f>
        <v>808.79</v>
      </c>
      <c r="X84" s="67">
        <f>W84/V84</f>
        <v>4.721207168291401</v>
      </c>
      <c r="Y84" s="65">
        <f>Y83</f>
        <v>235</v>
      </c>
      <c r="Z84" s="66">
        <f>Z83</f>
        <v>1098.1400000000001</v>
      </c>
      <c r="AA84" s="67">
        <f>Z84/Y84</f>
        <v>4.6729361702127665</v>
      </c>
      <c r="AB84" s="65">
        <f>AB83</f>
        <v>474.13</v>
      </c>
      <c r="AC84" s="66">
        <f>AC83</f>
        <v>2245.09</v>
      </c>
      <c r="AD84" s="67">
        <f>AC84/AB84</f>
        <v>4.7351781157066632</v>
      </c>
      <c r="AE84" s="65">
        <f>AE83</f>
        <v>433.12</v>
      </c>
      <c r="AF84" s="66">
        <f>AF83</f>
        <v>2041.2</v>
      </c>
      <c r="AG84" s="67">
        <f>AF84/AE84</f>
        <v>4.7127816771333579</v>
      </c>
      <c r="AH84" s="65">
        <f>AH83</f>
        <v>526.28</v>
      </c>
      <c r="AI84" s="66">
        <f>AI83</f>
        <v>2469.63</v>
      </c>
      <c r="AJ84" s="67">
        <f>AI84/AH84</f>
        <v>4.6926160978946569</v>
      </c>
      <c r="AK84" s="65">
        <f>AK83</f>
        <v>1013.05</v>
      </c>
      <c r="AL84" s="66">
        <f>AL83</f>
        <v>4756.18</v>
      </c>
      <c r="AM84" s="67">
        <f>AL84/AK84</f>
        <v>4.6949114061497461</v>
      </c>
      <c r="AN84" s="65">
        <f>AN83</f>
        <v>6932.24</v>
      </c>
      <c r="AO84" s="66">
        <f>AO83</f>
        <v>32592.68</v>
      </c>
      <c r="AP84" s="67">
        <f t="shared" ref="AP84" si="20">AO84/AN84</f>
        <v>4.7016087152204769</v>
      </c>
    </row>
    <row r="85" spans="1:42" ht="15" thickBot="1" x14ac:dyDescent="0.45">
      <c r="A85" s="68"/>
      <c r="B85" s="69"/>
      <c r="C85" s="69"/>
      <c r="D85" s="70"/>
      <c r="E85" s="71"/>
      <c r="F85" s="72"/>
      <c r="G85" s="70"/>
      <c r="H85" s="71"/>
      <c r="I85" s="72"/>
      <c r="J85" s="70"/>
      <c r="K85" s="71"/>
      <c r="L85" s="72"/>
      <c r="M85" s="70"/>
      <c r="N85" s="71"/>
      <c r="O85" s="72"/>
      <c r="P85" s="70"/>
      <c r="Q85" s="71"/>
      <c r="R85" s="72"/>
      <c r="S85" s="70"/>
      <c r="T85" s="71"/>
      <c r="U85" s="72"/>
      <c r="V85" s="70"/>
      <c r="W85" s="71"/>
      <c r="X85" s="72"/>
      <c r="Y85" s="70"/>
      <c r="Z85" s="71"/>
      <c r="AA85" s="72"/>
      <c r="AB85" s="70"/>
      <c r="AC85" s="71"/>
      <c r="AD85" s="72"/>
      <c r="AE85" s="70"/>
      <c r="AF85" s="71"/>
      <c r="AG85" s="72"/>
      <c r="AH85" s="70"/>
      <c r="AI85" s="71"/>
      <c r="AJ85" s="72"/>
      <c r="AK85" s="70"/>
      <c r="AL85" s="71"/>
      <c r="AM85" s="72"/>
      <c r="AN85" s="73"/>
      <c r="AO85" s="72"/>
      <c r="AP85" s="72"/>
    </row>
    <row r="86" spans="1:42" x14ac:dyDescent="0.4">
      <c r="A86" s="53" t="s">
        <v>68</v>
      </c>
      <c r="B86" s="54" t="s">
        <v>69</v>
      </c>
      <c r="C86" s="55"/>
      <c r="D86" s="56">
        <v>707</v>
      </c>
      <c r="E86" s="57">
        <v>1806.24</v>
      </c>
      <c r="F86" s="58">
        <f>E86/D86</f>
        <v>2.554794908062235</v>
      </c>
      <c r="G86" s="56">
        <v>513</v>
      </c>
      <c r="H86" s="57">
        <v>1354.32</v>
      </c>
      <c r="I86" s="58">
        <f>H86/G86</f>
        <v>2.6399999999999997</v>
      </c>
      <c r="J86" s="56">
        <v>350</v>
      </c>
      <c r="K86" s="57">
        <v>985.61</v>
      </c>
      <c r="L86" s="58">
        <f>K86/J86</f>
        <v>2.8160285714285713</v>
      </c>
      <c r="M86" s="56">
        <v>162</v>
      </c>
      <c r="N86" s="57">
        <v>418.61</v>
      </c>
      <c r="O86" s="58">
        <f>N86/M86</f>
        <v>2.5840123456790125</v>
      </c>
      <c r="P86" s="56">
        <v>75</v>
      </c>
      <c r="Q86" s="57">
        <v>152.4</v>
      </c>
      <c r="R86" s="58">
        <f>Q86/P86</f>
        <v>2.032</v>
      </c>
      <c r="S86" s="56">
        <v>61</v>
      </c>
      <c r="T86" s="57">
        <v>119.56</v>
      </c>
      <c r="U86" s="58">
        <f>T86/S86</f>
        <v>1.96</v>
      </c>
      <c r="V86" s="56">
        <v>47</v>
      </c>
      <c r="W86" s="57">
        <v>82.72</v>
      </c>
      <c r="X86" s="58">
        <f>W86/V86</f>
        <v>1.76</v>
      </c>
      <c r="Y86" s="56">
        <v>48</v>
      </c>
      <c r="Z86" s="95">
        <v>97.15</v>
      </c>
      <c r="AA86" s="58">
        <f>Z86/Y86</f>
        <v>2.0239583333333333</v>
      </c>
      <c r="AB86" s="56">
        <v>57</v>
      </c>
      <c r="AC86" s="57">
        <v>93.02</v>
      </c>
      <c r="AD86" s="58">
        <f>AC86/AB86</f>
        <v>1.6319298245614033</v>
      </c>
      <c r="AE86" s="56">
        <v>52</v>
      </c>
      <c r="AF86" s="57">
        <v>71.14</v>
      </c>
      <c r="AG86" s="58">
        <f>AF86/AE86</f>
        <v>1.3680769230769232</v>
      </c>
      <c r="AH86" s="96">
        <v>50</v>
      </c>
      <c r="AI86" s="95">
        <v>110</v>
      </c>
      <c r="AJ86" s="58">
        <f>AI86/AH86</f>
        <v>2.2000000000000002</v>
      </c>
      <c r="AK86" s="96"/>
      <c r="AL86" s="95"/>
      <c r="AM86" s="58" t="e">
        <f>AL86/AK86</f>
        <v>#DIV/0!</v>
      </c>
      <c r="AN86" s="59">
        <f>AK86+AH86+AE86+AB86+Y86+V86+S86+P86+M86+J86+G86+D86</f>
        <v>2122</v>
      </c>
      <c r="AO86" s="60">
        <f>AL86+AI86+AF86+AC86+Z86+W86+T86+Q86+N86+K86+H86+E86</f>
        <v>5290.7699999999995</v>
      </c>
      <c r="AP86" s="61">
        <f>AO86/AN86</f>
        <v>2.4932940622054662</v>
      </c>
    </row>
    <row r="87" spans="1:42" ht="15" thickBot="1" x14ac:dyDescent="0.45">
      <c r="A87" s="62" t="s">
        <v>64</v>
      </c>
      <c r="B87" s="63"/>
      <c r="C87" s="64"/>
      <c r="D87" s="65">
        <f>D86</f>
        <v>707</v>
      </c>
      <c r="E87" s="66">
        <f>E86</f>
        <v>1806.24</v>
      </c>
      <c r="F87" s="67">
        <f>E87/D87</f>
        <v>2.554794908062235</v>
      </c>
      <c r="G87" s="65">
        <f>G86</f>
        <v>513</v>
      </c>
      <c r="H87" s="66">
        <f>H86</f>
        <v>1354.32</v>
      </c>
      <c r="I87" s="67">
        <f>H87/G87</f>
        <v>2.6399999999999997</v>
      </c>
      <c r="J87" s="65">
        <f>J86</f>
        <v>350</v>
      </c>
      <c r="K87" s="66">
        <f>K86</f>
        <v>985.61</v>
      </c>
      <c r="L87" s="67">
        <f>K87/J87</f>
        <v>2.8160285714285713</v>
      </c>
      <c r="M87" s="65">
        <f>M86</f>
        <v>162</v>
      </c>
      <c r="N87" s="66">
        <f>N86</f>
        <v>418.61</v>
      </c>
      <c r="O87" s="67">
        <f>N87/M87</f>
        <v>2.5840123456790125</v>
      </c>
      <c r="P87" s="65">
        <f>P86</f>
        <v>75</v>
      </c>
      <c r="Q87" s="66">
        <f>Q86</f>
        <v>152.4</v>
      </c>
      <c r="R87" s="67">
        <f>Q87/P87</f>
        <v>2.032</v>
      </c>
      <c r="S87" s="65">
        <f>S86</f>
        <v>61</v>
      </c>
      <c r="T87" s="66">
        <f>T86</f>
        <v>119.56</v>
      </c>
      <c r="U87" s="67">
        <f>T87/S87</f>
        <v>1.96</v>
      </c>
      <c r="V87" s="65">
        <f>V86</f>
        <v>47</v>
      </c>
      <c r="W87" s="66">
        <f>W86</f>
        <v>82.72</v>
      </c>
      <c r="X87" s="67">
        <f>W87/V87</f>
        <v>1.76</v>
      </c>
      <c r="Y87" s="65">
        <f>Y86</f>
        <v>48</v>
      </c>
      <c r="Z87" s="66">
        <f>Z86</f>
        <v>97.15</v>
      </c>
      <c r="AA87" s="67">
        <f>Z87/Y87</f>
        <v>2.0239583333333333</v>
      </c>
      <c r="AB87" s="65">
        <f>AB86</f>
        <v>57</v>
      </c>
      <c r="AC87" s="66">
        <f>AC86</f>
        <v>93.02</v>
      </c>
      <c r="AD87" s="67">
        <f>AC87/AB87</f>
        <v>1.6319298245614033</v>
      </c>
      <c r="AE87" s="65">
        <f>AE86</f>
        <v>52</v>
      </c>
      <c r="AF87" s="66">
        <f>AF86</f>
        <v>71.14</v>
      </c>
      <c r="AG87" s="67">
        <f>AF87/AE87</f>
        <v>1.3680769230769232</v>
      </c>
      <c r="AH87" s="65">
        <f>AH86</f>
        <v>50</v>
      </c>
      <c r="AI87" s="66">
        <f>AI86</f>
        <v>110</v>
      </c>
      <c r="AJ87" s="67">
        <f>AI87/AH87</f>
        <v>2.2000000000000002</v>
      </c>
      <c r="AK87" s="65"/>
      <c r="AL87" s="66">
        <f>AL86</f>
        <v>0</v>
      </c>
      <c r="AM87" s="67" t="e">
        <f>AL87/AK87</f>
        <v>#DIV/0!</v>
      </c>
      <c r="AN87" s="65">
        <f>AN86</f>
        <v>2122</v>
      </c>
      <c r="AO87" s="66">
        <f>AO86</f>
        <v>5290.7699999999995</v>
      </c>
      <c r="AP87" s="67">
        <f t="shared" ref="AP87" si="21">AO87/AN87</f>
        <v>2.4932940622054662</v>
      </c>
    </row>
    <row r="88" spans="1:42" ht="15" thickBot="1" x14ac:dyDescent="0.45">
      <c r="A88" s="68"/>
      <c r="B88" s="69"/>
      <c r="C88" s="69"/>
      <c r="D88" s="70"/>
      <c r="E88" s="71"/>
      <c r="F88" s="72"/>
      <c r="G88" s="70"/>
      <c r="H88" s="71"/>
      <c r="I88" s="72"/>
      <c r="J88" s="70"/>
      <c r="K88" s="71"/>
      <c r="L88" s="72"/>
      <c r="M88" s="70"/>
      <c r="N88" s="71"/>
      <c r="O88" s="72"/>
      <c r="P88" s="70"/>
      <c r="Q88" s="71"/>
      <c r="R88" s="72"/>
      <c r="S88" s="70"/>
      <c r="T88" s="71"/>
      <c r="U88" s="72"/>
      <c r="V88" s="70"/>
      <c r="W88" s="71"/>
      <c r="X88" s="72"/>
      <c r="Y88" s="70"/>
      <c r="Z88" s="71"/>
      <c r="AA88" s="72"/>
      <c r="AB88" s="70"/>
      <c r="AC88" s="71"/>
      <c r="AD88" s="72"/>
      <c r="AE88" s="70"/>
      <c r="AF88" s="71"/>
      <c r="AG88" s="72"/>
      <c r="AH88" s="70"/>
      <c r="AI88" s="71"/>
      <c r="AJ88" s="72"/>
      <c r="AK88" s="70"/>
      <c r="AL88" s="71"/>
      <c r="AM88" s="72"/>
      <c r="AN88" s="73"/>
      <c r="AO88" s="72"/>
      <c r="AP88" s="72"/>
    </row>
    <row r="89" spans="1:42" ht="15" thickBot="1" x14ac:dyDescent="0.45">
      <c r="A89" s="74" t="s">
        <v>70</v>
      </c>
      <c r="B89" s="75" t="s">
        <v>70</v>
      </c>
      <c r="C89" s="76"/>
      <c r="D89" s="96">
        <v>135</v>
      </c>
      <c r="E89" s="95">
        <v>343.75</v>
      </c>
      <c r="F89" s="77">
        <f>E89/D89</f>
        <v>2.5462962962962963</v>
      </c>
      <c r="G89" s="56">
        <v>86.1</v>
      </c>
      <c r="H89" s="95">
        <v>227.41</v>
      </c>
      <c r="I89" s="77">
        <f>H89/G89</f>
        <v>2.6412311265969803</v>
      </c>
      <c r="J89" s="96">
        <v>67.099999999999994</v>
      </c>
      <c r="K89" s="95">
        <v>188.48</v>
      </c>
      <c r="L89" s="77">
        <f>K89/J89</f>
        <v>2.8089418777943367</v>
      </c>
      <c r="M89" s="96">
        <v>32.6</v>
      </c>
      <c r="N89" s="95">
        <v>84.11</v>
      </c>
      <c r="O89" s="77">
        <f>N89/M89</f>
        <v>2.5800613496932514</v>
      </c>
      <c r="P89" s="96">
        <v>14</v>
      </c>
      <c r="Q89" s="95">
        <v>28.48</v>
      </c>
      <c r="R89" s="77">
        <f>Q89/P89</f>
        <v>2.0342857142857143</v>
      </c>
      <c r="S89" s="96">
        <v>7.9</v>
      </c>
      <c r="T89" s="95">
        <v>15.5</v>
      </c>
      <c r="U89" s="77">
        <f>T89/S89</f>
        <v>1.9620253164556962</v>
      </c>
      <c r="V89" s="96">
        <v>7.5</v>
      </c>
      <c r="W89" s="95">
        <v>17.600000000000001</v>
      </c>
      <c r="X89" s="77">
        <f>W89/V89</f>
        <v>2.3466666666666667</v>
      </c>
      <c r="Y89" s="96">
        <v>7</v>
      </c>
      <c r="Z89" s="95">
        <v>17.71</v>
      </c>
      <c r="AA89" s="77">
        <f>Z89/Y89</f>
        <v>2.5300000000000002</v>
      </c>
      <c r="AB89" s="96">
        <v>8.1</v>
      </c>
      <c r="AC89" s="95">
        <v>13.23</v>
      </c>
      <c r="AD89" s="77">
        <f>AC89/AB89</f>
        <v>1.6333333333333335</v>
      </c>
      <c r="AE89" s="96">
        <v>18.899999999999999</v>
      </c>
      <c r="AF89" s="95">
        <v>25.89</v>
      </c>
      <c r="AG89" s="77">
        <f>AF89/AE89</f>
        <v>1.3698412698412701</v>
      </c>
      <c r="AH89" s="96">
        <v>46.5</v>
      </c>
      <c r="AI89" s="95">
        <v>102.24</v>
      </c>
      <c r="AJ89" s="77">
        <f>AI89/AH89</f>
        <v>2.1987096774193549</v>
      </c>
      <c r="AK89" s="96"/>
      <c r="AL89" s="95"/>
      <c r="AM89" s="77" t="e">
        <f>AL89/AK89</f>
        <v>#DIV/0!</v>
      </c>
      <c r="AN89" s="78">
        <f>AK89+AH89+AE89+AB89+Y89+V89+S89+P89+M89+J89+G89+D89</f>
        <v>430.7</v>
      </c>
      <c r="AO89" s="79">
        <f>AL89+AI89+AF89+AC89+Z89+W89+T89+Q89+N89+K89+H89+E89</f>
        <v>1064.4000000000001</v>
      </c>
      <c r="AP89" s="80">
        <f>AO89/AN89</f>
        <v>2.4713257487810543</v>
      </c>
    </row>
    <row r="90" spans="1:42" ht="15" thickBot="1" x14ac:dyDescent="0.45">
      <c r="A90" s="62" t="s">
        <v>64</v>
      </c>
      <c r="B90" s="63"/>
      <c r="C90" s="64"/>
      <c r="D90" s="65">
        <f>D89</f>
        <v>135</v>
      </c>
      <c r="E90" s="66">
        <f>E89</f>
        <v>343.75</v>
      </c>
      <c r="F90" s="67">
        <f>E90/D90</f>
        <v>2.5462962962962963</v>
      </c>
      <c r="G90" s="65">
        <f>G89</f>
        <v>86.1</v>
      </c>
      <c r="H90" s="66">
        <f>H89</f>
        <v>227.41</v>
      </c>
      <c r="I90" s="67">
        <f>H90/G90</f>
        <v>2.6412311265969803</v>
      </c>
      <c r="J90" s="65">
        <f>J89</f>
        <v>67.099999999999994</v>
      </c>
      <c r="K90" s="66">
        <f>K89</f>
        <v>188.48</v>
      </c>
      <c r="L90" s="67">
        <f>K90/J90</f>
        <v>2.8089418777943367</v>
      </c>
      <c r="M90" s="65">
        <f>M89</f>
        <v>32.6</v>
      </c>
      <c r="N90" s="66">
        <f>N89</f>
        <v>84.11</v>
      </c>
      <c r="O90" s="67">
        <f>N90/M90</f>
        <v>2.5800613496932514</v>
      </c>
      <c r="P90" s="65">
        <f>P89</f>
        <v>14</v>
      </c>
      <c r="Q90" s="66">
        <f>Q89</f>
        <v>28.48</v>
      </c>
      <c r="R90" s="67">
        <f>Q90/P90</f>
        <v>2.0342857142857143</v>
      </c>
      <c r="S90" s="65">
        <f>S89</f>
        <v>7.9</v>
      </c>
      <c r="T90" s="66">
        <f>T89</f>
        <v>15.5</v>
      </c>
      <c r="U90" s="67">
        <f>T90/S90</f>
        <v>1.9620253164556962</v>
      </c>
      <c r="V90" s="65">
        <f>V89</f>
        <v>7.5</v>
      </c>
      <c r="W90" s="66">
        <f>W89</f>
        <v>17.600000000000001</v>
      </c>
      <c r="X90" s="67">
        <f>W90/V90</f>
        <v>2.3466666666666667</v>
      </c>
      <c r="Y90" s="65">
        <f>Y89</f>
        <v>7</v>
      </c>
      <c r="Z90" s="66">
        <f>Z89</f>
        <v>17.71</v>
      </c>
      <c r="AA90" s="67">
        <f>Z90/Y90</f>
        <v>2.5300000000000002</v>
      </c>
      <c r="AB90" s="65">
        <f>AB89</f>
        <v>8.1</v>
      </c>
      <c r="AC90" s="66">
        <f>AC89</f>
        <v>13.23</v>
      </c>
      <c r="AD90" s="67">
        <f>AC90/AB90</f>
        <v>1.6333333333333335</v>
      </c>
      <c r="AE90" s="65">
        <f>AE89</f>
        <v>18.899999999999999</v>
      </c>
      <c r="AF90" s="66">
        <f>AF89</f>
        <v>25.89</v>
      </c>
      <c r="AG90" s="67">
        <f>AF90/AE90</f>
        <v>1.3698412698412701</v>
      </c>
      <c r="AH90" s="65">
        <f>AH89</f>
        <v>46.5</v>
      </c>
      <c r="AI90" s="66">
        <f>AI89</f>
        <v>102.24</v>
      </c>
      <c r="AJ90" s="67">
        <f>AI90/AH90</f>
        <v>2.1987096774193549</v>
      </c>
      <c r="AK90" s="65"/>
      <c r="AL90" s="66">
        <f>AL89</f>
        <v>0</v>
      </c>
      <c r="AM90" s="67" t="e">
        <f>AL90/AK90</f>
        <v>#DIV/0!</v>
      </c>
      <c r="AN90" s="65">
        <f>AN89</f>
        <v>430.7</v>
      </c>
      <c r="AO90" s="66">
        <f>AO89</f>
        <v>1064.4000000000001</v>
      </c>
      <c r="AP90" s="67">
        <f t="shared" ref="AP90" si="22">AO90/AN90</f>
        <v>2.4713257487810543</v>
      </c>
    </row>
    <row r="91" spans="1:42" ht="15" thickBot="1" x14ac:dyDescent="0.45">
      <c r="A91" s="68"/>
      <c r="B91" s="69"/>
      <c r="C91" s="69"/>
      <c r="D91" s="70"/>
      <c r="E91" s="71"/>
      <c r="F91" s="72"/>
      <c r="G91" s="70"/>
      <c r="H91" s="71"/>
      <c r="I91" s="72"/>
      <c r="J91" s="70"/>
      <c r="K91" s="71"/>
      <c r="L91" s="72"/>
      <c r="M91" s="70"/>
      <c r="N91" s="71"/>
      <c r="O91" s="72"/>
      <c r="P91" s="70"/>
      <c r="Q91" s="71"/>
      <c r="R91" s="72"/>
      <c r="S91" s="70"/>
      <c r="T91" s="71"/>
      <c r="U91" s="72"/>
      <c r="V91" s="70"/>
      <c r="W91" s="71"/>
      <c r="X91" s="72"/>
      <c r="Y91" s="70"/>
      <c r="Z91" s="71"/>
      <c r="AA91" s="72"/>
      <c r="AB91" s="70"/>
      <c r="AC91" s="71"/>
      <c r="AD91" s="72"/>
      <c r="AE91" s="70"/>
      <c r="AF91" s="71"/>
      <c r="AG91" s="72"/>
      <c r="AH91" s="70"/>
      <c r="AI91" s="71"/>
      <c r="AJ91" s="72"/>
      <c r="AK91" s="70"/>
      <c r="AL91" s="71"/>
      <c r="AM91" s="72"/>
      <c r="AN91" s="73"/>
      <c r="AO91" s="72"/>
      <c r="AP91" s="72"/>
    </row>
    <row r="92" spans="1:42" ht="15" thickBot="1" x14ac:dyDescent="0.45">
      <c r="A92" s="74" t="s">
        <v>71</v>
      </c>
      <c r="B92" s="75" t="s">
        <v>72</v>
      </c>
      <c r="C92" s="76"/>
      <c r="D92" s="56">
        <v>163.5</v>
      </c>
      <c r="E92" s="57">
        <v>858.37</v>
      </c>
      <c r="F92" s="77">
        <f>E92/D92</f>
        <v>5.2499694189602444</v>
      </c>
      <c r="G92" s="56">
        <v>115.5</v>
      </c>
      <c r="H92" s="57">
        <v>604.79999999999995</v>
      </c>
      <c r="I92" s="77">
        <f>H92/G92</f>
        <v>5.2363636363636363</v>
      </c>
      <c r="J92" s="56">
        <v>85.2</v>
      </c>
      <c r="K92" s="57">
        <v>448.69</v>
      </c>
      <c r="L92" s="77">
        <f>K92/J92</f>
        <v>5.2663145539906102</v>
      </c>
      <c r="M92" s="96">
        <v>29.2</v>
      </c>
      <c r="N92" s="95">
        <v>115.3</v>
      </c>
      <c r="O92" s="77">
        <f>N92/M92</f>
        <v>3.9486301369863015</v>
      </c>
      <c r="P92" s="96">
        <v>10.5</v>
      </c>
      <c r="Q92" s="95">
        <v>26.67</v>
      </c>
      <c r="R92" s="77">
        <f>Q92/P92</f>
        <v>2.54</v>
      </c>
      <c r="S92" s="96">
        <v>2.1</v>
      </c>
      <c r="T92" s="95">
        <v>5.15</v>
      </c>
      <c r="U92" s="77">
        <f>T92/S92</f>
        <v>2.4523809523809526</v>
      </c>
      <c r="V92" s="96">
        <v>1.1000000000000001</v>
      </c>
      <c r="W92" s="95">
        <v>2.2000000000000002</v>
      </c>
      <c r="X92" s="77">
        <f>W92/V92</f>
        <v>2</v>
      </c>
      <c r="Y92" s="96">
        <v>1</v>
      </c>
      <c r="Z92" s="95">
        <v>2.5299999999999998</v>
      </c>
      <c r="AA92" s="77">
        <f>Z92/Y92</f>
        <v>2.5299999999999998</v>
      </c>
      <c r="AB92" s="96">
        <v>2.4</v>
      </c>
      <c r="AC92" s="95">
        <v>15.75</v>
      </c>
      <c r="AD92" s="77">
        <f>AC92/AB92</f>
        <v>6.5625</v>
      </c>
      <c r="AE92" s="96">
        <v>21.4</v>
      </c>
      <c r="AF92" s="95">
        <v>131.25</v>
      </c>
      <c r="AG92" s="77">
        <f>AF92/AE92</f>
        <v>6.1331775700934585</v>
      </c>
      <c r="AH92" s="96">
        <v>26.8</v>
      </c>
      <c r="AI92" s="95">
        <v>162.75</v>
      </c>
      <c r="AJ92" s="77">
        <f>AI92/AH92</f>
        <v>6.0727611940298507</v>
      </c>
      <c r="AK92" s="96"/>
      <c r="AL92" s="95"/>
      <c r="AM92" s="77" t="e">
        <f>AL92/AK92</f>
        <v>#DIV/0!</v>
      </c>
      <c r="AN92" s="78">
        <f>AK92+AH92+AE92+AB92+Y92+V92+S92+P92+M92+J92+G92+D92</f>
        <v>458.70000000000005</v>
      </c>
      <c r="AO92" s="79">
        <f>AL92+AI92+AF92+AC92+Z92+W92+T92+Q92+N92+K92+H92+E92</f>
        <v>2373.46</v>
      </c>
      <c r="AP92" s="80">
        <f>AO92/AN92</f>
        <v>5.1743187268367121</v>
      </c>
    </row>
    <row r="93" spans="1:42" ht="15" thickBot="1" x14ac:dyDescent="0.45">
      <c r="A93" s="62" t="s">
        <v>64</v>
      </c>
      <c r="B93" s="63"/>
      <c r="C93" s="64"/>
      <c r="D93" s="65">
        <f>D92</f>
        <v>163.5</v>
      </c>
      <c r="E93" s="66">
        <f>E92</f>
        <v>858.37</v>
      </c>
      <c r="F93" s="67">
        <f>E93/D93</f>
        <v>5.2499694189602444</v>
      </c>
      <c r="G93" s="65">
        <f>G92</f>
        <v>115.5</v>
      </c>
      <c r="H93" s="66">
        <f>H92</f>
        <v>604.79999999999995</v>
      </c>
      <c r="I93" s="67">
        <f>H93/G93</f>
        <v>5.2363636363636363</v>
      </c>
      <c r="J93" s="65">
        <f>J92</f>
        <v>85.2</v>
      </c>
      <c r="K93" s="66">
        <f>K92</f>
        <v>448.69</v>
      </c>
      <c r="L93" s="67">
        <f>K93/J93</f>
        <v>5.2663145539906102</v>
      </c>
      <c r="M93" s="65">
        <f>M92</f>
        <v>29.2</v>
      </c>
      <c r="N93" s="66">
        <f>N92</f>
        <v>115.3</v>
      </c>
      <c r="O93" s="67">
        <f>N93/M93</f>
        <v>3.9486301369863015</v>
      </c>
      <c r="P93" s="65">
        <f>P92</f>
        <v>10.5</v>
      </c>
      <c r="Q93" s="66">
        <f>Q92</f>
        <v>26.67</v>
      </c>
      <c r="R93" s="67">
        <f>Q93/P93</f>
        <v>2.54</v>
      </c>
      <c r="S93" s="65">
        <f>S92</f>
        <v>2.1</v>
      </c>
      <c r="T93" s="66">
        <f>T92</f>
        <v>5.15</v>
      </c>
      <c r="U93" s="67">
        <f>T93/S93</f>
        <v>2.4523809523809526</v>
      </c>
      <c r="V93" s="65">
        <f>V92</f>
        <v>1.1000000000000001</v>
      </c>
      <c r="W93" s="66">
        <f>W92</f>
        <v>2.2000000000000002</v>
      </c>
      <c r="X93" s="67">
        <f>W93/V93</f>
        <v>2</v>
      </c>
      <c r="Y93" s="65">
        <f>Y92</f>
        <v>1</v>
      </c>
      <c r="Z93" s="66">
        <f>Z92</f>
        <v>2.5299999999999998</v>
      </c>
      <c r="AA93" s="67">
        <f>Z93/Y93</f>
        <v>2.5299999999999998</v>
      </c>
      <c r="AB93" s="65">
        <f>AB92</f>
        <v>2.4</v>
      </c>
      <c r="AC93" s="66">
        <f>AC92</f>
        <v>15.75</v>
      </c>
      <c r="AD93" s="67">
        <f>AC93/AB93</f>
        <v>6.5625</v>
      </c>
      <c r="AE93" s="65">
        <f>AE92</f>
        <v>21.4</v>
      </c>
      <c r="AF93" s="66">
        <f>AF92</f>
        <v>131.25</v>
      </c>
      <c r="AG93" s="67">
        <f>AF93/AE93</f>
        <v>6.1331775700934585</v>
      </c>
      <c r="AH93" s="65">
        <f>AH92</f>
        <v>26.8</v>
      </c>
      <c r="AI93" s="66">
        <f>AI92</f>
        <v>162.75</v>
      </c>
      <c r="AJ93" s="67">
        <f>AI93/AH93</f>
        <v>6.0727611940298507</v>
      </c>
      <c r="AK93" s="65"/>
      <c r="AL93" s="66">
        <f>AL92</f>
        <v>0</v>
      </c>
      <c r="AM93" s="67" t="e">
        <f>AL93/AK93</f>
        <v>#DIV/0!</v>
      </c>
      <c r="AN93" s="65">
        <f>AN92</f>
        <v>458.70000000000005</v>
      </c>
      <c r="AO93" s="66">
        <f>AO92</f>
        <v>2373.46</v>
      </c>
      <c r="AP93" s="67">
        <f t="shared" ref="AP93" si="23">AO93/AN93</f>
        <v>5.1743187268367121</v>
      </c>
    </row>
    <row r="94" spans="1:42" ht="15" thickBot="1" x14ac:dyDescent="0.45">
      <c r="A94" s="68"/>
      <c r="B94" s="69"/>
      <c r="C94" s="69"/>
      <c r="D94" s="81"/>
      <c r="E94" s="82"/>
      <c r="F94" s="83"/>
      <c r="G94" s="81"/>
      <c r="H94" s="82"/>
      <c r="I94" s="83"/>
      <c r="J94" s="81"/>
      <c r="K94" s="82"/>
      <c r="L94" s="83"/>
      <c r="M94" s="81"/>
      <c r="N94" s="82"/>
      <c r="O94" s="83"/>
      <c r="P94" s="81"/>
      <c r="Q94" s="82"/>
      <c r="R94" s="83"/>
      <c r="S94" s="81"/>
      <c r="T94" s="82"/>
      <c r="U94" s="83"/>
      <c r="V94" s="81"/>
      <c r="W94" s="82"/>
      <c r="X94" s="83"/>
      <c r="Y94" s="81"/>
      <c r="Z94" s="82"/>
      <c r="AA94" s="83"/>
      <c r="AB94" s="81"/>
      <c r="AC94" s="82"/>
      <c r="AD94" s="83"/>
      <c r="AE94" s="81"/>
      <c r="AF94" s="82"/>
      <c r="AG94" s="83"/>
      <c r="AH94" s="81"/>
      <c r="AI94" s="82"/>
      <c r="AJ94" s="83"/>
      <c r="AK94" s="81"/>
      <c r="AL94" s="82"/>
      <c r="AM94" s="83"/>
      <c r="AN94" s="81"/>
      <c r="AO94" s="82"/>
      <c r="AP94" s="83"/>
    </row>
    <row r="95" spans="1:42" ht="15" thickBot="1" x14ac:dyDescent="0.45">
      <c r="A95" s="74" t="s">
        <v>73</v>
      </c>
      <c r="B95" s="75" t="s">
        <v>74</v>
      </c>
      <c r="C95" s="76"/>
      <c r="D95" s="56">
        <v>58</v>
      </c>
      <c r="E95" s="57">
        <v>203.84</v>
      </c>
      <c r="F95" s="77">
        <f>E95/D95</f>
        <v>3.5144827586206899</v>
      </c>
      <c r="G95" s="56">
        <v>43.637999999999998</v>
      </c>
      <c r="H95" s="57">
        <v>152.72999999999999</v>
      </c>
      <c r="I95" s="77">
        <f>H95/G95</f>
        <v>3.4999312525780284</v>
      </c>
      <c r="J95" s="56">
        <v>33.427999999999997</v>
      </c>
      <c r="K95" s="57">
        <v>117</v>
      </c>
      <c r="L95" s="77">
        <f>K95/J95</f>
        <v>3.5000598300825656</v>
      </c>
      <c r="M95" s="56">
        <v>18.113</v>
      </c>
      <c r="N95" s="57">
        <v>63.4</v>
      </c>
      <c r="O95" s="77">
        <f>N95/M95</f>
        <v>3.5002484403467125</v>
      </c>
      <c r="P95" s="56">
        <v>8.3049999999999997</v>
      </c>
      <c r="Q95" s="57">
        <v>29.07</v>
      </c>
      <c r="R95" s="77">
        <f>Q95/P95</f>
        <v>3.5003010234798317</v>
      </c>
      <c r="S95" s="56">
        <v>3.4</v>
      </c>
      <c r="T95" s="57">
        <v>11.9</v>
      </c>
      <c r="U95" s="77">
        <f>T95/S95</f>
        <v>3.5</v>
      </c>
      <c r="V95" s="56">
        <v>1.7</v>
      </c>
      <c r="W95" s="57">
        <v>5.95</v>
      </c>
      <c r="X95" s="77">
        <f>W95/V95</f>
        <v>3.5</v>
      </c>
      <c r="Y95" s="56">
        <v>1.4</v>
      </c>
      <c r="Z95" s="57">
        <v>4.9000000000000004</v>
      </c>
      <c r="AA95" s="77">
        <f>Z95/Y95</f>
        <v>3.5000000000000004</v>
      </c>
      <c r="AB95" s="56">
        <v>4.4029999999999996</v>
      </c>
      <c r="AC95" s="57">
        <v>15.41</v>
      </c>
      <c r="AD95" s="77">
        <f>AC95/AB95</f>
        <v>3.499886441062912</v>
      </c>
      <c r="AE95" s="56">
        <v>14.612</v>
      </c>
      <c r="AF95" s="57">
        <v>51.14</v>
      </c>
      <c r="AG95" s="77">
        <f>AF95/AE95</f>
        <v>3.4998631261976456</v>
      </c>
      <c r="AH95" s="56">
        <v>25.222999999999999</v>
      </c>
      <c r="AI95" s="57">
        <v>88.28</v>
      </c>
      <c r="AJ95" s="77">
        <f>AI95/AH95</f>
        <v>3.4999801768227412</v>
      </c>
      <c r="AK95" s="96">
        <v>47.643000000000001</v>
      </c>
      <c r="AL95" s="95">
        <v>166.75</v>
      </c>
      <c r="AM95" s="77">
        <f>AL95/AK95</f>
        <v>3.4999895052788448</v>
      </c>
      <c r="AN95" s="78">
        <f>AK95+AH95+AE95+AB95+Y95+V95+S95+P95+M95+J95+G95+D95</f>
        <v>259.86500000000001</v>
      </c>
      <c r="AO95" s="79">
        <f>AL95+AI95+AF95+AC95+Z95+W95+T95+Q95+N95+K95+H95+E95</f>
        <v>910.37</v>
      </c>
      <c r="AP95" s="80">
        <f>AO95/AN95</f>
        <v>3.5032420679968443</v>
      </c>
    </row>
    <row r="96" spans="1:42" ht="15" thickBot="1" x14ac:dyDescent="0.45">
      <c r="A96" s="62" t="s">
        <v>64</v>
      </c>
      <c r="B96" s="63"/>
      <c r="C96" s="64"/>
      <c r="D96" s="65">
        <f>D95</f>
        <v>58</v>
      </c>
      <c r="E96" s="66">
        <f>E95</f>
        <v>203.84</v>
      </c>
      <c r="F96" s="67">
        <f>E96/D96</f>
        <v>3.5144827586206899</v>
      </c>
      <c r="G96" s="65">
        <f>G95</f>
        <v>43.637999999999998</v>
      </c>
      <c r="H96" s="66">
        <f>H95</f>
        <v>152.72999999999999</v>
      </c>
      <c r="I96" s="67">
        <f>H96/G96</f>
        <v>3.4999312525780284</v>
      </c>
      <c r="J96" s="65">
        <f>J95</f>
        <v>33.427999999999997</v>
      </c>
      <c r="K96" s="66">
        <f>K95</f>
        <v>117</v>
      </c>
      <c r="L96" s="67">
        <f>K96/J96</f>
        <v>3.5000598300825656</v>
      </c>
      <c r="M96" s="65">
        <f>M95</f>
        <v>18.113</v>
      </c>
      <c r="N96" s="66">
        <f>N95</f>
        <v>63.4</v>
      </c>
      <c r="O96" s="67">
        <f>N96/M96</f>
        <v>3.5002484403467125</v>
      </c>
      <c r="P96" s="65">
        <f>P95</f>
        <v>8.3049999999999997</v>
      </c>
      <c r="Q96" s="66">
        <f>Q95</f>
        <v>29.07</v>
      </c>
      <c r="R96" s="67">
        <f>Q96/P96</f>
        <v>3.5003010234798317</v>
      </c>
      <c r="S96" s="65">
        <f>S95</f>
        <v>3.4</v>
      </c>
      <c r="T96" s="66">
        <f>T95</f>
        <v>11.9</v>
      </c>
      <c r="U96" s="67">
        <f>T96/S96</f>
        <v>3.5</v>
      </c>
      <c r="V96" s="65">
        <f>V95</f>
        <v>1.7</v>
      </c>
      <c r="W96" s="66">
        <f>W95</f>
        <v>5.95</v>
      </c>
      <c r="X96" s="67">
        <f>W96/V96</f>
        <v>3.5</v>
      </c>
      <c r="Y96" s="65">
        <f>Y95</f>
        <v>1.4</v>
      </c>
      <c r="Z96" s="66">
        <f>Z95</f>
        <v>4.9000000000000004</v>
      </c>
      <c r="AA96" s="67">
        <f>Z96/Y96</f>
        <v>3.5000000000000004</v>
      </c>
      <c r="AB96" s="65">
        <f>AB95</f>
        <v>4.4029999999999996</v>
      </c>
      <c r="AC96" s="66">
        <f>AC95</f>
        <v>15.41</v>
      </c>
      <c r="AD96" s="67">
        <f>AC96/AB96</f>
        <v>3.499886441062912</v>
      </c>
      <c r="AE96" s="65">
        <f>AE95</f>
        <v>14.612</v>
      </c>
      <c r="AF96" s="66">
        <f>AF95</f>
        <v>51.14</v>
      </c>
      <c r="AG96" s="67">
        <f>AF96/AE96</f>
        <v>3.4998631261976456</v>
      </c>
      <c r="AH96" s="65">
        <f>AH95</f>
        <v>25.222999999999999</v>
      </c>
      <c r="AI96" s="66">
        <f>AI95</f>
        <v>88.28</v>
      </c>
      <c r="AJ96" s="67">
        <f>AI96/AH96</f>
        <v>3.4999801768227412</v>
      </c>
      <c r="AK96" s="65">
        <f>AK95</f>
        <v>47.643000000000001</v>
      </c>
      <c r="AL96" s="66">
        <f>AL95</f>
        <v>166.75</v>
      </c>
      <c r="AM96" s="67">
        <f>AL96/AK96</f>
        <v>3.4999895052788448</v>
      </c>
      <c r="AN96" s="65">
        <f>AN95</f>
        <v>259.86500000000001</v>
      </c>
      <c r="AO96" s="66">
        <f>AO95</f>
        <v>910.37</v>
      </c>
      <c r="AP96" s="67">
        <f t="shared" ref="AP96" si="24">AO96/AN96</f>
        <v>3.5032420679968443</v>
      </c>
    </row>
    <row r="97" spans="1:42" ht="15" thickBot="1" x14ac:dyDescent="0.45">
      <c r="A97" s="68"/>
      <c r="B97" s="69"/>
      <c r="C97" s="69"/>
      <c r="D97" s="81"/>
      <c r="E97" s="82"/>
      <c r="F97" s="72"/>
      <c r="G97" s="81"/>
      <c r="H97" s="82"/>
      <c r="I97" s="72"/>
      <c r="J97" s="81"/>
      <c r="K97" s="82"/>
      <c r="L97" s="72"/>
      <c r="M97" s="81"/>
      <c r="N97" s="82"/>
      <c r="O97" s="72"/>
      <c r="P97" s="81"/>
      <c r="Q97" s="82"/>
      <c r="R97" s="72"/>
      <c r="S97" s="81"/>
      <c r="T97" s="82"/>
      <c r="U97" s="72"/>
      <c r="V97" s="81"/>
      <c r="W97" s="82"/>
      <c r="X97" s="72"/>
      <c r="Y97" s="81"/>
      <c r="Z97" s="82"/>
      <c r="AA97" s="72"/>
      <c r="AB97" s="81"/>
      <c r="AC97" s="82"/>
      <c r="AD97" s="72"/>
      <c r="AE97" s="81"/>
      <c r="AF97" s="82"/>
      <c r="AG97" s="72"/>
      <c r="AH97" s="81"/>
      <c r="AI97" s="82"/>
      <c r="AJ97" s="72"/>
      <c r="AK97" s="81"/>
      <c r="AL97" s="82"/>
      <c r="AM97" s="72"/>
      <c r="AN97" s="81"/>
      <c r="AO97" s="82"/>
      <c r="AP97" s="72"/>
    </row>
    <row r="98" spans="1:42" ht="15" thickBot="1" x14ac:dyDescent="0.45">
      <c r="A98" s="74" t="s">
        <v>75</v>
      </c>
      <c r="B98" s="75" t="s">
        <v>83</v>
      </c>
      <c r="C98" s="76"/>
      <c r="D98" s="96">
        <v>81.599999999999994</v>
      </c>
      <c r="E98" s="95">
        <v>376.6</v>
      </c>
      <c r="F98" s="77">
        <f>E98/D98</f>
        <v>4.6151960784313735</v>
      </c>
      <c r="G98" s="96">
        <v>58.7</v>
      </c>
      <c r="H98" s="95">
        <v>270.89999999999998</v>
      </c>
      <c r="I98" s="77">
        <f>H98/G98</f>
        <v>4.6149914821124352</v>
      </c>
      <c r="J98" s="96">
        <v>46.3</v>
      </c>
      <c r="K98" s="95">
        <v>213.52</v>
      </c>
      <c r="L98" s="77">
        <f>K98/J98</f>
        <v>4.6116630669546446</v>
      </c>
      <c r="M98" s="96">
        <v>21.2</v>
      </c>
      <c r="N98" s="95">
        <v>97.67</v>
      </c>
      <c r="O98" s="77">
        <f>N98/M98</f>
        <v>4.6070754716981135</v>
      </c>
      <c r="P98" s="56">
        <v>16.276</v>
      </c>
      <c r="Q98" s="57">
        <v>75.12</v>
      </c>
      <c r="R98" s="77">
        <f>Q98/P98</f>
        <v>4.6153846153846159</v>
      </c>
      <c r="S98" s="56">
        <v>9.2449999999999992</v>
      </c>
      <c r="T98" s="57">
        <v>42.67</v>
      </c>
      <c r="U98" s="77">
        <f>T98/S98</f>
        <v>4.6154678204434836</v>
      </c>
      <c r="V98" s="56">
        <v>8.0449999999999999</v>
      </c>
      <c r="W98" s="57">
        <v>37.130000000000003</v>
      </c>
      <c r="X98" s="77">
        <f>W98/V98</f>
        <v>4.615288999378496</v>
      </c>
      <c r="Y98" s="56">
        <v>5.9320000000000004</v>
      </c>
      <c r="Z98" s="57">
        <v>27.38</v>
      </c>
      <c r="AA98" s="77">
        <f>Z98/Y98</f>
        <v>4.6156439649359404</v>
      </c>
      <c r="AB98" s="56">
        <v>10.039999999999999</v>
      </c>
      <c r="AC98" s="57">
        <v>46.34</v>
      </c>
      <c r="AD98" s="77">
        <f>AC98/AB98</f>
        <v>4.6155378486055785</v>
      </c>
      <c r="AE98" s="56">
        <v>16.141999999999999</v>
      </c>
      <c r="AF98" s="57">
        <v>74.5</v>
      </c>
      <c r="AG98" s="77">
        <f>AF98/AE98</f>
        <v>4.6152893073968535</v>
      </c>
      <c r="AH98" s="56">
        <v>24.056000000000001</v>
      </c>
      <c r="AI98" s="57">
        <v>111.02</v>
      </c>
      <c r="AJ98" s="77">
        <f>AI98/AH98</f>
        <v>4.6150648486863979</v>
      </c>
      <c r="AK98" s="96"/>
      <c r="AL98" s="95"/>
      <c r="AM98" s="77" t="e">
        <f>AL98/AK98</f>
        <v>#DIV/0!</v>
      </c>
      <c r="AN98" s="78">
        <f>AK98+AH98+AE98+AB98+Y98+V98+S98+P98+M98+J98+G98+D98</f>
        <v>297.53599999999994</v>
      </c>
      <c r="AO98" s="79">
        <f>AL98+AI98+AF98+AC98+Z98+W98+T98+Q98+N98+K98+H98+E98</f>
        <v>1372.85</v>
      </c>
      <c r="AP98" s="80">
        <f>AO98/AN98</f>
        <v>4.614063508281351</v>
      </c>
    </row>
    <row r="99" spans="1:42" ht="15" thickBot="1" x14ac:dyDescent="0.45">
      <c r="A99" s="62" t="s">
        <v>64</v>
      </c>
      <c r="B99" s="63"/>
      <c r="C99" s="64"/>
      <c r="D99" s="65">
        <f>D98</f>
        <v>81.599999999999994</v>
      </c>
      <c r="E99" s="66">
        <f>E98</f>
        <v>376.6</v>
      </c>
      <c r="F99" s="67">
        <f>E99/D99</f>
        <v>4.6151960784313735</v>
      </c>
      <c r="G99" s="65">
        <f>G98</f>
        <v>58.7</v>
      </c>
      <c r="H99" s="66">
        <f>H98</f>
        <v>270.89999999999998</v>
      </c>
      <c r="I99" s="67">
        <f>H99/G99</f>
        <v>4.6149914821124352</v>
      </c>
      <c r="J99" s="65">
        <f>J98</f>
        <v>46.3</v>
      </c>
      <c r="K99" s="66">
        <f>K98</f>
        <v>213.52</v>
      </c>
      <c r="L99" s="67">
        <f>K99/J99</f>
        <v>4.6116630669546446</v>
      </c>
      <c r="M99" s="65">
        <f>M98</f>
        <v>21.2</v>
      </c>
      <c r="N99" s="66">
        <f>N98</f>
        <v>97.67</v>
      </c>
      <c r="O99" s="67">
        <f>N99/M99</f>
        <v>4.6070754716981135</v>
      </c>
      <c r="P99" s="65">
        <f>P98</f>
        <v>16.276</v>
      </c>
      <c r="Q99" s="66">
        <f>Q98</f>
        <v>75.12</v>
      </c>
      <c r="R99" s="67">
        <f>Q99/P99</f>
        <v>4.6153846153846159</v>
      </c>
      <c r="S99" s="65">
        <f>S98</f>
        <v>9.2449999999999992</v>
      </c>
      <c r="T99" s="66">
        <f>T98</f>
        <v>42.67</v>
      </c>
      <c r="U99" s="67">
        <f>T99/S99</f>
        <v>4.6154678204434836</v>
      </c>
      <c r="V99" s="65">
        <f>V98</f>
        <v>8.0449999999999999</v>
      </c>
      <c r="W99" s="66">
        <f>W98</f>
        <v>37.130000000000003</v>
      </c>
      <c r="X99" s="67">
        <f>W99/V99</f>
        <v>4.615288999378496</v>
      </c>
      <c r="Y99" s="65">
        <f>Y98</f>
        <v>5.9320000000000004</v>
      </c>
      <c r="Z99" s="66">
        <f>Z98</f>
        <v>27.38</v>
      </c>
      <c r="AA99" s="67">
        <f>Z99/Y99</f>
        <v>4.6156439649359404</v>
      </c>
      <c r="AB99" s="65">
        <f>AB98</f>
        <v>10.039999999999999</v>
      </c>
      <c r="AC99" s="66">
        <f>AC98</f>
        <v>46.34</v>
      </c>
      <c r="AD99" s="67">
        <f>AC99/AB99</f>
        <v>4.6155378486055785</v>
      </c>
      <c r="AE99" s="65">
        <f>AE98</f>
        <v>16.141999999999999</v>
      </c>
      <c r="AF99" s="66">
        <f>AF98</f>
        <v>74.5</v>
      </c>
      <c r="AG99" s="67">
        <f>AF99/AE99</f>
        <v>4.6152893073968535</v>
      </c>
      <c r="AH99" s="65">
        <f>AH98</f>
        <v>24.056000000000001</v>
      </c>
      <c r="AI99" s="66">
        <f>AI98</f>
        <v>111.02</v>
      </c>
      <c r="AJ99" s="67">
        <f>AI99/AH99</f>
        <v>4.6150648486863979</v>
      </c>
      <c r="AK99" s="65"/>
      <c r="AL99" s="66"/>
      <c r="AM99" s="67" t="e">
        <f>AL99/AK99</f>
        <v>#DIV/0!</v>
      </c>
      <c r="AN99" s="65">
        <f>AN98</f>
        <v>297.53599999999994</v>
      </c>
      <c r="AO99" s="66">
        <f>AO98</f>
        <v>1372.85</v>
      </c>
      <c r="AP99" s="67">
        <f t="shared" ref="AP99" si="25">AO99/AN99</f>
        <v>4.614063508281351</v>
      </c>
    </row>
    <row r="100" spans="1:42" ht="15" thickBot="1" x14ac:dyDescent="0.45">
      <c r="A100" s="68"/>
      <c r="B100" s="69"/>
      <c r="C100" s="69"/>
      <c r="D100" s="81"/>
      <c r="E100" s="82"/>
      <c r="F100" s="72"/>
      <c r="G100" s="81"/>
      <c r="H100" s="82"/>
      <c r="I100" s="72"/>
      <c r="J100" s="81"/>
      <c r="K100" s="82"/>
      <c r="L100" s="72"/>
      <c r="M100" s="81"/>
      <c r="N100" s="82"/>
      <c r="O100" s="72"/>
      <c r="P100" s="81"/>
      <c r="Q100" s="82"/>
      <c r="R100" s="72"/>
      <c r="S100" s="81"/>
      <c r="T100" s="82"/>
      <c r="U100" s="72"/>
      <c r="V100" s="81"/>
      <c r="W100" s="82"/>
      <c r="X100" s="72"/>
      <c r="Y100" s="81"/>
      <c r="Z100" s="82"/>
      <c r="AA100" s="72"/>
      <c r="AB100" s="81"/>
      <c r="AC100" s="82"/>
      <c r="AD100" s="72"/>
      <c r="AE100" s="81"/>
      <c r="AF100" s="82"/>
      <c r="AG100" s="72"/>
      <c r="AH100" s="81"/>
      <c r="AI100" s="82"/>
      <c r="AJ100" s="72"/>
      <c r="AK100" s="81"/>
      <c r="AL100" s="82"/>
      <c r="AM100" s="72"/>
      <c r="AN100" s="81"/>
      <c r="AO100" s="82"/>
      <c r="AP100" s="72"/>
    </row>
    <row r="101" spans="1:42" ht="15" thickBot="1" x14ac:dyDescent="0.45">
      <c r="A101" s="74" t="s">
        <v>76</v>
      </c>
      <c r="B101" s="75" t="s">
        <v>77</v>
      </c>
      <c r="C101" s="76"/>
      <c r="D101" s="96">
        <v>69.3</v>
      </c>
      <c r="E101" s="95">
        <v>264.45</v>
      </c>
      <c r="F101" s="77">
        <f>E101/D101</f>
        <v>3.8160173160173159</v>
      </c>
      <c r="G101" s="96">
        <v>48</v>
      </c>
      <c r="H101" s="95">
        <v>190.08</v>
      </c>
      <c r="I101" s="77">
        <f>H101/G101</f>
        <v>3.9600000000000004</v>
      </c>
      <c r="J101" s="96">
        <v>30.1</v>
      </c>
      <c r="K101" s="95">
        <v>126.78</v>
      </c>
      <c r="L101" s="77">
        <f>K101/J101</f>
        <v>4.2119601328903649</v>
      </c>
      <c r="M101" s="96">
        <v>8.5</v>
      </c>
      <c r="N101" s="95">
        <v>32.950000000000003</v>
      </c>
      <c r="O101" s="77">
        <f>N101/M101</f>
        <v>3.8764705882352946</v>
      </c>
      <c r="P101" s="56">
        <v>0.1</v>
      </c>
      <c r="Q101" s="95">
        <v>0.3</v>
      </c>
      <c r="R101" s="77">
        <f>Q101/P101</f>
        <v>2.9999999999999996</v>
      </c>
      <c r="S101" s="56">
        <v>0</v>
      </c>
      <c r="T101" s="95">
        <v>0</v>
      </c>
      <c r="U101" s="77" t="e">
        <f>T101/S101</f>
        <v>#DIV/0!</v>
      </c>
      <c r="V101" s="56">
        <v>0</v>
      </c>
      <c r="W101" s="95">
        <v>0</v>
      </c>
      <c r="X101" s="77" t="e">
        <f>W101/V101</f>
        <v>#DIV/0!</v>
      </c>
      <c r="Y101" s="56">
        <v>1</v>
      </c>
      <c r="Z101" s="95">
        <v>2.5299999999999998</v>
      </c>
      <c r="AA101" s="77">
        <f>Z101/Y101</f>
        <v>2.5299999999999998</v>
      </c>
      <c r="AB101" s="56">
        <v>0</v>
      </c>
      <c r="AC101" s="95">
        <v>0</v>
      </c>
      <c r="AD101" s="77" t="e">
        <f>AC101/AB101</f>
        <v>#DIV/0!</v>
      </c>
      <c r="AE101" s="56">
        <v>4.92</v>
      </c>
      <c r="AF101" s="95">
        <v>5.28</v>
      </c>
      <c r="AG101" s="77">
        <f>AF101/AE101</f>
        <v>1.0731707317073171</v>
      </c>
      <c r="AH101" s="56">
        <v>20</v>
      </c>
      <c r="AI101" s="95">
        <v>66</v>
      </c>
      <c r="AJ101" s="77">
        <f>AI101/AH101</f>
        <v>3.3</v>
      </c>
      <c r="AK101" s="96">
        <v>49.1</v>
      </c>
      <c r="AL101" s="95">
        <v>193.45</v>
      </c>
      <c r="AM101" s="77">
        <f>AL101/AK101</f>
        <v>3.9399185336048874</v>
      </c>
      <c r="AN101" s="78">
        <f>AK101+AH101+AE101+AB101+Y101+V101+S101+P101+M101+J101+G101+D101</f>
        <v>231.01999999999998</v>
      </c>
      <c r="AO101" s="79">
        <f>AL101+AI101+AF101+AC101+Z101+W101+T101+Q101+N101+K101+H101+E101</f>
        <v>881.81999999999994</v>
      </c>
      <c r="AP101" s="80">
        <f>AO101/AN101</f>
        <v>3.817072114968401</v>
      </c>
    </row>
    <row r="102" spans="1:42" ht="15" thickBot="1" x14ac:dyDescent="0.45">
      <c r="A102" s="62" t="s">
        <v>64</v>
      </c>
      <c r="B102" s="63"/>
      <c r="C102" s="64"/>
      <c r="D102" s="65">
        <f>D101</f>
        <v>69.3</v>
      </c>
      <c r="E102" s="66">
        <f>E101</f>
        <v>264.45</v>
      </c>
      <c r="F102" s="67">
        <f>E102/D102</f>
        <v>3.8160173160173159</v>
      </c>
      <c r="G102" s="65">
        <f>G101</f>
        <v>48</v>
      </c>
      <c r="H102" s="66">
        <f>H101</f>
        <v>190.08</v>
      </c>
      <c r="I102" s="67">
        <f>H102/G102</f>
        <v>3.9600000000000004</v>
      </c>
      <c r="J102" s="65">
        <f>J101</f>
        <v>30.1</v>
      </c>
      <c r="K102" s="66">
        <f>K101</f>
        <v>126.78</v>
      </c>
      <c r="L102" s="67">
        <f>K102/J102</f>
        <v>4.2119601328903649</v>
      </c>
      <c r="M102" s="65">
        <f>M101</f>
        <v>8.5</v>
      </c>
      <c r="N102" s="66">
        <f>N101</f>
        <v>32.950000000000003</v>
      </c>
      <c r="O102" s="67">
        <f>N102/M102</f>
        <v>3.8764705882352946</v>
      </c>
      <c r="P102" s="65">
        <f>P101</f>
        <v>0.1</v>
      </c>
      <c r="Q102" s="66">
        <f>Q101</f>
        <v>0.3</v>
      </c>
      <c r="R102" s="67">
        <f>Q102/P102</f>
        <v>2.9999999999999996</v>
      </c>
      <c r="S102" s="65">
        <f>S101</f>
        <v>0</v>
      </c>
      <c r="T102" s="66">
        <f>T101</f>
        <v>0</v>
      </c>
      <c r="U102" s="67" t="e">
        <f>T102/S102</f>
        <v>#DIV/0!</v>
      </c>
      <c r="V102" s="65">
        <f>V101</f>
        <v>0</v>
      </c>
      <c r="W102" s="66">
        <f>W101</f>
        <v>0</v>
      </c>
      <c r="X102" s="67" t="e">
        <f>W102/V102</f>
        <v>#DIV/0!</v>
      </c>
      <c r="Y102" s="65">
        <f>Y101</f>
        <v>1</v>
      </c>
      <c r="Z102" s="66">
        <f>Z101</f>
        <v>2.5299999999999998</v>
      </c>
      <c r="AA102" s="67">
        <f>Z102/Y102</f>
        <v>2.5299999999999998</v>
      </c>
      <c r="AB102" s="65">
        <f>AB101</f>
        <v>0</v>
      </c>
      <c r="AC102" s="66">
        <f>AC101</f>
        <v>0</v>
      </c>
      <c r="AD102" s="67" t="e">
        <f>AC102/AB102</f>
        <v>#DIV/0!</v>
      </c>
      <c r="AE102" s="65">
        <f>AE101</f>
        <v>4.92</v>
      </c>
      <c r="AF102" s="66">
        <f>AF101</f>
        <v>5.28</v>
      </c>
      <c r="AG102" s="67">
        <f>AF102/AE102</f>
        <v>1.0731707317073171</v>
      </c>
      <c r="AH102" s="65">
        <f>AH101</f>
        <v>20</v>
      </c>
      <c r="AI102" s="66">
        <f>AI101</f>
        <v>66</v>
      </c>
      <c r="AJ102" s="67">
        <f>AI102/AH102</f>
        <v>3.3</v>
      </c>
      <c r="AK102" s="65">
        <f>AK101</f>
        <v>49.1</v>
      </c>
      <c r="AL102" s="66">
        <f>AL101</f>
        <v>193.45</v>
      </c>
      <c r="AM102" s="67">
        <f>AL102/AK102</f>
        <v>3.9399185336048874</v>
      </c>
      <c r="AN102" s="65">
        <f>AN101</f>
        <v>231.01999999999998</v>
      </c>
      <c r="AO102" s="66">
        <f>AO101</f>
        <v>881.81999999999994</v>
      </c>
      <c r="AP102" s="67">
        <f t="shared" ref="AP102" si="26">AO102/AN102</f>
        <v>3.817072114968401</v>
      </c>
    </row>
    <row r="103" spans="1:42" ht="15" thickBot="1" x14ac:dyDescent="0.45">
      <c r="A103" s="68"/>
      <c r="B103" s="69"/>
      <c r="C103" s="69"/>
      <c r="D103" s="70"/>
      <c r="E103" s="71"/>
      <c r="F103" s="71"/>
      <c r="G103" s="70"/>
      <c r="H103" s="71"/>
      <c r="I103" s="71"/>
      <c r="J103" s="70"/>
      <c r="K103" s="71"/>
      <c r="L103" s="71"/>
      <c r="M103" s="70"/>
      <c r="N103" s="71"/>
      <c r="O103" s="71"/>
      <c r="P103" s="70"/>
      <c r="Q103" s="71"/>
      <c r="R103" s="71"/>
      <c r="S103" s="70"/>
      <c r="T103" s="71"/>
      <c r="U103" s="71"/>
      <c r="V103" s="70"/>
      <c r="W103" s="71"/>
      <c r="X103" s="71"/>
      <c r="Y103" s="70"/>
      <c r="Z103" s="71"/>
      <c r="AA103" s="71"/>
      <c r="AB103" s="70"/>
      <c r="AC103" s="71"/>
      <c r="AD103" s="71"/>
      <c r="AE103" s="70"/>
      <c r="AF103" s="71"/>
      <c r="AG103" s="71"/>
      <c r="AH103" s="70"/>
      <c r="AI103" s="71"/>
      <c r="AJ103" s="71"/>
      <c r="AK103" s="101"/>
      <c r="AL103" s="102"/>
      <c r="AM103" s="71"/>
      <c r="AN103" s="70"/>
      <c r="AO103" s="71"/>
      <c r="AP103" s="71"/>
    </row>
    <row r="104" spans="1:42" ht="15" thickBot="1" x14ac:dyDescent="0.45">
      <c r="A104" s="74" t="s">
        <v>78</v>
      </c>
      <c r="B104" s="85"/>
      <c r="C104" s="86"/>
      <c r="D104" s="87"/>
      <c r="E104" s="88"/>
      <c r="F104" s="88"/>
      <c r="G104" s="87"/>
      <c r="H104" s="88"/>
      <c r="I104" s="88"/>
      <c r="J104" s="87"/>
      <c r="K104" s="88"/>
      <c r="L104" s="88"/>
      <c r="M104" s="87"/>
      <c r="N104" s="88"/>
      <c r="O104" s="88"/>
      <c r="P104" s="87"/>
      <c r="Q104" s="88"/>
      <c r="R104" s="88"/>
      <c r="S104" s="87"/>
      <c r="T104" s="88"/>
      <c r="U104" s="88"/>
      <c r="V104" s="87"/>
      <c r="W104" s="88"/>
      <c r="X104" s="88"/>
      <c r="Y104" s="87"/>
      <c r="Z104" s="88"/>
      <c r="AA104" s="88"/>
      <c r="AB104" s="87"/>
      <c r="AC104" s="88"/>
      <c r="AD104" s="88"/>
      <c r="AE104" s="87"/>
      <c r="AF104" s="88"/>
      <c r="AG104" s="88"/>
      <c r="AH104" s="87"/>
      <c r="AI104" s="88"/>
      <c r="AJ104" s="88"/>
      <c r="AK104" s="103"/>
      <c r="AL104" s="104"/>
      <c r="AM104" s="88"/>
      <c r="AN104" s="87"/>
      <c r="AO104" s="88"/>
      <c r="AP104" s="89"/>
    </row>
    <row r="105" spans="1:42" ht="15" thickBot="1" x14ac:dyDescent="0.45">
      <c r="A105" s="62" t="s">
        <v>64</v>
      </c>
      <c r="B105" s="63"/>
      <c r="C105" s="64"/>
      <c r="D105" s="90">
        <f>D78+D81+D84+D87+D90+D93+D96+D102+D99</f>
        <v>7234.9400000000005</v>
      </c>
      <c r="E105" s="66">
        <f>E78+E81+E84+E87+E90+E93+E96+E102+E99</f>
        <v>30546.6</v>
      </c>
      <c r="F105" s="67">
        <f>E105/D105</f>
        <v>4.2220944472241646</v>
      </c>
      <c r="G105" s="90">
        <f>G78+G81+G84+G87+G90+G93+G96+G102+G99</f>
        <v>5559.4580000000005</v>
      </c>
      <c r="H105" s="66">
        <f>H78+H81+H84+H87+H90+H93+H96+H102+H99</f>
        <v>23385.24</v>
      </c>
      <c r="I105" s="67">
        <f>H105/G105</f>
        <v>4.2063884644870058</v>
      </c>
      <c r="J105" s="90">
        <f>J78+J81+J84+J87+J90+J93+J96+J102+J99</f>
        <v>4157.4579999999996</v>
      </c>
      <c r="K105" s="66">
        <f>K78+K81+K84+K87+K90+K93+K96+K102+K99</f>
        <v>16831.48</v>
      </c>
      <c r="L105" s="67">
        <f>K105/J105</f>
        <v>4.0485027148801027</v>
      </c>
      <c r="M105" s="90">
        <f>M78+M81+M84+M87+M90+M93+M96+M102+M99</f>
        <v>1967.0029999999999</v>
      </c>
      <c r="N105" s="66">
        <f>N78+N81+N84+N87+N90+N93+N96+N102+N99</f>
        <v>7727.2999999999993</v>
      </c>
      <c r="O105" s="67">
        <f>N105/M105</f>
        <v>3.9284637593333613</v>
      </c>
      <c r="P105" s="90">
        <f>P78+P81+P84+P87+P90+P93+P96+P102+P99</f>
        <v>1106.931</v>
      </c>
      <c r="Q105" s="66">
        <f>Q78+Q81+Q84+Q87+Q90+Q93+Q96+Q102+Q99</f>
        <v>4546.619999999999</v>
      </c>
      <c r="R105" s="67">
        <f>Q105/P105</f>
        <v>4.1074104890006682</v>
      </c>
      <c r="S105" s="90">
        <f>S78+S81+S84+S87+S90+S93+S96+S102+S99</f>
        <v>699.59500000000003</v>
      </c>
      <c r="T105" s="66">
        <f>T78+T81+T84+T87+T90+T93+T96+T102+T99</f>
        <v>2808.25</v>
      </c>
      <c r="U105" s="67">
        <f>T105/S105</f>
        <v>4.0141081625797783</v>
      </c>
      <c r="V105" s="90">
        <f>V78+V81+V84+V87+V90+V93+V96+V102+V99</f>
        <v>422.375</v>
      </c>
      <c r="W105" s="66">
        <f>W78+W81+W84+W87+W90+W93+W96+W102+W99</f>
        <v>1675.68</v>
      </c>
      <c r="X105" s="67">
        <f>W105/V105</f>
        <v>3.9672802604320805</v>
      </c>
      <c r="Y105" s="90">
        <f>Y78+Y81+Y84+Y87+Y90+Y93+Y96+Y102+Y99</f>
        <v>437.08199999999999</v>
      </c>
      <c r="Z105" s="66">
        <f>Z78+Z81+Z84+Z87+Z90+Z93+Z96+Z102+Z99</f>
        <v>1775.6800000000003</v>
      </c>
      <c r="AA105" s="67">
        <f>Z105/Y105</f>
        <v>4.0625786465697518</v>
      </c>
      <c r="AB105" s="90">
        <f>AB78+AB81+AB84+AB87+AB90+AB93+AB96+AB102+AB99</f>
        <v>850.12299999999993</v>
      </c>
      <c r="AC105" s="66">
        <f>AC78+AC81+AC84+AC87+AC90+AC93+AC96+AC102+AC99</f>
        <v>3335.61</v>
      </c>
      <c r="AD105" s="67">
        <f>AC105/AB105</f>
        <v>3.9236792793513415</v>
      </c>
      <c r="AE105" s="90">
        <f>AE78+AE81+AE84+AE87+AE90+AE93+AE96+AE102+AE99</f>
        <v>1666.3940000000005</v>
      </c>
      <c r="AF105" s="66">
        <f>AF78+AF81+AF84+AF87+AF90+AF93+AF96+AF102+AF99</f>
        <v>6160.9900000000007</v>
      </c>
      <c r="AG105" s="67">
        <f>AF105/AE105</f>
        <v>3.6971988617337792</v>
      </c>
      <c r="AH105" s="90">
        <f>AH78+AH81+AH84+AH87+AH90+AH93+AH96+AH102+AH99</f>
        <v>2887.0390000000002</v>
      </c>
      <c r="AI105" s="66">
        <f>AI78+AI81+AI84+AI87+AI90+AI93+AI96+AI102+AI99</f>
        <v>11878.91</v>
      </c>
      <c r="AJ105" s="67">
        <f>AI105/AH105</f>
        <v>4.1145651305714956</v>
      </c>
      <c r="AK105" s="90">
        <f>AK78+AK81+AK84+AK87+AK90+AK93+AK96+AK102+AK99</f>
        <v>5632.3530000000001</v>
      </c>
      <c r="AL105" s="66">
        <f>AL78+AL81+AL84+AL87+AL90+AL93+AL96+AL102+AL99</f>
        <v>24302.39</v>
      </c>
      <c r="AM105" s="67">
        <f>AL105/AK105</f>
        <v>4.3147846024565579</v>
      </c>
      <c r="AN105" s="90">
        <f>AN78+AN81+AN84+AN87+AN90+AN93+AN96+AN102</f>
        <v>32323.215000000004</v>
      </c>
      <c r="AO105" s="66">
        <f>AO78+AO81+AO84+AO87+AO90+AO93+AO96+AO102</f>
        <v>133601.9</v>
      </c>
      <c r="AP105" s="98">
        <f>AO105/AN105</f>
        <v>4.1333109964463617</v>
      </c>
    </row>
    <row r="107" spans="1:42" s="6" customFormat="1" x14ac:dyDescent="0.4">
      <c r="A107" s="105" t="s">
        <v>89</v>
      </c>
      <c r="C107" s="6" t="s">
        <v>90</v>
      </c>
      <c r="F107" s="106">
        <v>3.18</v>
      </c>
      <c r="I107" s="106">
        <v>3.3</v>
      </c>
      <c r="L107" s="106">
        <v>3.51</v>
      </c>
      <c r="O107" s="106">
        <v>3.23</v>
      </c>
      <c r="R107" s="106">
        <v>2.54</v>
      </c>
      <c r="U107" s="106">
        <v>2.4500000000000002</v>
      </c>
      <c r="X107" s="106">
        <v>2.2000000000000002</v>
      </c>
      <c r="AA107" s="106">
        <v>2.5299999999999998</v>
      </c>
      <c r="AD107" s="106">
        <v>2.04</v>
      </c>
      <c r="AG107" s="106">
        <v>1.71</v>
      </c>
      <c r="AJ107" s="106">
        <v>2.75</v>
      </c>
      <c r="AM107" s="106">
        <v>3.94</v>
      </c>
    </row>
    <row r="108" spans="1:42" s="6" customFormat="1" x14ac:dyDescent="0.4">
      <c r="C108" s="6" t="s">
        <v>91</v>
      </c>
      <c r="F108" s="107">
        <f>F107*1.2</f>
        <v>3.8159999999999998</v>
      </c>
      <c r="I108" s="107">
        <f>I107*1.2</f>
        <v>3.9599999999999995</v>
      </c>
      <c r="L108" s="107">
        <f>L107*1.2</f>
        <v>4.2119999999999997</v>
      </c>
      <c r="O108" s="107">
        <f>O107*1.2</f>
        <v>3.8759999999999999</v>
      </c>
      <c r="R108" s="106">
        <f>R107*1.2</f>
        <v>3.048</v>
      </c>
      <c r="S108" s="106"/>
      <c r="T108" s="106"/>
      <c r="U108" s="106">
        <f>U107*1.2</f>
        <v>2.94</v>
      </c>
      <c r="V108" s="106"/>
      <c r="W108" s="106"/>
      <c r="X108" s="106">
        <f>X107*1.2</f>
        <v>2.64</v>
      </c>
      <c r="Y108" s="106"/>
      <c r="Z108" s="106"/>
      <c r="AA108" s="106">
        <f>AA107*1.2</f>
        <v>3.0359999999999996</v>
      </c>
      <c r="AD108" s="106">
        <f>AD107*1.2</f>
        <v>2.448</v>
      </c>
      <c r="AE108" s="106"/>
      <c r="AF108" s="106"/>
      <c r="AG108" s="106">
        <f>AG107*1.2</f>
        <v>2.052</v>
      </c>
      <c r="AH108" s="106"/>
      <c r="AI108" s="106"/>
      <c r="AJ108" s="106">
        <f>AJ107*1.2</f>
        <v>3.3</v>
      </c>
      <c r="AK108" s="106"/>
      <c r="AL108" s="106"/>
      <c r="AM108" s="106">
        <f>AM107*1.2</f>
        <v>4.7279999999999998</v>
      </c>
    </row>
  </sheetData>
  <mergeCells count="42">
    <mergeCell ref="P5:R5"/>
    <mergeCell ref="S5:U5"/>
    <mergeCell ref="V5:X5"/>
    <mergeCell ref="Y5:AA5"/>
    <mergeCell ref="A5:B5"/>
    <mergeCell ref="D5:F5"/>
    <mergeCell ref="G5:I5"/>
    <mergeCell ref="J5:L5"/>
    <mergeCell ref="M5:O5"/>
    <mergeCell ref="A40:B40"/>
    <mergeCell ref="D40:F40"/>
    <mergeCell ref="G40:I40"/>
    <mergeCell ref="J40:L40"/>
    <mergeCell ref="M40:O40"/>
    <mergeCell ref="AB5:AD5"/>
    <mergeCell ref="AE5:AG5"/>
    <mergeCell ref="AH5:AJ5"/>
    <mergeCell ref="AK5:AM5"/>
    <mergeCell ref="AN5:AP5"/>
    <mergeCell ref="AH40:AJ40"/>
    <mergeCell ref="AK40:AM40"/>
    <mergeCell ref="AN40:AP40"/>
    <mergeCell ref="A75:B75"/>
    <mergeCell ref="D75:F75"/>
    <mergeCell ref="G75:I75"/>
    <mergeCell ref="J75:L75"/>
    <mergeCell ref="M75:O75"/>
    <mergeCell ref="P75:R75"/>
    <mergeCell ref="S75:U75"/>
    <mergeCell ref="P40:R40"/>
    <mergeCell ref="S40:U40"/>
    <mergeCell ref="V40:X40"/>
    <mergeCell ref="Y40:AA40"/>
    <mergeCell ref="AB40:AD40"/>
    <mergeCell ref="AE40:AG40"/>
    <mergeCell ref="AN75:AP75"/>
    <mergeCell ref="V75:X75"/>
    <mergeCell ref="Y75:AA75"/>
    <mergeCell ref="AB75:AD75"/>
    <mergeCell ref="AE75:AG75"/>
    <mergeCell ref="AH75:AJ75"/>
    <mergeCell ref="AK75:AM7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99B5-F17A-40A9-BF86-B3633C6C3EE2}">
  <dimension ref="A1:I52"/>
  <sheetViews>
    <sheetView workbookViewId="0">
      <pane xSplit="1" ySplit="4" topLeftCell="B5" activePane="bottomRight" state="frozen"/>
      <selection pane="topRight" activeCell="B1" sqref="B1"/>
      <selection pane="bottomLeft" activeCell="A2" sqref="A2"/>
      <selection pane="bottomRight"/>
    </sheetView>
  </sheetViews>
  <sheetFormatPr defaultRowHeight="14.6" x14ac:dyDescent="0.4"/>
  <sheetData>
    <row r="1" spans="1:9" ht="15.9" x14ac:dyDescent="0.45">
      <c r="A1" s="44" t="s">
        <v>43</v>
      </c>
      <c r="B1" s="43"/>
    </row>
    <row r="2" spans="1:9" x14ac:dyDescent="0.4">
      <c r="A2" s="6" t="s">
        <v>30</v>
      </c>
      <c r="G2" s="46" t="s">
        <v>42</v>
      </c>
      <c r="H2" s="47"/>
      <c r="I2" s="47"/>
    </row>
    <row r="4" spans="1:9" s="1" customFormat="1" x14ac:dyDescent="0.4">
      <c r="B4" s="2" t="s">
        <v>13</v>
      </c>
      <c r="C4" s="2" t="s">
        <v>14</v>
      </c>
      <c r="E4" s="2" t="s">
        <v>13</v>
      </c>
      <c r="F4" s="2" t="s">
        <v>14</v>
      </c>
    </row>
    <row r="5" spans="1:9" x14ac:dyDescent="0.4">
      <c r="B5" s="6" t="s">
        <v>16</v>
      </c>
      <c r="E5" s="7" t="s">
        <v>17</v>
      </c>
    </row>
    <row r="6" spans="1:9" x14ac:dyDescent="0.4">
      <c r="A6" s="3">
        <v>2023</v>
      </c>
    </row>
    <row r="7" spans="1:9" x14ac:dyDescent="0.4">
      <c r="A7" t="s">
        <v>0</v>
      </c>
      <c r="B7" s="4">
        <f>2218.21+185</f>
        <v>2403.21</v>
      </c>
      <c r="C7" s="4">
        <v>4301</v>
      </c>
      <c r="E7">
        <v>37</v>
      </c>
      <c r="F7">
        <v>1</v>
      </c>
    </row>
    <row r="8" spans="1:9" x14ac:dyDescent="0.4">
      <c r="A8" t="s">
        <v>1</v>
      </c>
      <c r="B8" s="4">
        <f>2227.27+191</f>
        <v>2418.27</v>
      </c>
      <c r="C8" s="4">
        <v>3683.92</v>
      </c>
      <c r="E8">
        <v>37</v>
      </c>
    </row>
    <row r="9" spans="1:9" x14ac:dyDescent="0.4">
      <c r="A9" t="s">
        <v>2</v>
      </c>
      <c r="B9" s="4">
        <f>1578.19+151</f>
        <v>1729.19</v>
      </c>
      <c r="C9" s="4">
        <v>2709.31</v>
      </c>
      <c r="E9">
        <v>37</v>
      </c>
    </row>
    <row r="10" spans="1:9" x14ac:dyDescent="0.4">
      <c r="A10" t="s">
        <v>3</v>
      </c>
      <c r="B10" s="4">
        <f>785.06+88</f>
        <v>873.06</v>
      </c>
      <c r="C10" s="4">
        <v>940.18</v>
      </c>
      <c r="E10">
        <v>37</v>
      </c>
    </row>
    <row r="11" spans="1:9" x14ac:dyDescent="0.4">
      <c r="A11" t="s">
        <v>4</v>
      </c>
      <c r="B11" s="4">
        <f>336.04+5</f>
        <v>341.04</v>
      </c>
      <c r="C11" s="4">
        <v>164.2</v>
      </c>
      <c r="E11">
        <v>37</v>
      </c>
    </row>
    <row r="12" spans="1:9" x14ac:dyDescent="0.4">
      <c r="A12" t="s">
        <v>5</v>
      </c>
      <c r="B12" s="4">
        <v>98.03</v>
      </c>
      <c r="C12" s="4">
        <v>170.82</v>
      </c>
      <c r="E12">
        <v>37</v>
      </c>
    </row>
    <row r="13" spans="1:9" x14ac:dyDescent="0.4">
      <c r="A13" t="s">
        <v>6</v>
      </c>
      <c r="B13" s="4">
        <v>52.03</v>
      </c>
      <c r="C13" s="4">
        <v>0</v>
      </c>
      <c r="E13">
        <v>37</v>
      </c>
    </row>
    <row r="14" spans="1:9" x14ac:dyDescent="0.4">
      <c r="A14" t="s">
        <v>7</v>
      </c>
      <c r="B14" s="4">
        <v>63.03</v>
      </c>
      <c r="C14" s="4">
        <v>0</v>
      </c>
      <c r="E14">
        <v>37</v>
      </c>
    </row>
    <row r="15" spans="1:9" x14ac:dyDescent="0.4">
      <c r="A15" t="s">
        <v>8</v>
      </c>
      <c r="B15" s="4">
        <f>62.03+1</f>
        <v>63.03</v>
      </c>
      <c r="C15" s="4">
        <v>2.65</v>
      </c>
      <c r="E15">
        <v>37</v>
      </c>
    </row>
    <row r="16" spans="1:9" x14ac:dyDescent="0.4">
      <c r="A16" t="s">
        <v>9</v>
      </c>
      <c r="B16" s="4">
        <f>497.03+33</f>
        <v>530.03</v>
      </c>
      <c r="C16" s="4">
        <v>84.75</v>
      </c>
      <c r="E16">
        <v>37</v>
      </c>
    </row>
    <row r="17" spans="1:6" x14ac:dyDescent="0.4">
      <c r="A17" t="s">
        <v>10</v>
      </c>
      <c r="B17" s="4">
        <f>1803.22+146</f>
        <v>1949.22</v>
      </c>
      <c r="C17" s="4">
        <v>4112.97</v>
      </c>
      <c r="E17">
        <v>37</v>
      </c>
    </row>
    <row r="18" spans="1:6" x14ac:dyDescent="0.4">
      <c r="A18" t="s">
        <v>11</v>
      </c>
      <c r="B18" s="4">
        <f>2308.28+177</f>
        <v>2485.2800000000002</v>
      </c>
      <c r="C18" s="4">
        <v>5943.01</v>
      </c>
      <c r="E18">
        <v>37</v>
      </c>
    </row>
    <row r="19" spans="1:6" s="1" customFormat="1" x14ac:dyDescent="0.4">
      <c r="A19" s="1" t="s">
        <v>12</v>
      </c>
      <c r="B19" s="5">
        <f>SUM(B7:B18)</f>
        <v>13005.419999999998</v>
      </c>
      <c r="C19" s="5">
        <v>22112.809999999998</v>
      </c>
      <c r="E19" s="1">
        <v>37</v>
      </c>
      <c r="F19" s="1">
        <v>1</v>
      </c>
    </row>
    <row r="20" spans="1:6" s="1" customFormat="1" x14ac:dyDescent="0.4"/>
    <row r="21" spans="1:6" s="1" customFormat="1" x14ac:dyDescent="0.4">
      <c r="A21" s="3">
        <v>2024</v>
      </c>
    </row>
    <row r="22" spans="1:6" x14ac:dyDescent="0.4">
      <c r="A22" t="s">
        <v>0</v>
      </c>
      <c r="B22" s="4">
        <v>4457.6100000000006</v>
      </c>
      <c r="C22" s="4">
        <v>9746.11</v>
      </c>
      <c r="E22">
        <v>37</v>
      </c>
    </row>
    <row r="23" spans="1:6" x14ac:dyDescent="0.4">
      <c r="A23" t="s">
        <v>1</v>
      </c>
      <c r="B23" s="4">
        <v>2666.25</v>
      </c>
      <c r="C23" s="4">
        <v>4967.07</v>
      </c>
      <c r="E23">
        <v>37</v>
      </c>
    </row>
    <row r="24" spans="1:6" x14ac:dyDescent="0.4">
      <c r="A24" t="s">
        <v>2</v>
      </c>
      <c r="B24" s="4">
        <v>1865.13</v>
      </c>
      <c r="C24" s="4">
        <v>3408.49</v>
      </c>
      <c r="E24">
        <v>37</v>
      </c>
    </row>
    <row r="25" spans="1:6" x14ac:dyDescent="0.4">
      <c r="A25" t="s">
        <v>3</v>
      </c>
      <c r="B25" s="4">
        <v>1080.0700000000002</v>
      </c>
      <c r="C25" s="4">
        <v>1352.01</v>
      </c>
      <c r="E25">
        <v>38</v>
      </c>
    </row>
    <row r="26" spans="1:6" x14ac:dyDescent="0.4">
      <c r="A26" t="s">
        <v>4</v>
      </c>
      <c r="B26" s="4">
        <v>206.03</v>
      </c>
      <c r="C26" s="4">
        <v>276.76</v>
      </c>
      <c r="E26">
        <v>37</v>
      </c>
    </row>
    <row r="27" spans="1:6" x14ac:dyDescent="0.4">
      <c r="A27" t="s">
        <v>5</v>
      </c>
      <c r="B27" s="4">
        <v>73.03</v>
      </c>
      <c r="C27" s="4">
        <v>103.29</v>
      </c>
      <c r="E27">
        <v>37</v>
      </c>
    </row>
    <row r="28" spans="1:6" x14ac:dyDescent="0.4">
      <c r="A28" t="s">
        <v>6</v>
      </c>
      <c r="B28" s="4">
        <v>57.03</v>
      </c>
      <c r="C28" s="4">
        <v>21.19</v>
      </c>
      <c r="E28">
        <v>37</v>
      </c>
    </row>
    <row r="29" spans="1:6" x14ac:dyDescent="0.4">
      <c r="A29" t="s">
        <v>7</v>
      </c>
      <c r="B29" s="4">
        <v>60.03</v>
      </c>
      <c r="C29" s="4">
        <v>35.75</v>
      </c>
      <c r="E29">
        <v>37</v>
      </c>
    </row>
    <row r="30" spans="1:6" x14ac:dyDescent="0.4">
      <c r="A30" t="s">
        <v>8</v>
      </c>
      <c r="B30" s="4">
        <v>329.13</v>
      </c>
      <c r="C30" s="4">
        <v>136.38999999999999</v>
      </c>
      <c r="E30">
        <v>37</v>
      </c>
    </row>
    <row r="31" spans="1:6" x14ac:dyDescent="0.4">
      <c r="A31" t="s">
        <v>9</v>
      </c>
      <c r="B31" s="4">
        <v>690.04</v>
      </c>
      <c r="C31" s="4">
        <v>1340.09</v>
      </c>
      <c r="E31">
        <v>37</v>
      </c>
    </row>
    <row r="32" spans="1:6" x14ac:dyDescent="0.4">
      <c r="A32" t="s">
        <v>10</v>
      </c>
      <c r="B32" s="4">
        <v>1213.1199999999999</v>
      </c>
      <c r="C32" s="4">
        <v>1782.37</v>
      </c>
      <c r="E32">
        <v>37</v>
      </c>
    </row>
    <row r="33" spans="1:6" x14ac:dyDescent="0.4">
      <c r="A33" t="s">
        <v>11</v>
      </c>
      <c r="B33" s="4">
        <v>3441.43</v>
      </c>
      <c r="C33" s="4">
        <v>6883.19</v>
      </c>
      <c r="E33">
        <v>37</v>
      </c>
    </row>
    <row r="34" spans="1:6" s="1" customFormat="1" x14ac:dyDescent="0.4">
      <c r="A34" s="1" t="s">
        <v>12</v>
      </c>
      <c r="B34" s="5">
        <f>SUM(B22:B33)</f>
        <v>16138.900000000001</v>
      </c>
      <c r="C34" s="5">
        <f>SUM(C22:C33)</f>
        <v>30052.709999999992</v>
      </c>
      <c r="E34" s="8">
        <f>AVERAGE(E22:E33)</f>
        <v>37.083333333333336</v>
      </c>
      <c r="F34" s="1">
        <v>1</v>
      </c>
    </row>
    <row r="35" spans="1:6" s="1" customFormat="1" x14ac:dyDescent="0.4"/>
    <row r="36" spans="1:6" s="1" customFormat="1" x14ac:dyDescent="0.4">
      <c r="A36" s="3">
        <v>2025</v>
      </c>
    </row>
    <row r="37" spans="1:6" x14ac:dyDescent="0.4">
      <c r="A37" t="s">
        <v>0</v>
      </c>
      <c r="B37" s="4">
        <v>5010.83</v>
      </c>
      <c r="C37" s="4">
        <v>9701.09</v>
      </c>
      <c r="E37">
        <v>37</v>
      </c>
    </row>
    <row r="38" spans="1:6" x14ac:dyDescent="0.4">
      <c r="A38" t="s">
        <v>1</v>
      </c>
      <c r="B38" s="4">
        <v>3428.4300000000003</v>
      </c>
      <c r="C38" s="4">
        <v>6839.49</v>
      </c>
      <c r="E38">
        <v>37</v>
      </c>
    </row>
    <row r="39" spans="1:6" x14ac:dyDescent="0.4">
      <c r="A39" t="s">
        <v>2</v>
      </c>
      <c r="B39" s="4">
        <v>2455.2399999999998</v>
      </c>
      <c r="C39" s="4">
        <v>4417.53</v>
      </c>
      <c r="E39">
        <v>38</v>
      </c>
    </row>
    <row r="40" spans="1:6" x14ac:dyDescent="0.4">
      <c r="A40" t="s">
        <v>3</v>
      </c>
      <c r="B40" s="4">
        <v>1125.1100000000001</v>
      </c>
      <c r="C40" s="4">
        <v>2094.88</v>
      </c>
      <c r="E40">
        <v>37</v>
      </c>
    </row>
    <row r="41" spans="1:6" x14ac:dyDescent="0.4">
      <c r="A41" t="s">
        <v>4</v>
      </c>
      <c r="B41" s="4">
        <v>292.05</v>
      </c>
      <c r="C41" s="4">
        <v>3.97</v>
      </c>
      <c r="E41">
        <v>37</v>
      </c>
    </row>
    <row r="42" spans="1:6" x14ac:dyDescent="0.4">
      <c r="A42" t="s">
        <v>5</v>
      </c>
      <c r="B42" s="4">
        <v>103.06</v>
      </c>
      <c r="C42" s="4">
        <v>0</v>
      </c>
      <c r="E42">
        <v>37</v>
      </c>
    </row>
    <row r="43" spans="1:6" x14ac:dyDescent="0.4">
      <c r="A43" t="s">
        <v>6</v>
      </c>
      <c r="B43" s="4">
        <v>78.06</v>
      </c>
      <c r="C43" s="4">
        <v>0</v>
      </c>
      <c r="E43">
        <v>36</v>
      </c>
    </row>
    <row r="44" spans="1:6" x14ac:dyDescent="0.4">
      <c r="A44" t="s">
        <v>7</v>
      </c>
      <c r="B44" s="4">
        <v>57.05</v>
      </c>
      <c r="C44" s="4">
        <v>0</v>
      </c>
      <c r="E44">
        <v>36</v>
      </c>
    </row>
    <row r="45" spans="1:6" x14ac:dyDescent="0.4">
      <c r="A45" t="s">
        <v>8</v>
      </c>
      <c r="B45" s="4">
        <v>72.039999999999992</v>
      </c>
      <c r="C45" s="4">
        <v>0</v>
      </c>
      <c r="E45">
        <v>36</v>
      </c>
    </row>
    <row r="46" spans="1:6" x14ac:dyDescent="0.4">
      <c r="A46" t="s">
        <v>9</v>
      </c>
      <c r="B46" s="4">
        <v>502.03</v>
      </c>
      <c r="C46" s="4">
        <v>1092.47</v>
      </c>
      <c r="E46">
        <v>36</v>
      </c>
    </row>
    <row r="47" spans="1:6" x14ac:dyDescent="0.4">
      <c r="A47" t="s">
        <v>10</v>
      </c>
      <c r="B47" s="4">
        <v>1535.12</v>
      </c>
      <c r="C47" s="4">
        <v>3860.04</v>
      </c>
      <c r="E47">
        <v>36</v>
      </c>
    </row>
    <row r="48" spans="1:6" x14ac:dyDescent="0.4">
      <c r="A48" t="s">
        <v>11</v>
      </c>
      <c r="B48" s="4">
        <v>3561.49</v>
      </c>
      <c r="C48" s="4">
        <v>7916.07</v>
      </c>
      <c r="E48">
        <v>37</v>
      </c>
    </row>
    <row r="49" spans="1:6" s="1" customFormat="1" x14ac:dyDescent="0.4">
      <c r="A49" s="1" t="s">
        <v>12</v>
      </c>
      <c r="B49" s="5">
        <f>SUM(B37:B48)</f>
        <v>18220.510000000002</v>
      </c>
      <c r="C49" s="5">
        <f>SUM(C37:C48)</f>
        <v>35925.540000000008</v>
      </c>
      <c r="E49" s="8">
        <f>AVERAGE(E37:E48)</f>
        <v>36.666666666666664</v>
      </c>
      <c r="F49" s="1">
        <v>1</v>
      </c>
    </row>
    <row r="52" spans="1:6" x14ac:dyDescent="0.4">
      <c r="A52" s="1" t="s">
        <v>15</v>
      </c>
      <c r="B52" s="5">
        <f>AVERAGE(B49,B34,B19)</f>
        <v>15788.276666666667</v>
      </c>
      <c r="C52" s="5">
        <f>AVERAGE(C49,C34,C19)</f>
        <v>29363.686666666665</v>
      </c>
      <c r="E52" s="5">
        <f>AVERAGE(E49,E34,E19)</f>
        <v>36.916666666666664</v>
      </c>
      <c r="F52" s="8">
        <f>AVERAGE(F49,F34,F19)</f>
        <v>1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BC4D-78F9-4FBB-813F-678665D24695}">
  <sheetPr>
    <pageSetUpPr fitToPage="1"/>
  </sheetPr>
  <dimension ref="A1:N36"/>
  <sheetViews>
    <sheetView workbookViewId="0">
      <selection activeCell="C21" sqref="C21"/>
    </sheetView>
  </sheetViews>
  <sheetFormatPr defaultRowHeight="14.6" x14ac:dyDescent="0.4"/>
  <cols>
    <col min="1" max="1" width="19.69140625" customWidth="1"/>
    <col min="2" max="13" width="9.53515625" customWidth="1"/>
  </cols>
  <sheetData>
    <row r="1" spans="1:14" ht="15.9" x14ac:dyDescent="0.45">
      <c r="A1" s="44" t="s">
        <v>44</v>
      </c>
      <c r="B1" s="44"/>
    </row>
    <row r="2" spans="1:14" x14ac:dyDescent="0.4">
      <c r="A2" s="6" t="s">
        <v>28</v>
      </c>
    </row>
    <row r="3" spans="1:14" x14ac:dyDescent="0.4">
      <c r="A3" s="6"/>
    </row>
    <row r="4" spans="1:14" x14ac:dyDescent="0.4">
      <c r="A4" s="1" t="s">
        <v>40</v>
      </c>
    </row>
    <row r="5" spans="1:14" x14ac:dyDescent="0.4">
      <c r="A5" s="9"/>
      <c r="B5" s="10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27</v>
      </c>
    </row>
    <row r="6" spans="1:14" x14ac:dyDescent="0.4">
      <c r="A6" s="11" t="s">
        <v>19</v>
      </c>
      <c r="B6" s="20">
        <f t="shared" ref="B6:M6" si="0">B22/10</f>
        <v>10888.9</v>
      </c>
      <c r="C6" s="20">
        <f t="shared" si="0"/>
        <v>8767.2000000000007</v>
      </c>
      <c r="D6" s="20">
        <f t="shared" si="0"/>
        <v>7146.9</v>
      </c>
      <c r="E6" s="20">
        <f t="shared" si="0"/>
        <v>6990.4</v>
      </c>
      <c r="F6" s="20">
        <f t="shared" si="0"/>
        <v>4280.8</v>
      </c>
      <c r="G6" s="20">
        <f t="shared" si="0"/>
        <v>3256.9</v>
      </c>
      <c r="H6" s="20">
        <f t="shared" si="0"/>
        <v>3609.8</v>
      </c>
      <c r="I6" s="20">
        <f t="shared" si="0"/>
        <v>3202.2</v>
      </c>
      <c r="J6" s="20">
        <f t="shared" si="0"/>
        <v>3154.7</v>
      </c>
      <c r="K6" s="20">
        <f t="shared" si="0"/>
        <v>4391.2</v>
      </c>
      <c r="L6" s="20">
        <f t="shared" si="0"/>
        <v>4993.8</v>
      </c>
      <c r="M6" s="20">
        <f t="shared" si="0"/>
        <v>8320.2000000000007</v>
      </c>
      <c r="N6" s="21">
        <f>SUM(B6:M6)/1000</f>
        <v>69.003</v>
      </c>
    </row>
    <row r="7" spans="1:14" x14ac:dyDescent="0.4">
      <c r="A7" s="12" t="s">
        <v>20</v>
      </c>
      <c r="B7" s="20">
        <f t="shared" ref="B7:M7" si="1">(B23+B30)/10</f>
        <v>31042.080999999998</v>
      </c>
      <c r="C7" s="20">
        <f t="shared" si="1"/>
        <v>19272.004959999998</v>
      </c>
      <c r="D7" s="20">
        <f t="shared" si="1"/>
        <v>12948.85368</v>
      </c>
      <c r="E7" s="20">
        <f t="shared" si="1"/>
        <v>8335.6293599999972</v>
      </c>
      <c r="F7" s="20">
        <f t="shared" si="1"/>
        <v>3196.0893200000014</v>
      </c>
      <c r="G7" s="20">
        <f t="shared" si="1"/>
        <v>2475.6079500000001</v>
      </c>
      <c r="H7" s="20">
        <f t="shared" si="1"/>
        <v>2511.1270500000005</v>
      </c>
      <c r="I7" s="20">
        <f t="shared" si="1"/>
        <v>2581.6366400000006</v>
      </c>
      <c r="J7" s="20">
        <f t="shared" si="1"/>
        <v>2550.3844500000005</v>
      </c>
      <c r="K7" s="20">
        <f t="shared" si="1"/>
        <v>6000.8635999999988</v>
      </c>
      <c r="L7" s="20">
        <f t="shared" si="1"/>
        <v>8433.4756599999982</v>
      </c>
      <c r="M7" s="20">
        <f t="shared" si="1"/>
        <v>22932.465000000004</v>
      </c>
      <c r="N7" s="21">
        <f t="shared" ref="N7:N11" si="2">SUM(B7:M7)/1000</f>
        <v>122.28021866999997</v>
      </c>
    </row>
    <row r="8" spans="1:14" x14ac:dyDescent="0.4">
      <c r="A8" s="12" t="s">
        <v>29</v>
      </c>
      <c r="B8" s="20">
        <f t="shared" ref="B8:M8" si="3">B24/10</f>
        <v>974.6110000000001</v>
      </c>
      <c r="C8" s="20">
        <f t="shared" si="3"/>
        <v>496.70699999999999</v>
      </c>
      <c r="D8" s="20">
        <f t="shared" si="3"/>
        <v>340.84899999999999</v>
      </c>
      <c r="E8" s="20">
        <f t="shared" si="3"/>
        <v>135.20099999999999</v>
      </c>
      <c r="F8" s="20">
        <f t="shared" si="3"/>
        <v>27.675999999999998</v>
      </c>
      <c r="G8" s="20">
        <f t="shared" si="3"/>
        <v>10.329000000000001</v>
      </c>
      <c r="H8" s="20">
        <f t="shared" si="3"/>
        <v>2.1190000000000002</v>
      </c>
      <c r="I8" s="20">
        <f t="shared" si="3"/>
        <v>3.5750000000000002</v>
      </c>
      <c r="J8" s="20">
        <f t="shared" si="3"/>
        <v>13.638999999999999</v>
      </c>
      <c r="K8" s="20">
        <f t="shared" si="3"/>
        <v>134.00899999999999</v>
      </c>
      <c r="L8" s="20">
        <f t="shared" si="3"/>
        <v>178.23699999999999</v>
      </c>
      <c r="M8" s="20">
        <f t="shared" si="3"/>
        <v>688.31899999999996</v>
      </c>
      <c r="N8" s="21">
        <f t="shared" si="2"/>
        <v>3.0052709999999996</v>
      </c>
    </row>
    <row r="9" spans="1:14" x14ac:dyDescent="0.4">
      <c r="A9" s="13" t="s">
        <v>21</v>
      </c>
      <c r="B9" s="20">
        <f t="shared" ref="B9:M9" si="4">(B25+B31)/10</f>
        <v>41125.298000000003</v>
      </c>
      <c r="C9" s="20">
        <f t="shared" si="4"/>
        <v>26327.124439999996</v>
      </c>
      <c r="D9" s="20">
        <f t="shared" si="4"/>
        <v>17500.223940000003</v>
      </c>
      <c r="E9" s="20">
        <f t="shared" si="4"/>
        <v>10834.831580000002</v>
      </c>
      <c r="F9" s="20">
        <f t="shared" si="4"/>
        <v>3156.9102300000013</v>
      </c>
      <c r="G9" s="20">
        <f t="shared" si="4"/>
        <v>2014.3160300000011</v>
      </c>
      <c r="H9" s="20">
        <f t="shared" si="4"/>
        <v>1698.5317300000006</v>
      </c>
      <c r="I9" s="20">
        <f t="shared" si="4"/>
        <v>1755.4080400000007</v>
      </c>
      <c r="J9" s="20">
        <f t="shared" si="4"/>
        <v>1959.8504300000009</v>
      </c>
      <c r="K9" s="20">
        <f t="shared" si="4"/>
        <v>7661.9687400000021</v>
      </c>
      <c r="L9" s="20">
        <f t="shared" si="4"/>
        <v>11682.588</v>
      </c>
      <c r="M9" s="20">
        <f t="shared" si="4"/>
        <v>31023.833999999992</v>
      </c>
      <c r="N9" s="21">
        <f t="shared" si="2"/>
        <v>156.74088516</v>
      </c>
    </row>
    <row r="10" spans="1:14" x14ac:dyDescent="0.4">
      <c r="A10" s="13" t="s">
        <v>29</v>
      </c>
      <c r="B10" s="20">
        <f t="shared" ref="B10:M10" si="5">B26/10</f>
        <v>445.76100000000008</v>
      </c>
      <c r="C10" s="20">
        <f t="shared" si="5"/>
        <v>266.625</v>
      </c>
      <c r="D10" s="20">
        <f t="shared" si="5"/>
        <v>186.51300000000001</v>
      </c>
      <c r="E10" s="20">
        <f t="shared" si="5"/>
        <v>108.00700000000002</v>
      </c>
      <c r="F10" s="20">
        <f t="shared" si="5"/>
        <v>20.603000000000002</v>
      </c>
      <c r="G10" s="20">
        <f t="shared" si="5"/>
        <v>7.3029999999999999</v>
      </c>
      <c r="H10" s="20">
        <f t="shared" si="5"/>
        <v>5.7030000000000003</v>
      </c>
      <c r="I10" s="20">
        <f t="shared" si="5"/>
        <v>6.0030000000000001</v>
      </c>
      <c r="J10" s="20">
        <f t="shared" si="5"/>
        <v>32.912999999999997</v>
      </c>
      <c r="K10" s="20">
        <f t="shared" si="5"/>
        <v>69.003999999999991</v>
      </c>
      <c r="L10" s="20">
        <f t="shared" si="5"/>
        <v>121.31199999999998</v>
      </c>
      <c r="M10" s="20">
        <f t="shared" si="5"/>
        <v>344.14299999999997</v>
      </c>
      <c r="N10" s="21">
        <f t="shared" si="2"/>
        <v>1.61389</v>
      </c>
    </row>
    <row r="11" spans="1:14" x14ac:dyDescent="0.4">
      <c r="A11" s="14" t="s">
        <v>22</v>
      </c>
      <c r="B11" s="20">
        <f t="shared" ref="B11:M11" si="6">B27/10</f>
        <v>5900.8900000000012</v>
      </c>
      <c r="C11" s="20">
        <f t="shared" si="6"/>
        <v>3988.924</v>
      </c>
      <c r="D11" s="20">
        <f t="shared" si="6"/>
        <v>2539.502999999997</v>
      </c>
      <c r="E11" s="20">
        <f t="shared" si="6"/>
        <v>1803.848999999999</v>
      </c>
      <c r="F11" s="20">
        <f t="shared" si="6"/>
        <v>990.79900000000214</v>
      </c>
      <c r="G11" s="20">
        <f t="shared" si="6"/>
        <v>649.03100000000109</v>
      </c>
      <c r="H11" s="20">
        <f t="shared" si="6"/>
        <v>551.77400000000046</v>
      </c>
      <c r="I11" s="20">
        <f t="shared" si="6"/>
        <v>652.24200000000053</v>
      </c>
      <c r="J11" s="20">
        <f t="shared" si="6"/>
        <v>721.37300000000118</v>
      </c>
      <c r="K11" s="20">
        <f t="shared" si="6"/>
        <v>1479.1990000000001</v>
      </c>
      <c r="L11" s="20">
        <f t="shared" si="6"/>
        <v>1732.2749999999996</v>
      </c>
      <c r="M11" s="20">
        <f t="shared" si="6"/>
        <v>4415.1499999999987</v>
      </c>
      <c r="N11" s="21">
        <f t="shared" si="2"/>
        <v>25.425009000000003</v>
      </c>
    </row>
    <row r="12" spans="1:14" x14ac:dyDescent="0.4">
      <c r="A12" s="16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x14ac:dyDescent="0.4">
      <c r="A13" s="19" t="s">
        <v>26</v>
      </c>
      <c r="B13" s="22">
        <f t="shared" ref="B13:N13" si="7">SUM(B6:B12)</f>
        <v>90377.540999999997</v>
      </c>
      <c r="C13" s="22">
        <f t="shared" si="7"/>
        <v>59118.585399999996</v>
      </c>
      <c r="D13" s="22">
        <f t="shared" si="7"/>
        <v>40662.842620000003</v>
      </c>
      <c r="E13" s="22">
        <f t="shared" si="7"/>
        <v>28207.917939999999</v>
      </c>
      <c r="F13" s="22">
        <f t="shared" si="7"/>
        <v>11672.877550000005</v>
      </c>
      <c r="G13" s="22">
        <f t="shared" si="7"/>
        <v>8413.4869800000015</v>
      </c>
      <c r="H13" s="22">
        <f t="shared" si="7"/>
        <v>8379.0547800000022</v>
      </c>
      <c r="I13" s="22">
        <f t="shared" si="7"/>
        <v>8201.0646800000013</v>
      </c>
      <c r="J13" s="22">
        <f t="shared" si="7"/>
        <v>8432.8598800000018</v>
      </c>
      <c r="K13" s="22">
        <f t="shared" si="7"/>
        <v>19736.244340000001</v>
      </c>
      <c r="L13" s="22">
        <f t="shared" si="7"/>
        <v>27141.687659999996</v>
      </c>
      <c r="M13" s="22">
        <f t="shared" si="7"/>
        <v>67724.11099999999</v>
      </c>
      <c r="N13" s="23">
        <f t="shared" si="7"/>
        <v>378.06827382999995</v>
      </c>
    </row>
    <row r="15" spans="1:14" x14ac:dyDescent="0.4">
      <c r="M15" s="22">
        <f>SUM(B13:M13)</f>
        <v>378068.27383000002</v>
      </c>
    </row>
    <row r="17" spans="1:14" x14ac:dyDescent="0.4">
      <c r="A17" s="15" t="s">
        <v>23</v>
      </c>
      <c r="B17" s="20">
        <f t="shared" ref="B17:M17" si="8">B28/10</f>
        <v>798.98599999999999</v>
      </c>
      <c r="C17" s="20">
        <f t="shared" si="8"/>
        <v>978.2879999999999</v>
      </c>
      <c r="D17" s="20">
        <f t="shared" si="8"/>
        <v>766.44299999999998</v>
      </c>
      <c r="E17" s="20">
        <f t="shared" si="8"/>
        <v>723.05900000000008</v>
      </c>
      <c r="F17" s="20">
        <f t="shared" si="8"/>
        <v>84.508999999999986</v>
      </c>
      <c r="G17" s="20">
        <f t="shared" si="8"/>
        <v>54.743999999999993</v>
      </c>
      <c r="H17" s="20">
        <f t="shared" si="8"/>
        <v>50.305999999999997</v>
      </c>
      <c r="I17" s="20">
        <f t="shared" si="8"/>
        <v>51.787999999999997</v>
      </c>
      <c r="J17" s="20">
        <f t="shared" si="8"/>
        <v>60.362000000000009</v>
      </c>
      <c r="K17" s="20">
        <f t="shared" si="8"/>
        <v>369.18399999999997</v>
      </c>
      <c r="L17" s="20">
        <f t="shared" si="8"/>
        <v>588.20000000000005</v>
      </c>
      <c r="M17" s="20">
        <f t="shared" si="8"/>
        <v>1594.9</v>
      </c>
      <c r="N17" s="21">
        <f>SUM(B17:M17)/1000</f>
        <v>6.1207690000000001</v>
      </c>
    </row>
    <row r="20" spans="1:14" x14ac:dyDescent="0.4">
      <c r="A20" s="1" t="s">
        <v>18</v>
      </c>
      <c r="C20" s="6" t="s">
        <v>85</v>
      </c>
    </row>
    <row r="21" spans="1:14" x14ac:dyDescent="0.4">
      <c r="A21" s="9"/>
      <c r="B21" s="10" t="s">
        <v>0</v>
      </c>
      <c r="C21" s="10" t="s">
        <v>1</v>
      </c>
      <c r="D21" s="10" t="s">
        <v>2</v>
      </c>
      <c r="E21" s="10" t="s">
        <v>3</v>
      </c>
      <c r="F21" s="10" t="s">
        <v>4</v>
      </c>
      <c r="G21" s="10" t="s">
        <v>5</v>
      </c>
      <c r="H21" s="10" t="s">
        <v>6</v>
      </c>
      <c r="I21" s="10" t="s">
        <v>7</v>
      </c>
      <c r="J21" s="10" t="s">
        <v>8</v>
      </c>
      <c r="K21" s="10" t="s">
        <v>9</v>
      </c>
      <c r="L21" s="10" t="s">
        <v>10</v>
      </c>
      <c r="M21" s="10" t="s">
        <v>11</v>
      </c>
    </row>
    <row r="22" spans="1:14" x14ac:dyDescent="0.4">
      <c r="A22" s="11" t="s">
        <v>19</v>
      </c>
      <c r="B22" s="24">
        <v>108889</v>
      </c>
      <c r="C22" s="24">
        <v>87672</v>
      </c>
      <c r="D22" s="24">
        <v>71469</v>
      </c>
      <c r="E22" s="24">
        <v>69904</v>
      </c>
      <c r="F22" s="24">
        <v>42808</v>
      </c>
      <c r="G22" s="24">
        <v>32569</v>
      </c>
      <c r="H22" s="24">
        <v>36098</v>
      </c>
      <c r="I22" s="24">
        <v>32022</v>
      </c>
      <c r="J22" s="24">
        <v>31547</v>
      </c>
      <c r="K22" s="24">
        <v>43912</v>
      </c>
      <c r="L22" s="24">
        <v>49938</v>
      </c>
      <c r="M22" s="24">
        <v>83202</v>
      </c>
    </row>
    <row r="23" spans="1:14" x14ac:dyDescent="0.4">
      <c r="A23" s="12" t="s">
        <v>20</v>
      </c>
      <c r="B23" s="24">
        <f>190069.6-B24</f>
        <v>180323.49</v>
      </c>
      <c r="C23" s="24">
        <f>122598.5118-C24</f>
        <v>117631.4418</v>
      </c>
      <c r="D23" s="24">
        <f>80582.0013-D24</f>
        <v>77173.511299999998</v>
      </c>
      <c r="E23" s="24">
        <f>51813.6-E24</f>
        <v>50461.59</v>
      </c>
      <c r="F23" s="24">
        <f>17456.1779-F24</f>
        <v>17179.4179</v>
      </c>
      <c r="G23" s="24">
        <f>14345.2995-G24</f>
        <v>14242.009499999998</v>
      </c>
      <c r="H23" s="24">
        <f>14596.9005-H24</f>
        <v>14575.710499999999</v>
      </c>
      <c r="I23" s="24">
        <f>15994.9964-I24</f>
        <v>15959.2464</v>
      </c>
      <c r="J23" s="24">
        <f>15215.8345-J24</f>
        <v>15079.444500000001</v>
      </c>
      <c r="K23" s="24">
        <f>37840.696-K24</f>
        <v>36500.606000000007</v>
      </c>
      <c r="L23" s="24">
        <f>54766.2466-L24</f>
        <v>52983.876599999996</v>
      </c>
      <c r="M23" s="24">
        <f>148570.79-M24</f>
        <v>141687.6</v>
      </c>
    </row>
    <row r="24" spans="1:14" x14ac:dyDescent="0.4">
      <c r="A24" s="12" t="s">
        <v>29</v>
      </c>
      <c r="B24" s="24">
        <v>9746.11</v>
      </c>
      <c r="C24" s="24">
        <v>4967.07</v>
      </c>
      <c r="D24" s="24">
        <v>3408.49</v>
      </c>
      <c r="E24" s="24">
        <v>1352.01</v>
      </c>
      <c r="F24" s="24">
        <v>276.76</v>
      </c>
      <c r="G24" s="24">
        <v>103.29</v>
      </c>
      <c r="H24" s="24">
        <v>21.19</v>
      </c>
      <c r="I24" s="24">
        <v>35.75</v>
      </c>
      <c r="J24" s="24">
        <v>136.38999999999999</v>
      </c>
      <c r="K24" s="24">
        <v>1340.09</v>
      </c>
      <c r="L24" s="24">
        <v>1782.37</v>
      </c>
      <c r="M24" s="24">
        <v>6883.19</v>
      </c>
    </row>
    <row r="25" spans="1:14" x14ac:dyDescent="0.4">
      <c r="A25" s="13" t="s">
        <v>21</v>
      </c>
      <c r="B25" s="24">
        <f>277833.56-B26</f>
        <v>273375.95</v>
      </c>
      <c r="C25" s="24">
        <f>182084.6751-C26</f>
        <v>179418.42509999999</v>
      </c>
      <c r="D25" s="24">
        <f>118863.5417-D26</f>
        <v>116998.4117</v>
      </c>
      <c r="E25" s="24">
        <f>74911.1962-E26</f>
        <v>73831.126199999999</v>
      </c>
      <c r="F25" s="24">
        <f>22345.0115-F26</f>
        <v>22138.981500000002</v>
      </c>
      <c r="G25" s="24">
        <f>14804.9703-G26</f>
        <v>14731.9403</v>
      </c>
      <c r="H25" s="24">
        <f>12036.6573-H26</f>
        <v>11979.6273</v>
      </c>
      <c r="I25" s="24">
        <f>12830.4403-I26</f>
        <v>12770.4103</v>
      </c>
      <c r="J25" s="24">
        <f>14417.0443-J26</f>
        <v>14087.9143</v>
      </c>
      <c r="K25" s="24">
        <f>54819.4774-K26</f>
        <v>54129.437400000003</v>
      </c>
      <c r="L25" s="24">
        <f>81548-L26</f>
        <v>80334.880000000005</v>
      </c>
      <c r="M25" s="24">
        <f>214293.79-M26</f>
        <v>210852.36000000002</v>
      </c>
    </row>
    <row r="26" spans="1:14" x14ac:dyDescent="0.4">
      <c r="A26" s="13" t="s">
        <v>29</v>
      </c>
      <c r="B26" s="24">
        <v>4457.6100000000006</v>
      </c>
      <c r="C26" s="24">
        <v>2666.25</v>
      </c>
      <c r="D26" s="24">
        <v>1865.13</v>
      </c>
      <c r="E26" s="24">
        <v>1080.0700000000002</v>
      </c>
      <c r="F26" s="24">
        <v>206.03</v>
      </c>
      <c r="G26" s="24">
        <v>73.03</v>
      </c>
      <c r="H26" s="24">
        <v>57.03</v>
      </c>
      <c r="I26" s="24">
        <v>60.03</v>
      </c>
      <c r="J26" s="24">
        <v>329.13</v>
      </c>
      <c r="K26" s="24">
        <v>690.04</v>
      </c>
      <c r="L26" s="24">
        <v>1213.1199999999999</v>
      </c>
      <c r="M26" s="24">
        <v>3441.43</v>
      </c>
    </row>
    <row r="27" spans="1:14" x14ac:dyDescent="0.4">
      <c r="A27" s="14" t="s">
        <v>22</v>
      </c>
      <c r="B27" s="24">
        <v>59008.900000000016</v>
      </c>
      <c r="C27" s="24">
        <v>39889.24</v>
      </c>
      <c r="D27" s="24">
        <v>25395.02999999997</v>
      </c>
      <c r="E27" s="24">
        <v>18038.489999999991</v>
      </c>
      <c r="F27" s="24">
        <v>9907.9900000000216</v>
      </c>
      <c r="G27" s="24">
        <v>6490.3100000000113</v>
      </c>
      <c r="H27" s="24">
        <v>5517.7400000000043</v>
      </c>
      <c r="I27" s="24">
        <v>6522.4200000000055</v>
      </c>
      <c r="J27" s="24">
        <v>7213.7300000000114</v>
      </c>
      <c r="K27" s="24">
        <v>14791.99</v>
      </c>
      <c r="L27" s="24">
        <v>17322.749999999996</v>
      </c>
      <c r="M27" s="24">
        <v>44151.499999999985</v>
      </c>
    </row>
    <row r="28" spans="1:14" x14ac:dyDescent="0.4">
      <c r="A28" s="15" t="s">
        <v>23</v>
      </c>
      <c r="B28" s="24">
        <v>7989.86</v>
      </c>
      <c r="C28" s="24">
        <v>9782.8799999999992</v>
      </c>
      <c r="D28" s="24">
        <v>7664.43</v>
      </c>
      <c r="E28" s="24">
        <v>7230.5900000000011</v>
      </c>
      <c r="F28" s="24">
        <v>845.0899999999998</v>
      </c>
      <c r="G28" s="24">
        <v>547.43999999999994</v>
      </c>
      <c r="H28" s="24">
        <v>503.06</v>
      </c>
      <c r="I28" s="24">
        <v>517.88</v>
      </c>
      <c r="J28" s="24">
        <v>603.62000000000012</v>
      </c>
      <c r="K28" s="24">
        <v>3691.8399999999997</v>
      </c>
      <c r="L28" s="24">
        <v>5882.0000000000009</v>
      </c>
      <c r="M28" s="24">
        <v>15949</v>
      </c>
    </row>
    <row r="29" spans="1:14" x14ac:dyDescent="0.4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4" x14ac:dyDescent="0.4">
      <c r="A30" s="17" t="s">
        <v>24</v>
      </c>
      <c r="B30" s="24">
        <v>130097.31999999999</v>
      </c>
      <c r="C30" s="24">
        <v>75088.607799999983</v>
      </c>
      <c r="D30" s="24">
        <v>52315.025499999996</v>
      </c>
      <c r="E30" s="24">
        <v>32894.703599999986</v>
      </c>
      <c r="F30" s="24">
        <v>14781.475300000011</v>
      </c>
      <c r="G30" s="24">
        <v>10514.070000000003</v>
      </c>
      <c r="H30" s="24">
        <v>10535.560000000005</v>
      </c>
      <c r="I30" s="24">
        <v>9857.1200000000063</v>
      </c>
      <c r="J30" s="24">
        <v>10424.400000000003</v>
      </c>
      <c r="K30" s="24">
        <v>23508.029999999984</v>
      </c>
      <c r="L30" s="24">
        <v>31350.879999999986</v>
      </c>
      <c r="M30" s="24">
        <v>87637.05</v>
      </c>
    </row>
    <row r="31" spans="1:14" x14ac:dyDescent="0.4">
      <c r="A31" s="18" t="s">
        <v>25</v>
      </c>
      <c r="B31" s="24">
        <v>137877.03000000003</v>
      </c>
      <c r="C31" s="24">
        <v>83852.819299999974</v>
      </c>
      <c r="D31" s="24">
        <v>58003.827700000023</v>
      </c>
      <c r="E31" s="24">
        <v>34517.189600000005</v>
      </c>
      <c r="F31" s="24">
        <v>9430.1208000000133</v>
      </c>
      <c r="G31" s="24">
        <v>5411.2200000000103</v>
      </c>
      <c r="H31" s="24">
        <v>5005.6900000000069</v>
      </c>
      <c r="I31" s="24">
        <v>4783.6701000000057</v>
      </c>
      <c r="J31" s="24">
        <v>5510.5900000000074</v>
      </c>
      <c r="K31" s="24">
        <v>22490.250000000025</v>
      </c>
      <c r="L31" s="24">
        <v>36490.999999999985</v>
      </c>
      <c r="M31" s="24">
        <v>99385.979999999894</v>
      </c>
    </row>
    <row r="32" spans="1:14" x14ac:dyDescent="0.4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4">
      <c r="A33" s="19" t="s">
        <v>26</v>
      </c>
      <c r="B33" s="24">
        <f>SUM(B22:B31)</f>
        <v>911765.27</v>
      </c>
      <c r="C33" s="24">
        <f t="shared" ref="C33:M33" si="9">SUM(C22:C31)</f>
        <v>600968.73399999994</v>
      </c>
      <c r="D33" s="24">
        <f t="shared" si="9"/>
        <v>414292.85619999998</v>
      </c>
      <c r="E33" s="24">
        <f t="shared" si="9"/>
        <v>289309.76939999993</v>
      </c>
      <c r="F33" s="24">
        <f t="shared" si="9"/>
        <v>117573.86550000004</v>
      </c>
      <c r="G33" s="24">
        <f t="shared" si="9"/>
        <v>84682.309800000032</v>
      </c>
      <c r="H33" s="24">
        <f t="shared" si="9"/>
        <v>84293.607799999998</v>
      </c>
      <c r="I33" s="24">
        <f t="shared" si="9"/>
        <v>82528.526800000021</v>
      </c>
      <c r="J33" s="24">
        <f t="shared" si="9"/>
        <v>84932.218800000031</v>
      </c>
      <c r="K33" s="24">
        <f t="shared" si="9"/>
        <v>201054.28339999999</v>
      </c>
      <c r="L33" s="24">
        <f t="shared" si="9"/>
        <v>277298.87659999996</v>
      </c>
      <c r="M33" s="24">
        <f t="shared" si="9"/>
        <v>693190.10999999987</v>
      </c>
    </row>
    <row r="36" spans="1:13" x14ac:dyDescent="0.4">
      <c r="A36" s="1"/>
    </row>
  </sheetData>
  <printOptions horizontalCentered="1"/>
  <pageMargins left="0.25" right="0.25" top="0.75" bottom="0.75" header="0.3" footer="0.3"/>
  <pageSetup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A31F-FC5E-4A15-B9CC-2DD88E97E32B}">
  <dimension ref="A1:M32"/>
  <sheetViews>
    <sheetView zoomScaleNormal="100" workbookViewId="0">
      <pane xSplit="1" topLeftCell="B1" activePane="topRight" state="frozen"/>
      <selection activeCell="N18" sqref="N18"/>
      <selection pane="topRight" activeCell="A2" sqref="A2"/>
    </sheetView>
  </sheetViews>
  <sheetFormatPr defaultColWidth="8.84375" defaultRowHeight="14.6" x14ac:dyDescent="0.4"/>
  <cols>
    <col min="1" max="1" width="24.3046875" style="26" customWidth="1"/>
    <col min="2" max="16384" width="8.84375" style="26"/>
  </cols>
  <sheetData>
    <row r="1" spans="1:13" ht="15.9" x14ac:dyDescent="0.45">
      <c r="A1" s="44" t="s">
        <v>45</v>
      </c>
    </row>
    <row r="2" spans="1:13" x14ac:dyDescent="0.4">
      <c r="A2" s="33" t="s">
        <v>39</v>
      </c>
    </row>
    <row r="3" spans="1:13" ht="12.75" customHeight="1" x14ac:dyDescent="0.4"/>
    <row r="4" spans="1:13" x14ac:dyDescent="0.4">
      <c r="B4" s="28">
        <v>45309</v>
      </c>
      <c r="C4" s="27">
        <v>45340</v>
      </c>
      <c r="D4" s="27">
        <v>45369</v>
      </c>
      <c r="E4" s="27">
        <v>45400</v>
      </c>
      <c r="F4" s="27">
        <v>45430</v>
      </c>
      <c r="G4" s="27">
        <v>45461</v>
      </c>
      <c r="H4" s="27">
        <v>45491</v>
      </c>
      <c r="I4" s="27">
        <v>45522</v>
      </c>
      <c r="J4" s="27">
        <v>45553</v>
      </c>
      <c r="K4" s="27">
        <v>45583</v>
      </c>
      <c r="L4" s="27">
        <v>45614</v>
      </c>
      <c r="M4" s="27">
        <v>45644</v>
      </c>
    </row>
    <row r="5" spans="1:13" s="30" customFormat="1" x14ac:dyDescent="0.4">
      <c r="A5" s="11" t="s">
        <v>19</v>
      </c>
      <c r="B5" s="30">
        <v>3</v>
      </c>
      <c r="C5" s="30">
        <v>3</v>
      </c>
      <c r="D5" s="30">
        <v>3</v>
      </c>
      <c r="E5" s="30">
        <v>3</v>
      </c>
      <c r="F5" s="30">
        <v>3</v>
      </c>
      <c r="G5" s="30">
        <v>3</v>
      </c>
      <c r="H5" s="30">
        <v>3</v>
      </c>
      <c r="I5" s="30">
        <v>3</v>
      </c>
      <c r="J5" s="30">
        <v>3</v>
      </c>
      <c r="K5" s="30">
        <v>3</v>
      </c>
      <c r="L5" s="30">
        <v>3</v>
      </c>
      <c r="M5" s="30">
        <v>3</v>
      </c>
    </row>
    <row r="6" spans="1:13" s="30" customFormat="1" x14ac:dyDescent="0.4">
      <c r="A6" s="12" t="s">
        <v>20</v>
      </c>
      <c r="B6" s="30">
        <v>527</v>
      </c>
      <c r="C6" s="30">
        <v>523</v>
      </c>
      <c r="D6" s="30">
        <v>525</v>
      </c>
      <c r="E6" s="30">
        <v>517</v>
      </c>
      <c r="F6" s="30">
        <v>514</v>
      </c>
      <c r="G6" s="30">
        <v>511</v>
      </c>
      <c r="H6" s="30">
        <v>509</v>
      </c>
      <c r="I6" s="30">
        <v>525</v>
      </c>
      <c r="J6" s="30">
        <v>517</v>
      </c>
      <c r="K6" s="30">
        <v>513</v>
      </c>
      <c r="L6" s="30">
        <v>515</v>
      </c>
      <c r="M6" s="30">
        <v>533</v>
      </c>
    </row>
    <row r="7" spans="1:13" s="30" customFormat="1" x14ac:dyDescent="0.4">
      <c r="A7" s="12" t="s">
        <v>29</v>
      </c>
      <c r="B7" s="30">
        <v>1</v>
      </c>
      <c r="C7" s="30">
        <v>1</v>
      </c>
      <c r="D7" s="30">
        <v>1</v>
      </c>
      <c r="E7" s="30">
        <v>1</v>
      </c>
      <c r="F7" s="30">
        <v>1</v>
      </c>
      <c r="G7" s="30">
        <v>1</v>
      </c>
      <c r="H7" s="30">
        <v>1</v>
      </c>
      <c r="I7" s="30">
        <v>1</v>
      </c>
      <c r="J7" s="30">
        <v>1</v>
      </c>
      <c r="K7" s="30">
        <v>1</v>
      </c>
      <c r="L7" s="30">
        <v>1</v>
      </c>
      <c r="M7" s="30">
        <v>1</v>
      </c>
    </row>
    <row r="8" spans="1:13" s="30" customFormat="1" x14ac:dyDescent="0.4">
      <c r="A8" s="13" t="s">
        <v>21</v>
      </c>
      <c r="B8" s="30">
        <v>2317</v>
      </c>
      <c r="C8" s="30">
        <v>2312</v>
      </c>
      <c r="D8" s="30">
        <v>2306</v>
      </c>
      <c r="E8" s="30">
        <v>2292</v>
      </c>
      <c r="F8" s="30">
        <v>2279</v>
      </c>
      <c r="G8" s="30">
        <v>2249</v>
      </c>
      <c r="H8" s="30">
        <v>2239</v>
      </c>
      <c r="I8" s="30">
        <v>2236</v>
      </c>
      <c r="J8" s="30">
        <v>2248</v>
      </c>
      <c r="K8" s="30">
        <v>2269</v>
      </c>
      <c r="L8" s="30">
        <v>2297</v>
      </c>
      <c r="M8" s="30">
        <v>2306</v>
      </c>
    </row>
    <row r="9" spans="1:13" s="30" customFormat="1" x14ac:dyDescent="0.4">
      <c r="A9" s="13" t="s">
        <v>29</v>
      </c>
      <c r="B9" s="30">
        <v>37</v>
      </c>
      <c r="C9" s="30">
        <v>37</v>
      </c>
      <c r="D9" s="30">
        <v>37</v>
      </c>
      <c r="E9" s="30">
        <v>38</v>
      </c>
      <c r="F9" s="30">
        <v>37</v>
      </c>
      <c r="G9" s="30">
        <v>37</v>
      </c>
      <c r="H9" s="30">
        <v>37</v>
      </c>
      <c r="I9" s="30">
        <v>37</v>
      </c>
      <c r="J9" s="30">
        <v>37</v>
      </c>
      <c r="K9" s="30">
        <v>37</v>
      </c>
      <c r="L9" s="30">
        <v>37</v>
      </c>
      <c r="M9" s="30">
        <v>37</v>
      </c>
    </row>
    <row r="10" spans="1:13" s="30" customFormat="1" x14ac:dyDescent="0.4">
      <c r="A10" s="14" t="s">
        <v>22</v>
      </c>
      <c r="B10" s="30">
        <v>413</v>
      </c>
      <c r="C10" s="30">
        <v>412</v>
      </c>
      <c r="D10" s="30">
        <v>407</v>
      </c>
      <c r="E10" s="30">
        <v>405</v>
      </c>
      <c r="F10" s="30">
        <v>403</v>
      </c>
      <c r="G10" s="30">
        <v>400</v>
      </c>
      <c r="H10" s="30">
        <v>402</v>
      </c>
      <c r="I10" s="30">
        <v>386</v>
      </c>
      <c r="J10" s="30">
        <v>392</v>
      </c>
      <c r="K10" s="30">
        <v>390</v>
      </c>
      <c r="L10" s="30">
        <v>390</v>
      </c>
      <c r="M10" s="30">
        <v>391</v>
      </c>
    </row>
    <row r="11" spans="1:13" s="30" customFormat="1" x14ac:dyDescent="0.4">
      <c r="A11" s="15" t="s">
        <v>32</v>
      </c>
      <c r="B11" s="30">
        <v>41</v>
      </c>
      <c r="C11" s="30">
        <v>56</v>
      </c>
      <c r="D11" s="30">
        <v>40</v>
      </c>
      <c r="E11" s="30">
        <v>40</v>
      </c>
      <c r="F11" s="30">
        <v>40</v>
      </c>
      <c r="G11" s="30">
        <v>40</v>
      </c>
      <c r="H11" s="30">
        <v>39</v>
      </c>
      <c r="I11" s="30">
        <v>40</v>
      </c>
      <c r="J11" s="30">
        <v>40</v>
      </c>
      <c r="K11" s="30">
        <v>40</v>
      </c>
      <c r="L11" s="30">
        <v>39</v>
      </c>
      <c r="M11" s="30">
        <v>39</v>
      </c>
    </row>
    <row r="12" spans="1:13" s="30" customFormat="1" x14ac:dyDescent="0.4">
      <c r="A12" s="16"/>
    </row>
    <row r="13" spans="1:13" s="30" customFormat="1" x14ac:dyDescent="0.4">
      <c r="A13" s="17" t="s">
        <v>24</v>
      </c>
      <c r="B13" s="30">
        <v>353</v>
      </c>
      <c r="C13" s="30">
        <v>353</v>
      </c>
      <c r="D13" s="30">
        <v>351</v>
      </c>
      <c r="E13" s="30">
        <v>350</v>
      </c>
      <c r="F13" s="30">
        <v>346</v>
      </c>
      <c r="G13" s="30">
        <v>347</v>
      </c>
      <c r="H13" s="30">
        <v>343</v>
      </c>
      <c r="I13" s="30">
        <v>345</v>
      </c>
      <c r="J13" s="30">
        <v>348</v>
      </c>
      <c r="K13" s="30">
        <v>347</v>
      </c>
      <c r="L13" s="30">
        <v>350</v>
      </c>
      <c r="M13" s="30">
        <v>353</v>
      </c>
    </row>
    <row r="14" spans="1:13" s="30" customFormat="1" x14ac:dyDescent="0.4">
      <c r="A14" s="18" t="s">
        <v>25</v>
      </c>
      <c r="B14" s="30">
        <v>1190</v>
      </c>
      <c r="C14" s="30">
        <v>1184</v>
      </c>
      <c r="D14" s="30">
        <v>1177</v>
      </c>
      <c r="E14" s="30">
        <v>1169</v>
      </c>
      <c r="F14" s="30">
        <v>1159</v>
      </c>
      <c r="G14" s="30">
        <v>1143</v>
      </c>
      <c r="H14" s="30">
        <v>1140</v>
      </c>
      <c r="I14" s="30">
        <v>1139</v>
      </c>
      <c r="J14" s="30">
        <v>1146</v>
      </c>
      <c r="K14" s="30">
        <v>1155</v>
      </c>
      <c r="L14" s="30">
        <v>1165</v>
      </c>
      <c r="M14" s="30">
        <v>1176</v>
      </c>
    </row>
    <row r="16" spans="1:13" x14ac:dyDescent="0.4">
      <c r="A16" s="19" t="s">
        <v>33</v>
      </c>
      <c r="B16" s="32">
        <f t="shared" ref="B16:M16" si="0">SUM(B5:B14)</f>
        <v>4882</v>
      </c>
      <c r="C16" s="32">
        <f t="shared" si="0"/>
        <v>4881</v>
      </c>
      <c r="D16" s="32">
        <f t="shared" si="0"/>
        <v>4847</v>
      </c>
      <c r="E16" s="32">
        <f t="shared" si="0"/>
        <v>4815</v>
      </c>
      <c r="F16" s="32">
        <f t="shared" si="0"/>
        <v>4782</v>
      </c>
      <c r="G16" s="32">
        <f t="shared" si="0"/>
        <v>4731</v>
      </c>
      <c r="H16" s="32">
        <f t="shared" si="0"/>
        <v>4713</v>
      </c>
      <c r="I16" s="32">
        <f t="shared" si="0"/>
        <v>4712</v>
      </c>
      <c r="J16" s="32">
        <f t="shared" si="0"/>
        <v>4732</v>
      </c>
      <c r="K16" s="32">
        <f t="shared" si="0"/>
        <v>4755</v>
      </c>
      <c r="L16" s="32">
        <f t="shared" si="0"/>
        <v>4797</v>
      </c>
      <c r="M16" s="32">
        <f t="shared" si="0"/>
        <v>4839</v>
      </c>
    </row>
    <row r="17" spans="1:13" x14ac:dyDescent="0.4">
      <c r="H17" s="29"/>
    </row>
    <row r="18" spans="1:13" x14ac:dyDescent="0.4">
      <c r="H18" s="29"/>
    </row>
    <row r="20" spans="1:13" x14ac:dyDescent="0.4">
      <c r="B20" s="28">
        <v>45658</v>
      </c>
      <c r="C20" s="27">
        <v>45689</v>
      </c>
      <c r="D20" s="27">
        <v>45717</v>
      </c>
      <c r="E20" s="27">
        <v>45748</v>
      </c>
      <c r="F20" s="27">
        <v>45778</v>
      </c>
      <c r="G20" s="27">
        <v>45809</v>
      </c>
      <c r="H20" s="27">
        <v>45839</v>
      </c>
      <c r="I20" s="27">
        <v>45870</v>
      </c>
      <c r="J20" s="27">
        <v>45901</v>
      </c>
      <c r="K20" s="27">
        <v>45931</v>
      </c>
      <c r="L20" s="27">
        <v>45962</v>
      </c>
      <c r="M20" s="27">
        <v>45992</v>
      </c>
    </row>
    <row r="21" spans="1:13" x14ac:dyDescent="0.4">
      <c r="A21" s="11" t="s">
        <v>19</v>
      </c>
      <c r="B21" s="30">
        <v>3</v>
      </c>
      <c r="C21" s="31">
        <v>3</v>
      </c>
      <c r="D21" s="30">
        <v>3</v>
      </c>
      <c r="E21" s="30">
        <v>3</v>
      </c>
      <c r="F21" s="30">
        <v>3</v>
      </c>
      <c r="G21" s="30">
        <v>3</v>
      </c>
      <c r="H21" s="30">
        <v>3</v>
      </c>
      <c r="I21" s="30">
        <v>3</v>
      </c>
      <c r="J21" s="30">
        <v>3</v>
      </c>
      <c r="K21" s="30">
        <v>3</v>
      </c>
      <c r="L21" s="30">
        <v>3</v>
      </c>
      <c r="M21" s="30">
        <v>3</v>
      </c>
    </row>
    <row r="22" spans="1:13" x14ac:dyDescent="0.4">
      <c r="A22" s="12" t="s">
        <v>20</v>
      </c>
      <c r="B22" s="30">
        <v>516</v>
      </c>
      <c r="C22" s="31">
        <v>515</v>
      </c>
      <c r="D22" s="30">
        <v>513</v>
      </c>
      <c r="E22" s="30">
        <v>507</v>
      </c>
      <c r="F22" s="30">
        <v>502</v>
      </c>
      <c r="G22" s="30">
        <v>501</v>
      </c>
      <c r="H22" s="30">
        <v>517</v>
      </c>
      <c r="I22" s="30">
        <v>517</v>
      </c>
      <c r="J22" s="30">
        <v>517</v>
      </c>
      <c r="K22" s="30">
        <v>535</v>
      </c>
      <c r="L22" s="30">
        <v>539</v>
      </c>
      <c r="M22" s="30">
        <v>512</v>
      </c>
    </row>
    <row r="23" spans="1:13" x14ac:dyDescent="0.4">
      <c r="A23" s="12" t="s">
        <v>29</v>
      </c>
      <c r="B23" s="30">
        <v>1</v>
      </c>
      <c r="C23" s="30">
        <v>1</v>
      </c>
      <c r="D23" s="30">
        <v>1</v>
      </c>
      <c r="E23" s="30">
        <v>1</v>
      </c>
      <c r="F23" s="30">
        <v>1</v>
      </c>
      <c r="G23" s="30">
        <v>1</v>
      </c>
      <c r="H23" s="30">
        <v>1</v>
      </c>
      <c r="I23" s="30">
        <v>1</v>
      </c>
      <c r="J23" s="30">
        <v>1</v>
      </c>
      <c r="K23" s="30">
        <v>1</v>
      </c>
      <c r="L23" s="30">
        <v>1</v>
      </c>
      <c r="M23" s="30">
        <v>1</v>
      </c>
    </row>
    <row r="24" spans="1:13" x14ac:dyDescent="0.4">
      <c r="A24" s="13" t="s">
        <v>21</v>
      </c>
      <c r="B24" s="30">
        <v>2301</v>
      </c>
      <c r="C24" s="31">
        <v>2301</v>
      </c>
      <c r="D24" s="30">
        <v>2292</v>
      </c>
      <c r="E24" s="30">
        <v>2272</v>
      </c>
      <c r="F24" s="30">
        <v>2254</v>
      </c>
      <c r="G24" s="30">
        <v>2295</v>
      </c>
      <c r="H24" s="30">
        <v>2283</v>
      </c>
      <c r="I24" s="30">
        <v>2271</v>
      </c>
      <c r="J24" s="30">
        <v>2216</v>
      </c>
      <c r="K24" s="30">
        <v>2260</v>
      </c>
      <c r="L24" s="30">
        <v>2280</v>
      </c>
      <c r="M24" s="30">
        <v>2289</v>
      </c>
    </row>
    <row r="25" spans="1:13" x14ac:dyDescent="0.4">
      <c r="A25" s="13" t="s">
        <v>29</v>
      </c>
      <c r="B25" s="30">
        <v>37</v>
      </c>
      <c r="C25" s="31">
        <v>37</v>
      </c>
      <c r="D25" s="30">
        <v>38</v>
      </c>
      <c r="E25" s="30">
        <v>37</v>
      </c>
      <c r="F25" s="30">
        <v>37</v>
      </c>
      <c r="G25" s="30">
        <v>37</v>
      </c>
      <c r="H25" s="30">
        <v>36</v>
      </c>
      <c r="I25" s="30">
        <v>36</v>
      </c>
      <c r="J25" s="30">
        <v>36</v>
      </c>
      <c r="K25" s="30">
        <v>36</v>
      </c>
      <c r="L25" s="30">
        <v>36</v>
      </c>
      <c r="M25" s="30">
        <v>37</v>
      </c>
    </row>
    <row r="26" spans="1:13" x14ac:dyDescent="0.4">
      <c r="A26" s="14" t="s">
        <v>22</v>
      </c>
      <c r="B26" s="30">
        <v>389</v>
      </c>
      <c r="C26" s="30">
        <v>390</v>
      </c>
      <c r="D26" s="30">
        <v>391</v>
      </c>
      <c r="E26" s="30">
        <v>389</v>
      </c>
      <c r="F26" s="30">
        <v>388</v>
      </c>
      <c r="G26" s="30">
        <v>389</v>
      </c>
      <c r="H26" s="30">
        <v>390</v>
      </c>
      <c r="I26" s="30">
        <v>389</v>
      </c>
      <c r="J26" s="30">
        <v>388</v>
      </c>
      <c r="K26" s="30">
        <v>386</v>
      </c>
      <c r="L26" s="30">
        <v>385</v>
      </c>
      <c r="M26" s="30">
        <v>384</v>
      </c>
    </row>
    <row r="27" spans="1:13" x14ac:dyDescent="0.4">
      <c r="A27" s="15" t="s">
        <v>32</v>
      </c>
      <c r="B27" s="30">
        <v>39</v>
      </c>
      <c r="C27" s="30">
        <v>39</v>
      </c>
      <c r="D27" s="30">
        <v>38</v>
      </c>
      <c r="E27" s="30">
        <v>38</v>
      </c>
      <c r="F27" s="30">
        <v>38</v>
      </c>
      <c r="G27" s="30">
        <v>38</v>
      </c>
      <c r="H27" s="30">
        <v>38</v>
      </c>
      <c r="I27" s="30">
        <v>38</v>
      </c>
      <c r="J27" s="30">
        <v>38</v>
      </c>
      <c r="K27" s="30">
        <v>38</v>
      </c>
      <c r="L27" s="30">
        <v>38</v>
      </c>
      <c r="M27" s="30">
        <v>39</v>
      </c>
    </row>
    <row r="28" spans="1:13" x14ac:dyDescent="0.4">
      <c r="A28" s="1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4">
      <c r="A29" s="17" t="s">
        <v>24</v>
      </c>
      <c r="B29" s="30">
        <v>350</v>
      </c>
      <c r="C29" s="30">
        <v>349</v>
      </c>
      <c r="D29" s="30">
        <v>348</v>
      </c>
      <c r="E29" s="30">
        <v>347</v>
      </c>
      <c r="F29" s="30">
        <v>346</v>
      </c>
      <c r="G29" s="30">
        <v>347</v>
      </c>
      <c r="H29" s="30">
        <v>350</v>
      </c>
      <c r="I29" s="30">
        <v>344</v>
      </c>
      <c r="J29" s="30">
        <v>345</v>
      </c>
      <c r="K29" s="30">
        <v>350</v>
      </c>
      <c r="L29" s="30">
        <v>350</v>
      </c>
      <c r="M29" s="30">
        <v>348</v>
      </c>
    </row>
    <row r="30" spans="1:13" x14ac:dyDescent="0.4">
      <c r="A30" s="18" t="s">
        <v>25</v>
      </c>
      <c r="B30" s="30">
        <v>1170</v>
      </c>
      <c r="C30" s="30">
        <v>1169</v>
      </c>
      <c r="D30" s="30">
        <v>1165</v>
      </c>
      <c r="E30" s="30">
        <v>1166</v>
      </c>
      <c r="F30" s="30">
        <v>1154</v>
      </c>
      <c r="G30" s="30">
        <v>1170</v>
      </c>
      <c r="H30" s="30">
        <v>1164</v>
      </c>
      <c r="I30" s="30">
        <v>1160</v>
      </c>
      <c r="J30" s="30">
        <v>1140</v>
      </c>
      <c r="K30" s="30">
        <v>1154</v>
      </c>
      <c r="L30" s="30">
        <v>1168</v>
      </c>
      <c r="M30" s="30">
        <v>1175</v>
      </c>
    </row>
    <row r="32" spans="1:13" x14ac:dyDescent="0.4">
      <c r="A32" s="19" t="s">
        <v>33</v>
      </c>
      <c r="B32" s="32">
        <f t="shared" ref="B32:M32" si="1">SUM(B21:B30)</f>
        <v>4806</v>
      </c>
      <c r="C32" s="32">
        <f t="shared" si="1"/>
        <v>4804</v>
      </c>
      <c r="D32" s="32">
        <f t="shared" si="1"/>
        <v>4789</v>
      </c>
      <c r="E32" s="32">
        <f t="shared" si="1"/>
        <v>4760</v>
      </c>
      <c r="F32" s="32">
        <f t="shared" si="1"/>
        <v>4723</v>
      </c>
      <c r="G32" s="32">
        <f t="shared" si="1"/>
        <v>4781</v>
      </c>
      <c r="H32" s="32">
        <f t="shared" si="1"/>
        <v>4782</v>
      </c>
      <c r="I32" s="32">
        <f t="shared" si="1"/>
        <v>4759</v>
      </c>
      <c r="J32" s="32">
        <f t="shared" si="1"/>
        <v>4684</v>
      </c>
      <c r="K32" s="32">
        <f t="shared" si="1"/>
        <v>4763</v>
      </c>
      <c r="L32" s="32">
        <f t="shared" si="1"/>
        <v>4800</v>
      </c>
      <c r="M32" s="32">
        <f t="shared" si="1"/>
        <v>4788</v>
      </c>
    </row>
  </sheetData>
  <printOptions horizontalCentered="1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1595-F659-441D-A8AD-2CC00AE77512}">
  <sheetPr codeName="Sheet1"/>
  <dimension ref="A1:Z902"/>
  <sheetViews>
    <sheetView workbookViewId="0">
      <pane xSplit="1" ySplit="6" topLeftCell="B7" activePane="bottomRight" state="frozenSplit"/>
      <selection pane="topRight" activeCell="E1" sqref="E1"/>
      <selection pane="bottomLeft" activeCell="A5" sqref="A5"/>
      <selection pane="bottomRight" activeCell="B7" sqref="B7"/>
    </sheetView>
  </sheetViews>
  <sheetFormatPr defaultRowHeight="14.6" x14ac:dyDescent="0.4"/>
  <cols>
    <col min="1" max="1" width="2.3046875" customWidth="1"/>
    <col min="2" max="2" width="11.84375" bestFit="1" customWidth="1"/>
    <col min="3" max="3" width="2.3046875" customWidth="1"/>
    <col min="4" max="4" width="8.69140625" bestFit="1" customWidth="1"/>
    <col min="5" max="5" width="2.3046875" customWidth="1"/>
    <col min="6" max="6" width="18.3046875" bestFit="1" customWidth="1"/>
    <col min="7" max="7" width="2.3046875" customWidth="1"/>
    <col min="8" max="8" width="27" bestFit="1" customWidth="1"/>
    <col min="9" max="9" width="2.3046875" customWidth="1"/>
    <col min="10" max="10" width="30.69140625" customWidth="1"/>
    <col min="11" max="11" width="2.3046875" customWidth="1"/>
    <col min="12" max="12" width="11.69140625" bestFit="1" customWidth="1"/>
    <col min="13" max="13" width="2.3046875" customWidth="1"/>
    <col min="14" max="14" width="3.3046875" bestFit="1" customWidth="1"/>
    <col min="15" max="15" width="2.3046875" customWidth="1"/>
    <col min="16" max="16" width="30.69140625" customWidth="1"/>
    <col min="17" max="17" width="2.3046875" customWidth="1"/>
    <col min="18" max="18" width="12.3828125" customWidth="1"/>
    <col min="19" max="19" width="2.3046875" customWidth="1"/>
    <col min="20" max="20" width="11.53515625" bestFit="1" customWidth="1"/>
    <col min="23" max="23" width="9.84375" bestFit="1" customWidth="1"/>
    <col min="24" max="24" width="10.53515625" bestFit="1" customWidth="1"/>
    <col min="25" max="25" width="9.84375" bestFit="1" customWidth="1"/>
  </cols>
  <sheetData>
    <row r="1" spans="1:25" ht="15.9" x14ac:dyDescent="0.45">
      <c r="A1" s="45" t="s">
        <v>994</v>
      </c>
      <c r="B1" s="43"/>
      <c r="C1" s="43"/>
      <c r="D1" s="45"/>
      <c r="E1" s="41"/>
    </row>
    <row r="2" spans="1:25" x14ac:dyDescent="0.4">
      <c r="A2" s="34"/>
    </row>
    <row r="3" spans="1:25" ht="15.45" x14ac:dyDescent="0.4">
      <c r="A3" s="109"/>
      <c r="B3" s="110" t="s">
        <v>92</v>
      </c>
      <c r="C3" s="109"/>
      <c r="D3" s="109"/>
      <c r="E3" s="109"/>
      <c r="F3" s="109"/>
      <c r="G3" s="109"/>
      <c r="H3" s="133" t="s">
        <v>93</v>
      </c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11" t="s">
        <v>94</v>
      </c>
    </row>
    <row r="4" spans="1:25" ht="17.600000000000001" x14ac:dyDescent="0.4">
      <c r="A4" s="109"/>
      <c r="B4" s="112" t="s">
        <v>95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3">
        <v>46065</v>
      </c>
    </row>
    <row r="5" spans="1:25" x14ac:dyDescent="0.4">
      <c r="A5" s="109"/>
      <c r="B5" s="114" t="s">
        <v>96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1" t="s">
        <v>97</v>
      </c>
    </row>
    <row r="6" spans="1:25" s="39" customFormat="1" ht="15" thickBot="1" x14ac:dyDescent="0.45">
      <c r="A6" s="115"/>
      <c r="B6" s="116" t="s">
        <v>98</v>
      </c>
      <c r="C6" s="115"/>
      <c r="D6" s="116" t="s">
        <v>99</v>
      </c>
      <c r="E6" s="115"/>
      <c r="F6" s="116" t="s">
        <v>100</v>
      </c>
      <c r="G6" s="115"/>
      <c r="H6" s="116" t="s">
        <v>101</v>
      </c>
      <c r="I6" s="115"/>
      <c r="J6" s="116" t="s">
        <v>102</v>
      </c>
      <c r="K6" s="115"/>
      <c r="L6" s="116" t="s">
        <v>103</v>
      </c>
      <c r="M6" s="115"/>
      <c r="N6" s="116" t="s">
        <v>104</v>
      </c>
      <c r="O6" s="115"/>
      <c r="P6" s="116" t="s">
        <v>105</v>
      </c>
      <c r="Q6" s="115"/>
      <c r="R6" s="116" t="s">
        <v>106</v>
      </c>
      <c r="S6" s="115"/>
      <c r="T6" s="116" t="s">
        <v>107</v>
      </c>
    </row>
    <row r="7" spans="1:25" ht="15" thickTop="1" x14ac:dyDescent="0.4">
      <c r="A7" s="117"/>
      <c r="B7" s="117"/>
      <c r="C7" s="117"/>
      <c r="D7" s="118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9"/>
      <c r="S7" s="117"/>
      <c r="T7" s="119">
        <v>0</v>
      </c>
    </row>
    <row r="8" spans="1:25" x14ac:dyDescent="0.4">
      <c r="A8" s="117"/>
      <c r="B8" s="117"/>
      <c r="C8" s="117"/>
      <c r="D8" s="118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9"/>
      <c r="S8" s="117"/>
      <c r="T8" s="119">
        <v>0</v>
      </c>
      <c r="Y8" s="120"/>
    </row>
    <row r="9" spans="1:25" x14ac:dyDescent="0.4">
      <c r="A9" s="117"/>
      <c r="B9" s="117"/>
      <c r="C9" s="117"/>
      <c r="D9" s="118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9"/>
      <c r="S9" s="117"/>
      <c r="T9" s="119">
        <v>0</v>
      </c>
    </row>
    <row r="10" spans="1:25" x14ac:dyDescent="0.4">
      <c r="A10" s="121"/>
      <c r="B10" s="121" t="s">
        <v>108</v>
      </c>
      <c r="C10" s="121"/>
      <c r="D10" s="122">
        <v>41047</v>
      </c>
      <c r="E10" s="121"/>
      <c r="F10" s="121" t="s">
        <v>109</v>
      </c>
      <c r="G10" s="121"/>
      <c r="H10" s="121" t="s">
        <v>110</v>
      </c>
      <c r="I10" s="121"/>
      <c r="J10" s="121" t="s">
        <v>111</v>
      </c>
      <c r="K10" s="121"/>
      <c r="L10" s="121" t="s">
        <v>112</v>
      </c>
      <c r="M10" s="121"/>
      <c r="N10" s="123"/>
      <c r="O10" s="121"/>
      <c r="P10" s="121" t="s">
        <v>113</v>
      </c>
      <c r="Q10" s="121"/>
      <c r="R10" s="124">
        <v>14471.52</v>
      </c>
      <c r="S10" s="121"/>
      <c r="T10" s="124">
        <f t="shared" ref="T10:T73" si="0">ROUND(T9+R10,5)</f>
        <v>14471.52</v>
      </c>
    </row>
    <row r="11" spans="1:25" x14ac:dyDescent="0.4">
      <c r="A11" s="121"/>
      <c r="B11" s="121" t="s">
        <v>108</v>
      </c>
      <c r="C11" s="121"/>
      <c r="D11" s="122">
        <v>41079</v>
      </c>
      <c r="E11" s="121"/>
      <c r="F11" s="121" t="s">
        <v>114</v>
      </c>
      <c r="G11" s="121"/>
      <c r="H11" s="121" t="s">
        <v>110</v>
      </c>
      <c r="I11" s="121"/>
      <c r="J11" s="121"/>
      <c r="K11" s="121"/>
      <c r="L11" s="121" t="s">
        <v>112</v>
      </c>
      <c r="M11" s="121"/>
      <c r="N11" s="123"/>
      <c r="O11" s="121"/>
      <c r="P11" s="121" t="s">
        <v>113</v>
      </c>
      <c r="Q11" s="121"/>
      <c r="R11" s="124">
        <v>3594.32</v>
      </c>
      <c r="S11" s="121"/>
      <c r="T11" s="124">
        <f t="shared" si="0"/>
        <v>18065.84</v>
      </c>
      <c r="X11" s="120"/>
    </row>
    <row r="12" spans="1:25" x14ac:dyDescent="0.4">
      <c r="A12" s="121"/>
      <c r="B12" s="121" t="s">
        <v>108</v>
      </c>
      <c r="C12" s="121"/>
      <c r="D12" s="122">
        <v>41080</v>
      </c>
      <c r="E12" s="121"/>
      <c r="F12" s="121" t="s">
        <v>115</v>
      </c>
      <c r="G12" s="121"/>
      <c r="H12" s="121" t="s">
        <v>110</v>
      </c>
      <c r="I12" s="121"/>
      <c r="J12" s="121" t="s">
        <v>116</v>
      </c>
      <c r="K12" s="121"/>
      <c r="L12" s="121" t="s">
        <v>112</v>
      </c>
      <c r="M12" s="121"/>
      <c r="N12" s="123"/>
      <c r="O12" s="121"/>
      <c r="P12" s="121" t="s">
        <v>113</v>
      </c>
      <c r="Q12" s="121"/>
      <c r="R12" s="124">
        <v>2600</v>
      </c>
      <c r="S12" s="121"/>
      <c r="T12" s="124">
        <f t="shared" si="0"/>
        <v>20665.84</v>
      </c>
    </row>
    <row r="13" spans="1:25" x14ac:dyDescent="0.4">
      <c r="A13" s="121"/>
      <c r="B13" s="121" t="s">
        <v>108</v>
      </c>
      <c r="C13" s="121"/>
      <c r="D13" s="122">
        <v>41198</v>
      </c>
      <c r="E13" s="121"/>
      <c r="F13" s="121" t="s">
        <v>117</v>
      </c>
      <c r="G13" s="121"/>
      <c r="H13" s="121" t="s">
        <v>110</v>
      </c>
      <c r="I13" s="121"/>
      <c r="J13" s="121"/>
      <c r="K13" s="121"/>
      <c r="L13" s="121" t="s">
        <v>112</v>
      </c>
      <c r="M13" s="121"/>
      <c r="N13" s="123"/>
      <c r="O13" s="121"/>
      <c r="P13" s="121" t="s">
        <v>113</v>
      </c>
      <c r="Q13" s="121"/>
      <c r="R13" s="124">
        <v>1198.01</v>
      </c>
      <c r="S13" s="121"/>
      <c r="T13" s="124">
        <f t="shared" si="0"/>
        <v>21863.85</v>
      </c>
    </row>
    <row r="14" spans="1:25" x14ac:dyDescent="0.4">
      <c r="A14" s="121"/>
      <c r="B14" s="121" t="s">
        <v>108</v>
      </c>
      <c r="C14" s="121"/>
      <c r="D14" s="122">
        <v>41255</v>
      </c>
      <c r="E14" s="121"/>
      <c r="F14" s="121" t="s">
        <v>118</v>
      </c>
      <c r="G14" s="121"/>
      <c r="H14" s="121" t="s">
        <v>110</v>
      </c>
      <c r="I14" s="121"/>
      <c r="J14" s="121" t="s">
        <v>119</v>
      </c>
      <c r="K14" s="121"/>
      <c r="L14" s="121" t="s">
        <v>112</v>
      </c>
      <c r="M14" s="121"/>
      <c r="N14" s="123"/>
      <c r="O14" s="121"/>
      <c r="P14" s="121" t="s">
        <v>113</v>
      </c>
      <c r="Q14" s="121"/>
      <c r="R14" s="124">
        <v>2396.19</v>
      </c>
      <c r="S14" s="121"/>
      <c r="T14" s="124">
        <f t="shared" si="0"/>
        <v>24260.04</v>
      </c>
    </row>
    <row r="15" spans="1:25" x14ac:dyDescent="0.4">
      <c r="A15" s="121"/>
      <c r="B15" s="121" t="s">
        <v>108</v>
      </c>
      <c r="C15" s="121"/>
      <c r="D15" s="122">
        <v>41289</v>
      </c>
      <c r="E15" s="121"/>
      <c r="F15" s="121" t="s">
        <v>120</v>
      </c>
      <c r="G15" s="121"/>
      <c r="H15" s="121" t="s">
        <v>110</v>
      </c>
      <c r="I15" s="121"/>
      <c r="J15" s="121"/>
      <c r="K15" s="121"/>
      <c r="L15" s="121"/>
      <c r="M15" s="121"/>
      <c r="N15" s="123"/>
      <c r="O15" s="121"/>
      <c r="P15" s="121" t="s">
        <v>113</v>
      </c>
      <c r="Q15" s="121"/>
      <c r="R15" s="124">
        <v>2447.81</v>
      </c>
      <c r="S15" s="121"/>
      <c r="T15" s="124">
        <f t="shared" si="0"/>
        <v>26707.85</v>
      </c>
      <c r="X15" s="120"/>
    </row>
    <row r="16" spans="1:25" x14ac:dyDescent="0.4">
      <c r="A16" s="121"/>
      <c r="B16" s="121" t="s">
        <v>108</v>
      </c>
      <c r="C16" s="121"/>
      <c r="D16" s="122">
        <v>41310</v>
      </c>
      <c r="E16" s="121"/>
      <c r="F16" s="121" t="s">
        <v>121</v>
      </c>
      <c r="G16" s="121"/>
      <c r="H16" s="121" t="s">
        <v>110</v>
      </c>
      <c r="I16" s="121"/>
      <c r="J16" s="121"/>
      <c r="K16" s="121"/>
      <c r="L16" s="121"/>
      <c r="M16" s="121"/>
      <c r="N16" s="123"/>
      <c r="O16" s="121"/>
      <c r="P16" s="121" t="s">
        <v>113</v>
      </c>
      <c r="Q16" s="121"/>
      <c r="R16" s="124">
        <v>3596.46</v>
      </c>
      <c r="S16" s="121"/>
      <c r="T16" s="124">
        <f t="shared" si="0"/>
        <v>30304.31</v>
      </c>
    </row>
    <row r="17" spans="1:24" x14ac:dyDescent="0.4">
      <c r="A17" s="121"/>
      <c r="B17" s="121" t="s">
        <v>108</v>
      </c>
      <c r="C17" s="121"/>
      <c r="D17" s="122">
        <v>41333</v>
      </c>
      <c r="E17" s="121"/>
      <c r="F17" s="121" t="s">
        <v>122</v>
      </c>
      <c r="G17" s="121"/>
      <c r="H17" s="121" t="s">
        <v>110</v>
      </c>
      <c r="I17" s="121"/>
      <c r="J17" s="121" t="s">
        <v>123</v>
      </c>
      <c r="K17" s="121"/>
      <c r="L17" s="121"/>
      <c r="M17" s="121"/>
      <c r="N17" s="123"/>
      <c r="O17" s="121"/>
      <c r="P17" s="121" t="s">
        <v>113</v>
      </c>
      <c r="Q17" s="121"/>
      <c r="R17" s="124">
        <v>3598.77</v>
      </c>
      <c r="S17" s="121"/>
      <c r="T17" s="124">
        <f t="shared" si="0"/>
        <v>33903.08</v>
      </c>
    </row>
    <row r="18" spans="1:24" x14ac:dyDescent="0.4">
      <c r="A18" s="121"/>
      <c r="B18" s="121" t="s">
        <v>108</v>
      </c>
      <c r="C18" s="121"/>
      <c r="D18" s="122">
        <v>41364</v>
      </c>
      <c r="E18" s="121"/>
      <c r="F18" s="121" t="s">
        <v>124</v>
      </c>
      <c r="G18" s="121"/>
      <c r="H18" s="121" t="s">
        <v>110</v>
      </c>
      <c r="I18" s="121"/>
      <c r="J18" s="121" t="s">
        <v>125</v>
      </c>
      <c r="K18" s="121"/>
      <c r="L18" s="121"/>
      <c r="M18" s="121"/>
      <c r="N18" s="123"/>
      <c r="O18" s="121"/>
      <c r="P18" s="121" t="s">
        <v>113</v>
      </c>
      <c r="Q18" s="121"/>
      <c r="R18" s="124">
        <v>3596.2</v>
      </c>
      <c r="S18" s="121"/>
      <c r="T18" s="124">
        <f t="shared" si="0"/>
        <v>37499.279999999999</v>
      </c>
      <c r="X18" s="120"/>
    </row>
    <row r="19" spans="1:24" x14ac:dyDescent="0.4">
      <c r="A19" s="121"/>
      <c r="B19" s="121" t="s">
        <v>108</v>
      </c>
      <c r="C19" s="121"/>
      <c r="D19" s="122">
        <v>41402</v>
      </c>
      <c r="E19" s="121"/>
      <c r="F19" s="121" t="s">
        <v>126</v>
      </c>
      <c r="G19" s="121"/>
      <c r="H19" s="121" t="s">
        <v>110</v>
      </c>
      <c r="I19" s="121"/>
      <c r="J19" s="121" t="s">
        <v>127</v>
      </c>
      <c r="K19" s="121"/>
      <c r="L19" s="121"/>
      <c r="M19" s="121"/>
      <c r="N19" s="123"/>
      <c r="O19" s="121"/>
      <c r="P19" s="121" t="s">
        <v>113</v>
      </c>
      <c r="Q19" s="121"/>
      <c r="R19" s="124">
        <v>3596.46</v>
      </c>
      <c r="S19" s="121"/>
      <c r="T19" s="124">
        <f t="shared" si="0"/>
        <v>41095.74</v>
      </c>
    </row>
    <row r="20" spans="1:24" x14ac:dyDescent="0.4">
      <c r="A20" s="121"/>
      <c r="B20" s="121" t="s">
        <v>108</v>
      </c>
      <c r="C20" s="121"/>
      <c r="D20" s="122">
        <v>41411</v>
      </c>
      <c r="E20" s="121"/>
      <c r="F20" s="121" t="s">
        <v>128</v>
      </c>
      <c r="G20" s="121"/>
      <c r="H20" s="121" t="s">
        <v>110</v>
      </c>
      <c r="I20" s="121"/>
      <c r="J20" s="121" t="s">
        <v>129</v>
      </c>
      <c r="K20" s="121"/>
      <c r="L20" s="121"/>
      <c r="M20" s="121"/>
      <c r="N20" s="123"/>
      <c r="O20" s="121"/>
      <c r="P20" s="121" t="s">
        <v>113</v>
      </c>
      <c r="Q20" s="121"/>
      <c r="R20" s="124">
        <v>4795.28</v>
      </c>
      <c r="S20" s="121"/>
      <c r="T20" s="124">
        <f t="shared" si="0"/>
        <v>45891.02</v>
      </c>
      <c r="X20" s="120"/>
    </row>
    <row r="21" spans="1:24" x14ac:dyDescent="0.4">
      <c r="A21" s="121"/>
      <c r="B21" s="121" t="s">
        <v>108</v>
      </c>
      <c r="C21" s="121"/>
      <c r="D21" s="122">
        <v>41449</v>
      </c>
      <c r="E21" s="121"/>
      <c r="F21" s="121" t="s">
        <v>130</v>
      </c>
      <c r="G21" s="121"/>
      <c r="H21" s="121" t="s">
        <v>131</v>
      </c>
      <c r="I21" s="121"/>
      <c r="J21" s="121" t="s">
        <v>130</v>
      </c>
      <c r="K21" s="121"/>
      <c r="L21" s="121"/>
      <c r="M21" s="121"/>
      <c r="N21" s="123"/>
      <c r="O21" s="121"/>
      <c r="P21" s="121" t="s">
        <v>113</v>
      </c>
      <c r="Q21" s="121"/>
      <c r="R21" s="124">
        <v>1048.8</v>
      </c>
      <c r="S21" s="121"/>
      <c r="T21" s="124">
        <f t="shared" si="0"/>
        <v>46939.82</v>
      </c>
    </row>
    <row r="22" spans="1:24" x14ac:dyDescent="0.4">
      <c r="A22" s="121"/>
      <c r="B22" s="121" t="s">
        <v>108</v>
      </c>
      <c r="C22" s="121"/>
      <c r="D22" s="122">
        <v>41455</v>
      </c>
      <c r="E22" s="121"/>
      <c r="F22" s="121" t="s">
        <v>132</v>
      </c>
      <c r="G22" s="121"/>
      <c r="H22" s="121" t="s">
        <v>110</v>
      </c>
      <c r="I22" s="121"/>
      <c r="J22" s="121" t="s">
        <v>133</v>
      </c>
      <c r="K22" s="121"/>
      <c r="L22" s="121"/>
      <c r="M22" s="121"/>
      <c r="N22" s="123"/>
      <c r="O22" s="121"/>
      <c r="P22" s="121" t="s">
        <v>113</v>
      </c>
      <c r="Q22" s="121"/>
      <c r="R22" s="124">
        <v>3592.25</v>
      </c>
      <c r="S22" s="121"/>
      <c r="T22" s="124">
        <f t="shared" si="0"/>
        <v>50532.07</v>
      </c>
    </row>
    <row r="23" spans="1:24" x14ac:dyDescent="0.4">
      <c r="A23" s="121"/>
      <c r="B23" s="121" t="s">
        <v>108</v>
      </c>
      <c r="C23" s="121"/>
      <c r="D23" s="122">
        <v>41486</v>
      </c>
      <c r="E23" s="121"/>
      <c r="F23" s="121" t="s">
        <v>134</v>
      </c>
      <c r="G23" s="121"/>
      <c r="H23" s="121" t="s">
        <v>110</v>
      </c>
      <c r="I23" s="121"/>
      <c r="J23" s="121" t="s">
        <v>123</v>
      </c>
      <c r="K23" s="121"/>
      <c r="L23" s="121"/>
      <c r="M23" s="121"/>
      <c r="N23" s="123"/>
      <c r="O23" s="121"/>
      <c r="P23" s="121" t="s">
        <v>113</v>
      </c>
      <c r="Q23" s="121"/>
      <c r="R23" s="124">
        <v>3696.18</v>
      </c>
      <c r="S23" s="121"/>
      <c r="T23" s="124">
        <f t="shared" si="0"/>
        <v>54228.25</v>
      </c>
    </row>
    <row r="24" spans="1:24" x14ac:dyDescent="0.4">
      <c r="A24" s="121"/>
      <c r="B24" s="121" t="s">
        <v>135</v>
      </c>
      <c r="C24" s="121"/>
      <c r="D24" s="122">
        <v>41639</v>
      </c>
      <c r="E24" s="121"/>
      <c r="F24" s="121" t="s">
        <v>136</v>
      </c>
      <c r="G24" s="121"/>
      <c r="H24" s="121"/>
      <c r="I24" s="121"/>
      <c r="J24" s="121" t="s">
        <v>137</v>
      </c>
      <c r="K24" s="121"/>
      <c r="L24" s="121"/>
      <c r="M24" s="121"/>
      <c r="N24" s="123"/>
      <c r="O24" s="121"/>
      <c r="P24" s="121" t="s">
        <v>138</v>
      </c>
      <c r="Q24" s="121"/>
      <c r="R24" s="124">
        <v>-1062</v>
      </c>
      <c r="S24" s="121"/>
      <c r="T24" s="124">
        <f t="shared" si="0"/>
        <v>53166.25</v>
      </c>
    </row>
    <row r="25" spans="1:24" x14ac:dyDescent="0.4">
      <c r="A25" s="121"/>
      <c r="B25" s="121" t="s">
        <v>135</v>
      </c>
      <c r="C25" s="121"/>
      <c r="D25" s="122">
        <v>41639</v>
      </c>
      <c r="E25" s="121"/>
      <c r="F25" s="121" t="s">
        <v>139</v>
      </c>
      <c r="G25" s="121"/>
      <c r="H25" s="121"/>
      <c r="I25" s="121"/>
      <c r="J25" s="121" t="s">
        <v>140</v>
      </c>
      <c r="K25" s="121"/>
      <c r="L25" s="121"/>
      <c r="M25" s="121"/>
      <c r="N25" s="123"/>
      <c r="O25" s="121"/>
      <c r="P25" s="121" t="s">
        <v>141</v>
      </c>
      <c r="Q25" s="121"/>
      <c r="R25" s="124">
        <v>1062</v>
      </c>
      <c r="S25" s="121"/>
      <c r="T25" s="124">
        <f t="shared" si="0"/>
        <v>54228.25</v>
      </c>
    </row>
    <row r="26" spans="1:24" x14ac:dyDescent="0.4">
      <c r="A26" s="121"/>
      <c r="B26" s="121" t="s">
        <v>135</v>
      </c>
      <c r="C26" s="121"/>
      <c r="D26" s="122">
        <v>41639</v>
      </c>
      <c r="E26" s="121"/>
      <c r="F26" s="121" t="s">
        <v>142</v>
      </c>
      <c r="G26" s="121"/>
      <c r="H26" s="121"/>
      <c r="I26" s="121"/>
      <c r="J26" s="121" t="s">
        <v>143</v>
      </c>
      <c r="K26" s="121"/>
      <c r="L26" s="121"/>
      <c r="M26" s="121"/>
      <c r="N26" s="123"/>
      <c r="O26" s="121"/>
      <c r="P26" s="121" t="s">
        <v>144</v>
      </c>
      <c r="Q26" s="121"/>
      <c r="R26" s="124">
        <v>-29968.21</v>
      </c>
      <c r="S26" s="121"/>
      <c r="T26" s="124">
        <f t="shared" si="0"/>
        <v>24260.04</v>
      </c>
    </row>
    <row r="27" spans="1:24" x14ac:dyDescent="0.4">
      <c r="A27" s="121"/>
      <c r="B27" s="121" t="s">
        <v>108</v>
      </c>
      <c r="C27" s="121"/>
      <c r="D27" s="122">
        <v>41642</v>
      </c>
      <c r="E27" s="121"/>
      <c r="F27" s="121" t="s">
        <v>145</v>
      </c>
      <c r="G27" s="121"/>
      <c r="H27" s="121" t="s">
        <v>110</v>
      </c>
      <c r="I27" s="121"/>
      <c r="J27" s="121" t="s">
        <v>145</v>
      </c>
      <c r="K27" s="121"/>
      <c r="L27" s="121"/>
      <c r="M27" s="121"/>
      <c r="N27" s="123"/>
      <c r="O27" s="121"/>
      <c r="P27" s="121" t="s">
        <v>113</v>
      </c>
      <c r="Q27" s="121"/>
      <c r="R27" s="124">
        <v>3779.1</v>
      </c>
      <c r="S27" s="121"/>
      <c r="T27" s="124">
        <f t="shared" si="0"/>
        <v>28039.14</v>
      </c>
    </row>
    <row r="28" spans="1:24" x14ac:dyDescent="0.4">
      <c r="A28" s="121"/>
      <c r="B28" s="121" t="s">
        <v>108</v>
      </c>
      <c r="C28" s="121"/>
      <c r="D28" s="122">
        <v>41754</v>
      </c>
      <c r="E28" s="121"/>
      <c r="F28" s="121" t="s">
        <v>146</v>
      </c>
      <c r="G28" s="121"/>
      <c r="H28" s="121" t="s">
        <v>110</v>
      </c>
      <c r="I28" s="121"/>
      <c r="J28" s="121" t="s">
        <v>146</v>
      </c>
      <c r="K28" s="121"/>
      <c r="L28" s="121"/>
      <c r="M28" s="121"/>
      <c r="N28" s="123"/>
      <c r="O28" s="121"/>
      <c r="P28" s="121" t="s">
        <v>113</v>
      </c>
      <c r="Q28" s="121"/>
      <c r="R28" s="124">
        <v>3773.21</v>
      </c>
      <c r="S28" s="121"/>
      <c r="T28" s="124">
        <f t="shared" si="0"/>
        <v>31812.35</v>
      </c>
    </row>
    <row r="29" spans="1:24" x14ac:dyDescent="0.4">
      <c r="A29" s="121"/>
      <c r="B29" s="121" t="s">
        <v>108</v>
      </c>
      <c r="C29" s="121"/>
      <c r="D29" s="122">
        <v>41801</v>
      </c>
      <c r="E29" s="121"/>
      <c r="F29" s="121" t="s">
        <v>147</v>
      </c>
      <c r="G29" s="121"/>
      <c r="H29" s="121" t="s">
        <v>131</v>
      </c>
      <c r="I29" s="121"/>
      <c r="J29" s="121" t="s">
        <v>148</v>
      </c>
      <c r="K29" s="121"/>
      <c r="L29" s="121" t="s">
        <v>149</v>
      </c>
      <c r="M29" s="121"/>
      <c r="N29" s="123"/>
      <c r="O29" s="121"/>
      <c r="P29" s="121" t="s">
        <v>113</v>
      </c>
      <c r="Q29" s="121"/>
      <c r="R29" s="124">
        <v>130.88999999999999</v>
      </c>
      <c r="S29" s="121"/>
      <c r="T29" s="124">
        <f t="shared" si="0"/>
        <v>31943.24</v>
      </c>
    </row>
    <row r="30" spans="1:24" x14ac:dyDescent="0.4">
      <c r="A30" s="121"/>
      <c r="B30" s="121" t="s">
        <v>108</v>
      </c>
      <c r="C30" s="121"/>
      <c r="D30" s="122">
        <v>41801</v>
      </c>
      <c r="E30" s="121"/>
      <c r="F30" s="121" t="s">
        <v>147</v>
      </c>
      <c r="G30" s="121"/>
      <c r="H30" s="121" t="s">
        <v>131</v>
      </c>
      <c r="I30" s="121"/>
      <c r="J30" s="121" t="s">
        <v>148</v>
      </c>
      <c r="K30" s="121"/>
      <c r="L30" s="121"/>
      <c r="M30" s="121"/>
      <c r="N30" s="123"/>
      <c r="O30" s="121"/>
      <c r="P30" s="121" t="s">
        <v>113</v>
      </c>
      <c r="Q30" s="121"/>
      <c r="R30" s="124">
        <v>959.86</v>
      </c>
      <c r="S30" s="121"/>
      <c r="T30" s="124">
        <f t="shared" si="0"/>
        <v>32903.1</v>
      </c>
    </row>
    <row r="31" spans="1:24" x14ac:dyDescent="0.4">
      <c r="A31" s="121"/>
      <c r="B31" s="121" t="s">
        <v>108</v>
      </c>
      <c r="C31" s="121"/>
      <c r="D31" s="122">
        <v>41880</v>
      </c>
      <c r="E31" s="121"/>
      <c r="F31" s="121" t="s">
        <v>150</v>
      </c>
      <c r="G31" s="121"/>
      <c r="H31" s="121" t="s">
        <v>110</v>
      </c>
      <c r="I31" s="121"/>
      <c r="J31" s="121" t="s">
        <v>150</v>
      </c>
      <c r="K31" s="121"/>
      <c r="L31" s="121"/>
      <c r="M31" s="121"/>
      <c r="N31" s="123"/>
      <c r="O31" s="121"/>
      <c r="P31" s="121" t="s">
        <v>113</v>
      </c>
      <c r="Q31" s="121"/>
      <c r="R31" s="124">
        <v>3779.1</v>
      </c>
      <c r="S31" s="121"/>
      <c r="T31" s="124">
        <f t="shared" si="0"/>
        <v>36682.199999999997</v>
      </c>
    </row>
    <row r="32" spans="1:24" x14ac:dyDescent="0.4">
      <c r="A32" s="121"/>
      <c r="B32" s="121" t="s">
        <v>108</v>
      </c>
      <c r="C32" s="121"/>
      <c r="D32" s="122">
        <v>41943</v>
      </c>
      <c r="E32" s="121"/>
      <c r="F32" s="121" t="s">
        <v>151</v>
      </c>
      <c r="G32" s="121"/>
      <c r="H32" s="121" t="s">
        <v>110</v>
      </c>
      <c r="I32" s="121"/>
      <c r="J32" s="121" t="s">
        <v>151</v>
      </c>
      <c r="K32" s="121"/>
      <c r="L32" s="121"/>
      <c r="M32" s="121"/>
      <c r="N32" s="123"/>
      <c r="O32" s="121"/>
      <c r="P32" s="121" t="s">
        <v>113</v>
      </c>
      <c r="Q32" s="121"/>
      <c r="R32" s="124">
        <v>1259.78</v>
      </c>
      <c r="S32" s="121"/>
      <c r="T32" s="124">
        <f t="shared" si="0"/>
        <v>37941.980000000003</v>
      </c>
    </row>
    <row r="33" spans="1:20" x14ac:dyDescent="0.4">
      <c r="A33" s="121"/>
      <c r="B33" s="121" t="s">
        <v>108</v>
      </c>
      <c r="C33" s="121"/>
      <c r="D33" s="122">
        <v>41957</v>
      </c>
      <c r="E33" s="121"/>
      <c r="F33" s="121" t="s">
        <v>152</v>
      </c>
      <c r="G33" s="121"/>
      <c r="H33" s="121" t="s">
        <v>110</v>
      </c>
      <c r="I33" s="121"/>
      <c r="J33" s="121" t="s">
        <v>152</v>
      </c>
      <c r="K33" s="121"/>
      <c r="L33" s="121"/>
      <c r="M33" s="121"/>
      <c r="N33" s="123"/>
      <c r="O33" s="121"/>
      <c r="P33" s="121" t="s">
        <v>113</v>
      </c>
      <c r="Q33" s="121"/>
      <c r="R33" s="124">
        <v>2513.2600000000002</v>
      </c>
      <c r="S33" s="121"/>
      <c r="T33" s="124">
        <f t="shared" si="0"/>
        <v>40455.24</v>
      </c>
    </row>
    <row r="34" spans="1:20" x14ac:dyDescent="0.4">
      <c r="A34" s="121"/>
      <c r="B34" s="121" t="s">
        <v>108</v>
      </c>
      <c r="C34" s="121"/>
      <c r="D34" s="122">
        <v>41969</v>
      </c>
      <c r="E34" s="121"/>
      <c r="F34" s="121" t="s">
        <v>153</v>
      </c>
      <c r="G34" s="121"/>
      <c r="H34" s="121" t="s">
        <v>110</v>
      </c>
      <c r="I34" s="121"/>
      <c r="J34" s="121" t="s">
        <v>153</v>
      </c>
      <c r="K34" s="121"/>
      <c r="L34" s="121"/>
      <c r="M34" s="121"/>
      <c r="N34" s="123"/>
      <c r="O34" s="121"/>
      <c r="P34" s="121" t="s">
        <v>113</v>
      </c>
      <c r="Q34" s="121"/>
      <c r="R34" s="124">
        <v>6298.51</v>
      </c>
      <c r="S34" s="121"/>
      <c r="T34" s="124">
        <f t="shared" si="0"/>
        <v>46753.75</v>
      </c>
    </row>
    <row r="35" spans="1:20" x14ac:dyDescent="0.4">
      <c r="A35" s="121"/>
      <c r="B35" s="121" t="s">
        <v>108</v>
      </c>
      <c r="C35" s="121"/>
      <c r="D35" s="122">
        <v>42004</v>
      </c>
      <c r="E35" s="121"/>
      <c r="F35" s="121" t="s">
        <v>154</v>
      </c>
      <c r="G35" s="121"/>
      <c r="H35" s="121" t="s">
        <v>110</v>
      </c>
      <c r="I35" s="121"/>
      <c r="J35" s="121" t="s">
        <v>154</v>
      </c>
      <c r="K35" s="121"/>
      <c r="L35" s="121"/>
      <c r="M35" s="121"/>
      <c r="N35" s="123"/>
      <c r="O35" s="121"/>
      <c r="P35" s="121" t="s">
        <v>113</v>
      </c>
      <c r="Q35" s="121"/>
      <c r="R35" s="124">
        <v>6453.57</v>
      </c>
      <c r="S35" s="121"/>
      <c r="T35" s="124">
        <f t="shared" si="0"/>
        <v>53207.32</v>
      </c>
    </row>
    <row r="36" spans="1:20" x14ac:dyDescent="0.4">
      <c r="A36" s="121"/>
      <c r="B36" s="121" t="s">
        <v>135</v>
      </c>
      <c r="C36" s="121"/>
      <c r="D36" s="122">
        <v>42004</v>
      </c>
      <c r="E36" s="121"/>
      <c r="F36" s="121" t="s">
        <v>155</v>
      </c>
      <c r="G36" s="121"/>
      <c r="H36" s="121"/>
      <c r="I36" s="121"/>
      <c r="J36" s="121" t="s">
        <v>156</v>
      </c>
      <c r="K36" s="121"/>
      <c r="L36" s="121"/>
      <c r="M36" s="121"/>
      <c r="N36" s="123"/>
      <c r="O36" s="121"/>
      <c r="P36" s="121" t="s">
        <v>144</v>
      </c>
      <c r="Q36" s="121"/>
      <c r="R36" s="124">
        <v>-38521.51</v>
      </c>
      <c r="S36" s="121"/>
      <c r="T36" s="124">
        <f t="shared" si="0"/>
        <v>14685.81</v>
      </c>
    </row>
    <row r="37" spans="1:20" x14ac:dyDescent="0.4">
      <c r="A37" s="121"/>
      <c r="B37" s="121" t="s">
        <v>135</v>
      </c>
      <c r="C37" s="121"/>
      <c r="D37" s="122">
        <v>42004</v>
      </c>
      <c r="E37" s="121"/>
      <c r="F37" s="121" t="s">
        <v>157</v>
      </c>
      <c r="G37" s="121"/>
      <c r="H37" s="121" t="s">
        <v>158</v>
      </c>
      <c r="I37" s="121"/>
      <c r="J37" s="121" t="s">
        <v>159</v>
      </c>
      <c r="K37" s="121"/>
      <c r="L37" s="121"/>
      <c r="M37" s="121"/>
      <c r="N37" s="123"/>
      <c r="O37" s="121"/>
      <c r="P37" s="121" t="s">
        <v>160</v>
      </c>
      <c r="Q37" s="121"/>
      <c r="R37" s="124">
        <v>-5815.72</v>
      </c>
      <c r="S37" s="121"/>
      <c r="T37" s="124">
        <f t="shared" si="0"/>
        <v>8870.09</v>
      </c>
    </row>
    <row r="38" spans="1:20" x14ac:dyDescent="0.4">
      <c r="A38" s="121"/>
      <c r="B38" s="121" t="s">
        <v>135</v>
      </c>
      <c r="C38" s="121"/>
      <c r="D38" s="122">
        <v>42004</v>
      </c>
      <c r="E38" s="121"/>
      <c r="F38" s="121" t="s">
        <v>161</v>
      </c>
      <c r="G38" s="121"/>
      <c r="H38" s="121"/>
      <c r="I38" s="121"/>
      <c r="J38" s="121" t="s">
        <v>162</v>
      </c>
      <c r="K38" s="121"/>
      <c r="L38" s="121"/>
      <c r="M38" s="121"/>
      <c r="N38" s="123"/>
      <c r="O38" s="121"/>
      <c r="P38" s="121" t="s">
        <v>163</v>
      </c>
      <c r="Q38" s="121"/>
      <c r="R38" s="124">
        <v>2905.89</v>
      </c>
      <c r="S38" s="121"/>
      <c r="T38" s="124">
        <f t="shared" si="0"/>
        <v>11775.98</v>
      </c>
    </row>
    <row r="39" spans="1:20" x14ac:dyDescent="0.4">
      <c r="A39" s="121"/>
      <c r="B39" s="121" t="s">
        <v>135</v>
      </c>
      <c r="C39" s="121"/>
      <c r="D39" s="122">
        <v>42035</v>
      </c>
      <c r="E39" s="121"/>
      <c r="F39" s="121" t="s">
        <v>164</v>
      </c>
      <c r="G39" s="121"/>
      <c r="H39" s="121" t="s">
        <v>165</v>
      </c>
      <c r="I39" s="121"/>
      <c r="J39" s="121" t="s">
        <v>166</v>
      </c>
      <c r="K39" s="121"/>
      <c r="L39" s="121"/>
      <c r="M39" s="121"/>
      <c r="N39" s="123"/>
      <c r="O39" s="121"/>
      <c r="P39" s="121" t="s">
        <v>167</v>
      </c>
      <c r="Q39" s="121"/>
      <c r="R39" s="124">
        <v>-3165</v>
      </c>
      <c r="S39" s="121"/>
      <c r="T39" s="124">
        <f t="shared" si="0"/>
        <v>8610.98</v>
      </c>
    </row>
    <row r="40" spans="1:20" x14ac:dyDescent="0.4">
      <c r="A40" s="121"/>
      <c r="B40" s="121" t="s">
        <v>135</v>
      </c>
      <c r="C40" s="121"/>
      <c r="D40" s="122">
        <v>42063</v>
      </c>
      <c r="E40" s="121"/>
      <c r="F40" s="121" t="s">
        <v>164</v>
      </c>
      <c r="G40" s="121"/>
      <c r="H40" s="121" t="s">
        <v>165</v>
      </c>
      <c r="I40" s="121"/>
      <c r="J40" s="121" t="s">
        <v>168</v>
      </c>
      <c r="K40" s="121"/>
      <c r="L40" s="121"/>
      <c r="M40" s="121"/>
      <c r="N40" s="123"/>
      <c r="O40" s="121"/>
      <c r="P40" s="121" t="s">
        <v>167</v>
      </c>
      <c r="Q40" s="121"/>
      <c r="R40" s="124">
        <v>-3230.87</v>
      </c>
      <c r="S40" s="121"/>
      <c r="T40" s="124">
        <f t="shared" si="0"/>
        <v>5380.11</v>
      </c>
    </row>
    <row r="41" spans="1:20" x14ac:dyDescent="0.4">
      <c r="A41" s="121"/>
      <c r="B41" s="121" t="s">
        <v>108</v>
      </c>
      <c r="C41" s="121"/>
      <c r="D41" s="122">
        <v>42080</v>
      </c>
      <c r="E41" s="121"/>
      <c r="F41" s="121" t="s">
        <v>169</v>
      </c>
      <c r="G41" s="121"/>
      <c r="H41" s="121" t="s">
        <v>110</v>
      </c>
      <c r="I41" s="121"/>
      <c r="J41" s="121" t="s">
        <v>170</v>
      </c>
      <c r="K41" s="121"/>
      <c r="L41" s="121"/>
      <c r="M41" s="121"/>
      <c r="N41" s="123"/>
      <c r="O41" s="121"/>
      <c r="P41" s="121" t="s">
        <v>113</v>
      </c>
      <c r="Q41" s="121"/>
      <c r="R41" s="124">
        <v>3871.55</v>
      </c>
      <c r="S41" s="121"/>
      <c r="T41" s="124">
        <f t="shared" si="0"/>
        <v>9251.66</v>
      </c>
    </row>
    <row r="42" spans="1:20" x14ac:dyDescent="0.4">
      <c r="A42" s="121"/>
      <c r="B42" s="121" t="s">
        <v>108</v>
      </c>
      <c r="C42" s="121"/>
      <c r="D42" s="122">
        <v>42094</v>
      </c>
      <c r="E42" s="121"/>
      <c r="F42" s="121" t="s">
        <v>171</v>
      </c>
      <c r="G42" s="121"/>
      <c r="H42" s="121" t="s">
        <v>110</v>
      </c>
      <c r="I42" s="121"/>
      <c r="J42" s="121" t="s">
        <v>172</v>
      </c>
      <c r="K42" s="121"/>
      <c r="L42" s="121"/>
      <c r="M42" s="121"/>
      <c r="N42" s="123"/>
      <c r="O42" s="121"/>
      <c r="P42" s="121" t="s">
        <v>113</v>
      </c>
      <c r="Q42" s="121"/>
      <c r="R42" s="124">
        <v>2581.0300000000002</v>
      </c>
      <c r="S42" s="121"/>
      <c r="T42" s="124">
        <f t="shared" si="0"/>
        <v>11832.69</v>
      </c>
    </row>
    <row r="43" spans="1:20" x14ac:dyDescent="0.4">
      <c r="A43" s="121"/>
      <c r="B43" s="121" t="s">
        <v>135</v>
      </c>
      <c r="C43" s="121"/>
      <c r="D43" s="122">
        <v>42094</v>
      </c>
      <c r="E43" s="121"/>
      <c r="F43" s="121" t="s">
        <v>164</v>
      </c>
      <c r="G43" s="121"/>
      <c r="H43" s="121" t="s">
        <v>165</v>
      </c>
      <c r="I43" s="121"/>
      <c r="J43" s="121" t="s">
        <v>173</v>
      </c>
      <c r="K43" s="121"/>
      <c r="L43" s="121"/>
      <c r="M43" s="121"/>
      <c r="N43" s="123"/>
      <c r="O43" s="121"/>
      <c r="P43" s="121" t="s">
        <v>167</v>
      </c>
      <c r="Q43" s="121"/>
      <c r="R43" s="124">
        <v>-3226</v>
      </c>
      <c r="S43" s="121"/>
      <c r="T43" s="124">
        <f t="shared" si="0"/>
        <v>8606.69</v>
      </c>
    </row>
    <row r="44" spans="1:20" x14ac:dyDescent="0.4">
      <c r="A44" s="121"/>
      <c r="B44" s="121" t="s">
        <v>108</v>
      </c>
      <c r="C44" s="121"/>
      <c r="D44" s="122">
        <v>42124</v>
      </c>
      <c r="E44" s="121"/>
      <c r="F44" s="121" t="s">
        <v>174</v>
      </c>
      <c r="G44" s="121"/>
      <c r="H44" s="121" t="s">
        <v>110</v>
      </c>
      <c r="I44" s="121"/>
      <c r="J44" s="121" t="s">
        <v>175</v>
      </c>
      <c r="K44" s="121"/>
      <c r="L44" s="121"/>
      <c r="M44" s="121"/>
      <c r="N44" s="123"/>
      <c r="O44" s="121"/>
      <c r="P44" s="121" t="s">
        <v>113</v>
      </c>
      <c r="Q44" s="121"/>
      <c r="R44" s="124">
        <v>1290.47</v>
      </c>
      <c r="S44" s="121"/>
      <c r="T44" s="124">
        <f t="shared" si="0"/>
        <v>9897.16</v>
      </c>
    </row>
    <row r="45" spans="1:20" x14ac:dyDescent="0.4">
      <c r="A45" s="121"/>
      <c r="B45" s="121" t="s">
        <v>135</v>
      </c>
      <c r="C45" s="121"/>
      <c r="D45" s="122">
        <v>42124</v>
      </c>
      <c r="E45" s="121"/>
      <c r="F45" s="121" t="s">
        <v>164</v>
      </c>
      <c r="G45" s="121"/>
      <c r="H45" s="121" t="s">
        <v>165</v>
      </c>
      <c r="I45" s="121"/>
      <c r="J45" s="121"/>
      <c r="K45" s="121"/>
      <c r="L45" s="121"/>
      <c r="M45" s="121"/>
      <c r="N45" s="123"/>
      <c r="O45" s="121"/>
      <c r="P45" s="121" t="s">
        <v>167</v>
      </c>
      <c r="Q45" s="121"/>
      <c r="R45" s="124">
        <v>-3172</v>
      </c>
      <c r="S45" s="121"/>
      <c r="T45" s="124">
        <f t="shared" si="0"/>
        <v>6725.16</v>
      </c>
    </row>
    <row r="46" spans="1:20" x14ac:dyDescent="0.4">
      <c r="A46" s="121"/>
      <c r="B46" s="121" t="s">
        <v>108</v>
      </c>
      <c r="C46" s="121"/>
      <c r="D46" s="122">
        <v>42142</v>
      </c>
      <c r="E46" s="121"/>
      <c r="F46" s="121" t="s">
        <v>176</v>
      </c>
      <c r="G46" s="121"/>
      <c r="H46" s="121" t="s">
        <v>177</v>
      </c>
      <c r="I46" s="121"/>
      <c r="J46" s="121" t="s">
        <v>178</v>
      </c>
      <c r="K46" s="121"/>
      <c r="L46" s="121"/>
      <c r="M46" s="121"/>
      <c r="N46" s="123"/>
      <c r="O46" s="121"/>
      <c r="P46" s="121" t="s">
        <v>113</v>
      </c>
      <c r="Q46" s="121"/>
      <c r="R46" s="124">
        <v>6122.08</v>
      </c>
      <c r="S46" s="121"/>
      <c r="T46" s="124">
        <f t="shared" si="0"/>
        <v>12847.24</v>
      </c>
    </row>
    <row r="47" spans="1:20" x14ac:dyDescent="0.4">
      <c r="A47" s="121"/>
      <c r="B47" s="121" t="s">
        <v>135</v>
      </c>
      <c r="C47" s="121"/>
      <c r="D47" s="122">
        <v>42155</v>
      </c>
      <c r="E47" s="121"/>
      <c r="F47" s="121" t="s">
        <v>164</v>
      </c>
      <c r="G47" s="121"/>
      <c r="H47" s="121" t="s">
        <v>165</v>
      </c>
      <c r="I47" s="121"/>
      <c r="J47" s="121" t="s">
        <v>179</v>
      </c>
      <c r="K47" s="121"/>
      <c r="L47" s="121"/>
      <c r="M47" s="121"/>
      <c r="N47" s="123"/>
      <c r="O47" s="121"/>
      <c r="P47" s="121" t="s">
        <v>167</v>
      </c>
      <c r="Q47" s="121"/>
      <c r="R47" s="124">
        <v>-3164</v>
      </c>
      <c r="S47" s="121"/>
      <c r="T47" s="124">
        <f t="shared" si="0"/>
        <v>9683.24</v>
      </c>
    </row>
    <row r="48" spans="1:20" x14ac:dyDescent="0.4">
      <c r="A48" s="121"/>
      <c r="B48" s="121" t="s">
        <v>135</v>
      </c>
      <c r="C48" s="121"/>
      <c r="D48" s="122">
        <v>42185</v>
      </c>
      <c r="E48" s="121"/>
      <c r="F48" s="121" t="s">
        <v>164</v>
      </c>
      <c r="G48" s="121"/>
      <c r="H48" s="121" t="s">
        <v>165</v>
      </c>
      <c r="I48" s="121"/>
      <c r="J48" s="121" t="s">
        <v>180</v>
      </c>
      <c r="K48" s="121"/>
      <c r="L48" s="121"/>
      <c r="M48" s="121"/>
      <c r="N48" s="123"/>
      <c r="O48" s="121"/>
      <c r="P48" s="121" t="s">
        <v>167</v>
      </c>
      <c r="Q48" s="121"/>
      <c r="R48" s="124">
        <v>-3040</v>
      </c>
      <c r="S48" s="121"/>
      <c r="T48" s="124">
        <f t="shared" si="0"/>
        <v>6643.24</v>
      </c>
    </row>
    <row r="49" spans="1:20" x14ac:dyDescent="0.4">
      <c r="A49" s="121"/>
      <c r="B49" s="121" t="s">
        <v>135</v>
      </c>
      <c r="C49" s="121"/>
      <c r="D49" s="122">
        <v>42216</v>
      </c>
      <c r="E49" s="121"/>
      <c r="F49" s="121" t="s">
        <v>164</v>
      </c>
      <c r="G49" s="121"/>
      <c r="H49" s="121" t="s">
        <v>165</v>
      </c>
      <c r="I49" s="121"/>
      <c r="J49" s="121" t="s">
        <v>181</v>
      </c>
      <c r="K49" s="121"/>
      <c r="L49" s="121"/>
      <c r="M49" s="121"/>
      <c r="N49" s="123"/>
      <c r="O49" s="121"/>
      <c r="P49" s="121" t="s">
        <v>167</v>
      </c>
      <c r="Q49" s="121"/>
      <c r="R49" s="124">
        <v>-3003.5</v>
      </c>
      <c r="S49" s="121"/>
      <c r="T49" s="124">
        <f t="shared" si="0"/>
        <v>3639.74</v>
      </c>
    </row>
    <row r="50" spans="1:20" x14ac:dyDescent="0.4">
      <c r="A50" s="121"/>
      <c r="B50" s="121" t="s">
        <v>108</v>
      </c>
      <c r="C50" s="121"/>
      <c r="D50" s="122">
        <v>42234</v>
      </c>
      <c r="E50" s="121"/>
      <c r="F50" s="121" t="s">
        <v>182</v>
      </c>
      <c r="G50" s="121"/>
      <c r="H50" s="121" t="s">
        <v>177</v>
      </c>
      <c r="I50" s="121"/>
      <c r="J50" s="121" t="s">
        <v>183</v>
      </c>
      <c r="K50" s="121"/>
      <c r="L50" s="121"/>
      <c r="M50" s="121"/>
      <c r="N50" s="123"/>
      <c r="O50" s="121"/>
      <c r="P50" s="121" t="s">
        <v>113</v>
      </c>
      <c r="Q50" s="121"/>
      <c r="R50" s="124">
        <v>6121.87</v>
      </c>
      <c r="S50" s="121"/>
      <c r="T50" s="124">
        <f t="shared" si="0"/>
        <v>9761.61</v>
      </c>
    </row>
    <row r="51" spans="1:20" x14ac:dyDescent="0.4">
      <c r="A51" s="121"/>
      <c r="B51" s="121" t="s">
        <v>135</v>
      </c>
      <c r="C51" s="121"/>
      <c r="D51" s="122">
        <v>42247</v>
      </c>
      <c r="E51" s="121"/>
      <c r="F51" s="121" t="s">
        <v>164</v>
      </c>
      <c r="G51" s="121"/>
      <c r="H51" s="121" t="s">
        <v>165</v>
      </c>
      <c r="I51" s="121"/>
      <c r="J51" s="121" t="s">
        <v>184</v>
      </c>
      <c r="K51" s="121"/>
      <c r="L51" s="121"/>
      <c r="M51" s="121"/>
      <c r="N51" s="123"/>
      <c r="O51" s="121"/>
      <c r="P51" s="121" t="s">
        <v>167</v>
      </c>
      <c r="Q51" s="121"/>
      <c r="R51" s="124">
        <v>-2994.63</v>
      </c>
      <c r="S51" s="121"/>
      <c r="T51" s="124">
        <f t="shared" si="0"/>
        <v>6766.98</v>
      </c>
    </row>
    <row r="52" spans="1:20" x14ac:dyDescent="0.4">
      <c r="A52" s="121"/>
      <c r="B52" s="121" t="s">
        <v>135</v>
      </c>
      <c r="C52" s="121"/>
      <c r="D52" s="122">
        <v>42277</v>
      </c>
      <c r="E52" s="121"/>
      <c r="F52" s="121" t="s">
        <v>164</v>
      </c>
      <c r="G52" s="121"/>
      <c r="H52" s="121" t="s">
        <v>165</v>
      </c>
      <c r="I52" s="121"/>
      <c r="J52" s="121" t="s">
        <v>185</v>
      </c>
      <c r="K52" s="121"/>
      <c r="L52" s="121"/>
      <c r="M52" s="121"/>
      <c r="N52" s="123"/>
      <c r="O52" s="121"/>
      <c r="P52" s="121" t="s">
        <v>167</v>
      </c>
      <c r="Q52" s="121"/>
      <c r="R52" s="124">
        <v>-2995</v>
      </c>
      <c r="S52" s="121"/>
      <c r="T52" s="124">
        <f t="shared" si="0"/>
        <v>3771.98</v>
      </c>
    </row>
    <row r="53" spans="1:20" x14ac:dyDescent="0.4">
      <c r="A53" s="121"/>
      <c r="B53" s="121" t="s">
        <v>108</v>
      </c>
      <c r="C53" s="121"/>
      <c r="D53" s="122">
        <v>42300</v>
      </c>
      <c r="E53" s="121"/>
      <c r="F53" s="121" t="s">
        <v>186</v>
      </c>
      <c r="G53" s="121"/>
      <c r="H53" s="121" t="s">
        <v>177</v>
      </c>
      <c r="I53" s="121"/>
      <c r="J53" s="121" t="s">
        <v>187</v>
      </c>
      <c r="K53" s="121"/>
      <c r="L53" s="121"/>
      <c r="M53" s="121"/>
      <c r="N53" s="123"/>
      <c r="O53" s="121"/>
      <c r="P53" s="121" t="s">
        <v>113</v>
      </c>
      <c r="Q53" s="121"/>
      <c r="R53" s="124">
        <v>6121.5</v>
      </c>
      <c r="S53" s="121"/>
      <c r="T53" s="124">
        <f t="shared" si="0"/>
        <v>9893.48</v>
      </c>
    </row>
    <row r="54" spans="1:20" x14ac:dyDescent="0.4">
      <c r="A54" s="121"/>
      <c r="B54" s="121" t="s">
        <v>135</v>
      </c>
      <c r="C54" s="121"/>
      <c r="D54" s="122">
        <v>42308</v>
      </c>
      <c r="E54" s="121"/>
      <c r="F54" s="121" t="s">
        <v>188</v>
      </c>
      <c r="G54" s="121"/>
      <c r="H54" s="121" t="s">
        <v>165</v>
      </c>
      <c r="I54" s="121"/>
      <c r="J54" s="121" t="s">
        <v>189</v>
      </c>
      <c r="K54" s="121"/>
      <c r="L54" s="121"/>
      <c r="M54" s="121"/>
      <c r="N54" s="123"/>
      <c r="O54" s="121"/>
      <c r="P54" s="121" t="s">
        <v>167</v>
      </c>
      <c r="Q54" s="121"/>
      <c r="R54" s="124">
        <v>-3047</v>
      </c>
      <c r="S54" s="121"/>
      <c r="T54" s="124">
        <f t="shared" si="0"/>
        <v>6846.48</v>
      </c>
    </row>
    <row r="55" spans="1:20" x14ac:dyDescent="0.4">
      <c r="A55" s="121"/>
      <c r="B55" s="121" t="s">
        <v>135</v>
      </c>
      <c r="C55" s="121"/>
      <c r="D55" s="122">
        <v>42338</v>
      </c>
      <c r="E55" s="121"/>
      <c r="F55" s="121" t="s">
        <v>164</v>
      </c>
      <c r="G55" s="121"/>
      <c r="H55" s="121" t="s">
        <v>165</v>
      </c>
      <c r="I55" s="121"/>
      <c r="J55" s="121" t="s">
        <v>190</v>
      </c>
      <c r="K55" s="121"/>
      <c r="L55" s="121"/>
      <c r="M55" s="121"/>
      <c r="N55" s="123"/>
      <c r="O55" s="121"/>
      <c r="P55" s="121" t="s">
        <v>167</v>
      </c>
      <c r="Q55" s="121"/>
      <c r="R55" s="124">
        <v>-3232.98</v>
      </c>
      <c r="S55" s="121"/>
      <c r="T55" s="124">
        <f t="shared" si="0"/>
        <v>3613.5</v>
      </c>
    </row>
    <row r="56" spans="1:20" x14ac:dyDescent="0.4">
      <c r="A56" s="121"/>
      <c r="B56" s="121" t="s">
        <v>108</v>
      </c>
      <c r="C56" s="121"/>
      <c r="D56" s="122">
        <v>42368</v>
      </c>
      <c r="E56" s="121"/>
      <c r="F56" s="121" t="s">
        <v>191</v>
      </c>
      <c r="G56" s="121"/>
      <c r="H56" s="121" t="s">
        <v>177</v>
      </c>
      <c r="I56" s="121"/>
      <c r="J56" s="121" t="s">
        <v>192</v>
      </c>
      <c r="K56" s="121"/>
      <c r="L56" s="121"/>
      <c r="M56" s="121"/>
      <c r="N56" s="123"/>
      <c r="O56" s="121"/>
      <c r="P56" s="121" t="s">
        <v>113</v>
      </c>
      <c r="Q56" s="121"/>
      <c r="R56" s="124">
        <v>4886.6000000000004</v>
      </c>
      <c r="S56" s="121"/>
      <c r="T56" s="124">
        <f t="shared" si="0"/>
        <v>8500.1</v>
      </c>
    </row>
    <row r="57" spans="1:20" x14ac:dyDescent="0.4">
      <c r="A57" s="121"/>
      <c r="B57" s="121" t="s">
        <v>135</v>
      </c>
      <c r="C57" s="121"/>
      <c r="D57" s="122">
        <v>42369</v>
      </c>
      <c r="E57" s="121"/>
      <c r="F57" s="121" t="s">
        <v>164</v>
      </c>
      <c r="G57" s="121"/>
      <c r="H57" s="121" t="s">
        <v>165</v>
      </c>
      <c r="I57" s="121"/>
      <c r="J57" s="121" t="s">
        <v>193</v>
      </c>
      <c r="K57" s="121"/>
      <c r="L57" s="121"/>
      <c r="M57" s="121"/>
      <c r="N57" s="123"/>
      <c r="O57" s="121"/>
      <c r="P57" s="121" t="s">
        <v>167</v>
      </c>
      <c r="Q57" s="121"/>
      <c r="R57" s="124">
        <v>-3114</v>
      </c>
      <c r="S57" s="121"/>
      <c r="T57" s="124">
        <f t="shared" si="0"/>
        <v>5386.1</v>
      </c>
    </row>
    <row r="58" spans="1:20" x14ac:dyDescent="0.4">
      <c r="A58" s="121"/>
      <c r="B58" s="121" t="s">
        <v>135</v>
      </c>
      <c r="C58" s="121"/>
      <c r="D58" s="122">
        <v>42369</v>
      </c>
      <c r="E58" s="121"/>
      <c r="F58" s="121" t="s">
        <v>194</v>
      </c>
      <c r="G58" s="121"/>
      <c r="H58" s="121" t="s">
        <v>158</v>
      </c>
      <c r="I58" s="121"/>
      <c r="J58" s="121" t="s">
        <v>195</v>
      </c>
      <c r="K58" s="121"/>
      <c r="L58" s="121"/>
      <c r="M58" s="121"/>
      <c r="N58" s="123"/>
      <c r="O58" s="121"/>
      <c r="P58" s="121" t="s">
        <v>160</v>
      </c>
      <c r="Q58" s="121"/>
      <c r="R58" s="124">
        <v>-5627.1</v>
      </c>
      <c r="S58" s="121"/>
      <c r="T58" s="124">
        <f t="shared" si="0"/>
        <v>-241</v>
      </c>
    </row>
    <row r="59" spans="1:20" x14ac:dyDescent="0.4">
      <c r="A59" s="121"/>
      <c r="B59" s="121" t="s">
        <v>135</v>
      </c>
      <c r="C59" s="121"/>
      <c r="D59" s="122">
        <v>42369</v>
      </c>
      <c r="E59" s="121"/>
      <c r="F59" s="121" t="s">
        <v>196</v>
      </c>
      <c r="G59" s="121"/>
      <c r="H59" s="121"/>
      <c r="I59" s="121"/>
      <c r="J59" s="121" t="s">
        <v>197</v>
      </c>
      <c r="K59" s="121"/>
      <c r="L59" s="121"/>
      <c r="M59" s="121"/>
      <c r="N59" s="123"/>
      <c r="O59" s="121"/>
      <c r="P59" s="121" t="s">
        <v>198</v>
      </c>
      <c r="Q59" s="121"/>
      <c r="R59" s="124">
        <v>241</v>
      </c>
      <c r="S59" s="121"/>
      <c r="T59" s="124">
        <f t="shared" si="0"/>
        <v>0</v>
      </c>
    </row>
    <row r="60" spans="1:20" x14ac:dyDescent="0.4">
      <c r="A60" s="121"/>
      <c r="B60" s="121" t="s">
        <v>135</v>
      </c>
      <c r="C60" s="121"/>
      <c r="D60" s="122">
        <v>42400</v>
      </c>
      <c r="E60" s="121"/>
      <c r="F60" s="121" t="s">
        <v>164</v>
      </c>
      <c r="G60" s="121"/>
      <c r="H60" s="121" t="s">
        <v>165</v>
      </c>
      <c r="I60" s="121"/>
      <c r="J60" s="121" t="s">
        <v>199</v>
      </c>
      <c r="K60" s="121"/>
      <c r="L60" s="121"/>
      <c r="M60" s="121"/>
      <c r="N60" s="123"/>
      <c r="O60" s="121"/>
      <c r="P60" s="121" t="s">
        <v>167</v>
      </c>
      <c r="Q60" s="121"/>
      <c r="R60" s="124">
        <v>-3123</v>
      </c>
      <c r="S60" s="121"/>
      <c r="T60" s="124">
        <f t="shared" si="0"/>
        <v>-3123</v>
      </c>
    </row>
    <row r="61" spans="1:20" x14ac:dyDescent="0.4">
      <c r="A61" s="121"/>
      <c r="B61" s="121" t="s">
        <v>108</v>
      </c>
      <c r="C61" s="121"/>
      <c r="D61" s="122">
        <v>42401</v>
      </c>
      <c r="E61" s="121"/>
      <c r="F61" s="121" t="s">
        <v>200</v>
      </c>
      <c r="G61" s="121"/>
      <c r="H61" s="121" t="s">
        <v>131</v>
      </c>
      <c r="I61" s="121"/>
      <c r="J61" s="121" t="s">
        <v>200</v>
      </c>
      <c r="K61" s="121"/>
      <c r="L61" s="121"/>
      <c r="M61" s="121"/>
      <c r="N61" s="123"/>
      <c r="O61" s="121"/>
      <c r="P61" s="121" t="s">
        <v>113</v>
      </c>
      <c r="Q61" s="121"/>
      <c r="R61" s="124">
        <v>210.98</v>
      </c>
      <c r="S61" s="121"/>
      <c r="T61" s="124">
        <f t="shared" si="0"/>
        <v>-2912.02</v>
      </c>
    </row>
    <row r="62" spans="1:20" x14ac:dyDescent="0.4">
      <c r="A62" s="121"/>
      <c r="B62" s="121" t="s">
        <v>201</v>
      </c>
      <c r="C62" s="121"/>
      <c r="D62" s="122">
        <v>42408</v>
      </c>
      <c r="E62" s="121"/>
      <c r="F62" s="121" t="s">
        <v>202</v>
      </c>
      <c r="G62" s="121"/>
      <c r="H62" s="121" t="s">
        <v>203</v>
      </c>
      <c r="I62" s="121"/>
      <c r="J62" s="121" t="s">
        <v>204</v>
      </c>
      <c r="K62" s="121"/>
      <c r="L62" s="121"/>
      <c r="M62" s="121"/>
      <c r="N62" s="123"/>
      <c r="O62" s="121"/>
      <c r="P62" s="121" t="s">
        <v>205</v>
      </c>
      <c r="Q62" s="121"/>
      <c r="R62" s="124">
        <v>1120</v>
      </c>
      <c r="S62" s="121"/>
      <c r="T62" s="124">
        <f t="shared" si="0"/>
        <v>-1792.02</v>
      </c>
    </row>
    <row r="63" spans="1:20" x14ac:dyDescent="0.4">
      <c r="A63" s="121"/>
      <c r="B63" s="121" t="s">
        <v>108</v>
      </c>
      <c r="C63" s="121"/>
      <c r="D63" s="122">
        <v>42426</v>
      </c>
      <c r="E63" s="121"/>
      <c r="F63" s="121" t="s">
        <v>206</v>
      </c>
      <c r="G63" s="121"/>
      <c r="H63" s="121" t="s">
        <v>177</v>
      </c>
      <c r="I63" s="121"/>
      <c r="J63" s="121" t="s">
        <v>207</v>
      </c>
      <c r="K63" s="121"/>
      <c r="L63" s="121"/>
      <c r="M63" s="121"/>
      <c r="N63" s="123"/>
      <c r="O63" s="121"/>
      <c r="P63" s="121" t="s">
        <v>113</v>
      </c>
      <c r="Q63" s="121"/>
      <c r="R63" s="124">
        <v>24242.76</v>
      </c>
      <c r="S63" s="121"/>
      <c r="T63" s="124">
        <f t="shared" si="0"/>
        <v>22450.74</v>
      </c>
    </row>
    <row r="64" spans="1:20" x14ac:dyDescent="0.4">
      <c r="A64" s="121"/>
      <c r="B64" s="121" t="s">
        <v>135</v>
      </c>
      <c r="C64" s="121"/>
      <c r="D64" s="122">
        <v>42429</v>
      </c>
      <c r="E64" s="121"/>
      <c r="F64" s="121" t="s">
        <v>164</v>
      </c>
      <c r="G64" s="121"/>
      <c r="H64" s="121" t="s">
        <v>165</v>
      </c>
      <c r="I64" s="121"/>
      <c r="J64" s="121" t="s">
        <v>208</v>
      </c>
      <c r="K64" s="121"/>
      <c r="L64" s="121"/>
      <c r="M64" s="121"/>
      <c r="N64" s="123"/>
      <c r="O64" s="121"/>
      <c r="P64" s="121" t="s">
        <v>167</v>
      </c>
      <c r="Q64" s="121"/>
      <c r="R64" s="124">
        <v>-3122</v>
      </c>
      <c r="S64" s="121"/>
      <c r="T64" s="124">
        <f t="shared" si="0"/>
        <v>19328.740000000002</v>
      </c>
    </row>
    <row r="65" spans="1:20" x14ac:dyDescent="0.4">
      <c r="A65" s="121"/>
      <c r="B65" s="121" t="s">
        <v>108</v>
      </c>
      <c r="C65" s="121"/>
      <c r="D65" s="122">
        <v>42460</v>
      </c>
      <c r="E65" s="121"/>
      <c r="F65" s="121" t="s">
        <v>209</v>
      </c>
      <c r="G65" s="121"/>
      <c r="H65" s="121" t="s">
        <v>177</v>
      </c>
      <c r="I65" s="121"/>
      <c r="J65" s="121" t="s">
        <v>210</v>
      </c>
      <c r="K65" s="121"/>
      <c r="L65" s="121"/>
      <c r="M65" s="121"/>
      <c r="N65" s="123"/>
      <c r="O65" s="121"/>
      <c r="P65" s="121" t="s">
        <v>113</v>
      </c>
      <c r="Q65" s="121"/>
      <c r="R65" s="124">
        <v>969.86</v>
      </c>
      <c r="S65" s="121"/>
      <c r="T65" s="124">
        <f t="shared" si="0"/>
        <v>20298.599999999999</v>
      </c>
    </row>
    <row r="66" spans="1:20" x14ac:dyDescent="0.4">
      <c r="A66" s="121"/>
      <c r="B66" s="121" t="s">
        <v>135</v>
      </c>
      <c r="C66" s="121"/>
      <c r="D66" s="122">
        <v>42460</v>
      </c>
      <c r="E66" s="121"/>
      <c r="F66" s="121" t="s">
        <v>164</v>
      </c>
      <c r="G66" s="121"/>
      <c r="H66" s="121" t="s">
        <v>165</v>
      </c>
      <c r="I66" s="121"/>
      <c r="J66" s="121" t="s">
        <v>211</v>
      </c>
      <c r="K66" s="121"/>
      <c r="L66" s="121"/>
      <c r="M66" s="121"/>
      <c r="N66" s="123"/>
      <c r="O66" s="121"/>
      <c r="P66" s="121" t="s">
        <v>167</v>
      </c>
      <c r="Q66" s="121"/>
      <c r="R66" s="124">
        <v>-3118</v>
      </c>
      <c r="S66" s="121"/>
      <c r="T66" s="124">
        <f t="shared" si="0"/>
        <v>17180.599999999999</v>
      </c>
    </row>
    <row r="67" spans="1:20" x14ac:dyDescent="0.4">
      <c r="A67" s="121"/>
      <c r="B67" s="121" t="s">
        <v>135</v>
      </c>
      <c r="C67" s="121"/>
      <c r="D67" s="122">
        <v>42460</v>
      </c>
      <c r="E67" s="121"/>
      <c r="F67" s="121" t="s">
        <v>212</v>
      </c>
      <c r="G67" s="121"/>
      <c r="H67" s="121"/>
      <c r="I67" s="121"/>
      <c r="J67" s="121" t="s">
        <v>213</v>
      </c>
      <c r="K67" s="121"/>
      <c r="L67" s="121"/>
      <c r="M67" s="121"/>
      <c r="N67" s="123"/>
      <c r="O67" s="121"/>
      <c r="P67" s="121" t="s">
        <v>214</v>
      </c>
      <c r="Q67" s="121"/>
      <c r="R67" s="124">
        <v>15</v>
      </c>
      <c r="S67" s="121"/>
      <c r="T67" s="124">
        <f t="shared" si="0"/>
        <v>17195.599999999999</v>
      </c>
    </row>
    <row r="68" spans="1:20" x14ac:dyDescent="0.4">
      <c r="A68" s="121"/>
      <c r="B68" s="121" t="s">
        <v>135</v>
      </c>
      <c r="C68" s="121"/>
      <c r="D68" s="122">
        <v>42490</v>
      </c>
      <c r="E68" s="121"/>
      <c r="F68" s="121" t="s">
        <v>164</v>
      </c>
      <c r="G68" s="121"/>
      <c r="H68" s="121" t="s">
        <v>165</v>
      </c>
      <c r="I68" s="121"/>
      <c r="J68" s="121" t="s">
        <v>215</v>
      </c>
      <c r="K68" s="121"/>
      <c r="L68" s="121"/>
      <c r="M68" s="121"/>
      <c r="N68" s="123"/>
      <c r="O68" s="121"/>
      <c r="P68" s="121" t="s">
        <v>167</v>
      </c>
      <c r="Q68" s="121"/>
      <c r="R68" s="124">
        <v>-3098</v>
      </c>
      <c r="S68" s="121"/>
      <c r="T68" s="124">
        <f t="shared" si="0"/>
        <v>14097.6</v>
      </c>
    </row>
    <row r="69" spans="1:20" x14ac:dyDescent="0.4">
      <c r="A69" s="121"/>
      <c r="B69" s="121" t="s">
        <v>108</v>
      </c>
      <c r="C69" s="121"/>
      <c r="D69" s="122">
        <v>42503</v>
      </c>
      <c r="E69" s="121"/>
      <c r="F69" s="121" t="s">
        <v>216</v>
      </c>
      <c r="G69" s="121"/>
      <c r="H69" s="121" t="s">
        <v>177</v>
      </c>
      <c r="I69" s="121"/>
      <c r="J69" s="121" t="s">
        <v>217</v>
      </c>
      <c r="K69" s="121"/>
      <c r="L69" s="121"/>
      <c r="M69" s="121"/>
      <c r="N69" s="123"/>
      <c r="O69" s="121"/>
      <c r="P69" s="121" t="s">
        <v>113</v>
      </c>
      <c r="Q69" s="121"/>
      <c r="R69" s="124">
        <v>12638.33</v>
      </c>
      <c r="S69" s="121"/>
      <c r="T69" s="124">
        <f t="shared" si="0"/>
        <v>26735.93</v>
      </c>
    </row>
    <row r="70" spans="1:20" x14ac:dyDescent="0.4">
      <c r="A70" s="121"/>
      <c r="B70" s="121" t="s">
        <v>135</v>
      </c>
      <c r="C70" s="121"/>
      <c r="D70" s="122">
        <v>42521</v>
      </c>
      <c r="E70" s="121"/>
      <c r="F70" s="121" t="s">
        <v>164</v>
      </c>
      <c r="G70" s="121"/>
      <c r="H70" s="121" t="s">
        <v>165</v>
      </c>
      <c r="I70" s="121"/>
      <c r="J70" s="121" t="s">
        <v>218</v>
      </c>
      <c r="K70" s="121"/>
      <c r="L70" s="121"/>
      <c r="M70" s="121"/>
      <c r="N70" s="123"/>
      <c r="O70" s="121"/>
      <c r="P70" s="121" t="s">
        <v>167</v>
      </c>
      <c r="Q70" s="121"/>
      <c r="R70" s="124">
        <v>-3045</v>
      </c>
      <c r="S70" s="121"/>
      <c r="T70" s="124">
        <f t="shared" si="0"/>
        <v>23690.93</v>
      </c>
    </row>
    <row r="71" spans="1:20" x14ac:dyDescent="0.4">
      <c r="A71" s="121"/>
      <c r="B71" s="121" t="s">
        <v>108</v>
      </c>
      <c r="C71" s="121"/>
      <c r="D71" s="122">
        <v>42532</v>
      </c>
      <c r="E71" s="121"/>
      <c r="F71" s="121" t="s">
        <v>219</v>
      </c>
      <c r="G71" s="121"/>
      <c r="H71" s="121" t="s">
        <v>131</v>
      </c>
      <c r="I71" s="121"/>
      <c r="J71" s="121" t="s">
        <v>220</v>
      </c>
      <c r="K71" s="121"/>
      <c r="L71" s="121"/>
      <c r="M71" s="121"/>
      <c r="N71" s="123"/>
      <c r="O71" s="121"/>
      <c r="P71" s="121" t="s">
        <v>113</v>
      </c>
      <c r="Q71" s="121"/>
      <c r="R71" s="124">
        <v>1711.6</v>
      </c>
      <c r="S71" s="121"/>
      <c r="T71" s="124">
        <f t="shared" si="0"/>
        <v>25402.53</v>
      </c>
    </row>
    <row r="72" spans="1:20" x14ac:dyDescent="0.4">
      <c r="A72" s="121"/>
      <c r="B72" s="121" t="s">
        <v>135</v>
      </c>
      <c r="C72" s="121"/>
      <c r="D72" s="122">
        <v>42551</v>
      </c>
      <c r="E72" s="121"/>
      <c r="F72" s="121" t="s">
        <v>164</v>
      </c>
      <c r="G72" s="121"/>
      <c r="H72" s="121" t="s">
        <v>165</v>
      </c>
      <c r="I72" s="121"/>
      <c r="J72" s="121" t="s">
        <v>221</v>
      </c>
      <c r="K72" s="121"/>
      <c r="L72" s="121"/>
      <c r="M72" s="121"/>
      <c r="N72" s="123"/>
      <c r="O72" s="121"/>
      <c r="P72" s="121" t="s">
        <v>167</v>
      </c>
      <c r="Q72" s="121"/>
      <c r="R72" s="124">
        <v>-3011</v>
      </c>
      <c r="S72" s="121"/>
      <c r="T72" s="124">
        <f t="shared" si="0"/>
        <v>22391.53</v>
      </c>
    </row>
    <row r="73" spans="1:20" x14ac:dyDescent="0.4">
      <c r="A73" s="121"/>
      <c r="B73" s="121" t="s">
        <v>135</v>
      </c>
      <c r="C73" s="121"/>
      <c r="D73" s="122">
        <v>42551</v>
      </c>
      <c r="E73" s="121"/>
      <c r="F73" s="121" t="s">
        <v>222</v>
      </c>
      <c r="G73" s="121"/>
      <c r="H73" s="121" t="s">
        <v>158</v>
      </c>
      <c r="I73" s="121"/>
      <c r="J73" s="121" t="s">
        <v>223</v>
      </c>
      <c r="K73" s="121"/>
      <c r="L73" s="121"/>
      <c r="M73" s="121"/>
      <c r="N73" s="123"/>
      <c r="O73" s="121"/>
      <c r="P73" s="121" t="s">
        <v>160</v>
      </c>
      <c r="Q73" s="121"/>
      <c r="R73" s="124">
        <v>-2874</v>
      </c>
      <c r="S73" s="121"/>
      <c r="T73" s="124">
        <f t="shared" si="0"/>
        <v>19517.53</v>
      </c>
    </row>
    <row r="74" spans="1:20" x14ac:dyDescent="0.4">
      <c r="A74" s="121"/>
      <c r="B74" s="121" t="s">
        <v>135</v>
      </c>
      <c r="C74" s="121"/>
      <c r="D74" s="122">
        <v>42551</v>
      </c>
      <c r="E74" s="121"/>
      <c r="F74" s="121" t="s">
        <v>212</v>
      </c>
      <c r="G74" s="121"/>
      <c r="H74" s="121"/>
      <c r="I74" s="121"/>
      <c r="J74" s="121" t="s">
        <v>224</v>
      </c>
      <c r="K74" s="121"/>
      <c r="L74" s="121"/>
      <c r="M74" s="121"/>
      <c r="N74" s="123"/>
      <c r="O74" s="121"/>
      <c r="P74" s="121" t="s">
        <v>225</v>
      </c>
      <c r="Q74" s="121"/>
      <c r="R74" s="124">
        <v>2</v>
      </c>
      <c r="S74" s="121"/>
      <c r="T74" s="124">
        <f t="shared" ref="T74:T137" si="1">ROUND(T73+R74,5)</f>
        <v>19519.53</v>
      </c>
    </row>
    <row r="75" spans="1:20" x14ac:dyDescent="0.4">
      <c r="A75" s="121"/>
      <c r="B75" s="121" t="s">
        <v>108</v>
      </c>
      <c r="C75" s="121"/>
      <c r="D75" s="122">
        <v>42573</v>
      </c>
      <c r="E75" s="121"/>
      <c r="F75" s="121" t="s">
        <v>226</v>
      </c>
      <c r="G75" s="121"/>
      <c r="H75" s="121" t="s">
        <v>177</v>
      </c>
      <c r="I75" s="121"/>
      <c r="J75" s="121" t="s">
        <v>227</v>
      </c>
      <c r="K75" s="121"/>
      <c r="L75" s="121"/>
      <c r="M75" s="121"/>
      <c r="N75" s="123"/>
      <c r="O75" s="121"/>
      <c r="P75" s="121" t="s">
        <v>113</v>
      </c>
      <c r="Q75" s="121"/>
      <c r="R75" s="124">
        <v>12598.22</v>
      </c>
      <c r="S75" s="121"/>
      <c r="T75" s="124">
        <f t="shared" si="1"/>
        <v>32117.75</v>
      </c>
    </row>
    <row r="76" spans="1:20" x14ac:dyDescent="0.4">
      <c r="A76" s="121"/>
      <c r="B76" s="121" t="s">
        <v>108</v>
      </c>
      <c r="C76" s="121"/>
      <c r="D76" s="122">
        <v>42573</v>
      </c>
      <c r="E76" s="121"/>
      <c r="F76" s="121" t="s">
        <v>228</v>
      </c>
      <c r="G76" s="121"/>
      <c r="H76" s="121" t="s">
        <v>229</v>
      </c>
      <c r="I76" s="121"/>
      <c r="J76" s="121" t="s">
        <v>230</v>
      </c>
      <c r="K76" s="121"/>
      <c r="L76" s="121"/>
      <c r="M76" s="121"/>
      <c r="N76" s="123"/>
      <c r="O76" s="121"/>
      <c r="P76" s="121" t="s">
        <v>113</v>
      </c>
      <c r="Q76" s="121"/>
      <c r="R76" s="124">
        <v>126</v>
      </c>
      <c r="S76" s="121"/>
      <c r="T76" s="124">
        <f t="shared" si="1"/>
        <v>32243.75</v>
      </c>
    </row>
    <row r="77" spans="1:20" x14ac:dyDescent="0.4">
      <c r="A77" s="121"/>
      <c r="B77" s="121" t="s">
        <v>108</v>
      </c>
      <c r="C77" s="121"/>
      <c r="D77" s="122">
        <v>42573</v>
      </c>
      <c r="E77" s="121"/>
      <c r="F77" s="121" t="s">
        <v>228</v>
      </c>
      <c r="G77" s="121"/>
      <c r="H77" s="121" t="s">
        <v>229</v>
      </c>
      <c r="I77" s="121"/>
      <c r="J77" s="121" t="s">
        <v>231</v>
      </c>
      <c r="K77" s="121"/>
      <c r="L77" s="121"/>
      <c r="M77" s="121"/>
      <c r="N77" s="123"/>
      <c r="O77" s="121"/>
      <c r="P77" s="121" t="s">
        <v>113</v>
      </c>
      <c r="Q77" s="121"/>
      <c r="R77" s="124">
        <v>394.56</v>
      </c>
      <c r="S77" s="121"/>
      <c r="T77" s="124">
        <f t="shared" si="1"/>
        <v>32638.31</v>
      </c>
    </row>
    <row r="78" spans="1:20" x14ac:dyDescent="0.4">
      <c r="A78" s="121"/>
      <c r="B78" s="121" t="s">
        <v>135</v>
      </c>
      <c r="C78" s="121"/>
      <c r="D78" s="122">
        <v>42582</v>
      </c>
      <c r="E78" s="121"/>
      <c r="F78" s="121" t="s">
        <v>164</v>
      </c>
      <c r="G78" s="121"/>
      <c r="H78" s="121" t="s">
        <v>165</v>
      </c>
      <c r="I78" s="121"/>
      <c r="J78" s="121" t="s">
        <v>232</v>
      </c>
      <c r="K78" s="121"/>
      <c r="L78" s="121"/>
      <c r="M78" s="121"/>
      <c r="N78" s="123"/>
      <c r="O78" s="121"/>
      <c r="P78" s="121" t="s">
        <v>167</v>
      </c>
      <c r="Q78" s="121"/>
      <c r="R78" s="124">
        <v>-2965</v>
      </c>
      <c r="S78" s="121"/>
      <c r="T78" s="124">
        <f t="shared" si="1"/>
        <v>29673.31</v>
      </c>
    </row>
    <row r="79" spans="1:20" x14ac:dyDescent="0.4">
      <c r="A79" s="121"/>
      <c r="B79" s="121" t="s">
        <v>135</v>
      </c>
      <c r="C79" s="121"/>
      <c r="D79" s="122">
        <v>42582</v>
      </c>
      <c r="E79" s="121"/>
      <c r="F79" s="121" t="s">
        <v>233</v>
      </c>
      <c r="G79" s="121"/>
      <c r="H79" s="121" t="s">
        <v>234</v>
      </c>
      <c r="I79" s="121"/>
      <c r="J79" s="121" t="s">
        <v>235</v>
      </c>
      <c r="K79" s="121"/>
      <c r="L79" s="121"/>
      <c r="M79" s="121"/>
      <c r="N79" s="123"/>
      <c r="O79" s="121"/>
      <c r="P79" s="121" t="s">
        <v>160</v>
      </c>
      <c r="Q79" s="121"/>
      <c r="R79" s="124">
        <v>-470</v>
      </c>
      <c r="S79" s="121"/>
      <c r="T79" s="124">
        <f t="shared" si="1"/>
        <v>29203.31</v>
      </c>
    </row>
    <row r="80" spans="1:20" x14ac:dyDescent="0.4">
      <c r="A80" s="121"/>
      <c r="B80" s="121" t="s">
        <v>108</v>
      </c>
      <c r="C80" s="121"/>
      <c r="D80" s="122">
        <v>42587</v>
      </c>
      <c r="E80" s="121"/>
      <c r="F80" s="121"/>
      <c r="G80" s="121"/>
      <c r="H80" s="121" t="s">
        <v>236</v>
      </c>
      <c r="I80" s="121"/>
      <c r="J80" s="121" t="s">
        <v>237</v>
      </c>
      <c r="K80" s="121"/>
      <c r="L80" s="121"/>
      <c r="M80" s="121"/>
      <c r="N80" s="123"/>
      <c r="O80" s="121"/>
      <c r="P80" s="121" t="s">
        <v>113</v>
      </c>
      <c r="Q80" s="121"/>
      <c r="R80" s="124">
        <v>27</v>
      </c>
      <c r="S80" s="121"/>
      <c r="T80" s="124">
        <f t="shared" si="1"/>
        <v>29230.31</v>
      </c>
    </row>
    <row r="81" spans="1:20" x14ac:dyDescent="0.4">
      <c r="A81" s="121"/>
      <c r="B81" s="121" t="s">
        <v>135</v>
      </c>
      <c r="C81" s="121"/>
      <c r="D81" s="122">
        <v>42613</v>
      </c>
      <c r="E81" s="121"/>
      <c r="F81" s="121" t="s">
        <v>164</v>
      </c>
      <c r="G81" s="121"/>
      <c r="H81" s="121" t="s">
        <v>165</v>
      </c>
      <c r="I81" s="121"/>
      <c r="J81" s="121" t="s">
        <v>238</v>
      </c>
      <c r="K81" s="121"/>
      <c r="L81" s="121"/>
      <c r="M81" s="121"/>
      <c r="N81" s="123"/>
      <c r="O81" s="121"/>
      <c r="P81" s="121" t="s">
        <v>167</v>
      </c>
      <c r="Q81" s="121"/>
      <c r="R81" s="124">
        <v>-2948</v>
      </c>
      <c r="S81" s="121"/>
      <c r="T81" s="124">
        <f t="shared" si="1"/>
        <v>26282.31</v>
      </c>
    </row>
    <row r="82" spans="1:20" x14ac:dyDescent="0.4">
      <c r="A82" s="121"/>
      <c r="B82" s="121" t="s">
        <v>135</v>
      </c>
      <c r="C82" s="121"/>
      <c r="D82" s="122">
        <v>42613</v>
      </c>
      <c r="E82" s="121"/>
      <c r="F82" s="121" t="s">
        <v>233</v>
      </c>
      <c r="G82" s="121"/>
      <c r="H82" s="121" t="s">
        <v>234</v>
      </c>
      <c r="I82" s="121"/>
      <c r="J82" s="121" t="s">
        <v>239</v>
      </c>
      <c r="K82" s="121"/>
      <c r="L82" s="121"/>
      <c r="M82" s="121"/>
      <c r="N82" s="123"/>
      <c r="O82" s="121"/>
      <c r="P82" s="121" t="s">
        <v>160</v>
      </c>
      <c r="Q82" s="121"/>
      <c r="R82" s="124">
        <v>-469</v>
      </c>
      <c r="S82" s="121"/>
      <c r="T82" s="124">
        <f t="shared" si="1"/>
        <v>25813.31</v>
      </c>
    </row>
    <row r="83" spans="1:20" x14ac:dyDescent="0.4">
      <c r="A83" s="121"/>
      <c r="B83" s="121" t="s">
        <v>135</v>
      </c>
      <c r="C83" s="121"/>
      <c r="D83" s="122">
        <v>42613</v>
      </c>
      <c r="E83" s="121"/>
      <c r="F83" s="121" t="s">
        <v>240</v>
      </c>
      <c r="G83" s="121"/>
      <c r="H83" s="121"/>
      <c r="I83" s="121"/>
      <c r="J83" s="121" t="s">
        <v>224</v>
      </c>
      <c r="K83" s="121"/>
      <c r="L83" s="121"/>
      <c r="M83" s="121"/>
      <c r="N83" s="123"/>
      <c r="O83" s="121"/>
      <c r="P83" s="121" t="s">
        <v>225</v>
      </c>
      <c r="Q83" s="121"/>
      <c r="R83" s="124">
        <v>1</v>
      </c>
      <c r="S83" s="121"/>
      <c r="T83" s="124">
        <f t="shared" si="1"/>
        <v>25814.31</v>
      </c>
    </row>
    <row r="84" spans="1:20" x14ac:dyDescent="0.4">
      <c r="A84" s="121"/>
      <c r="B84" s="121" t="s">
        <v>135</v>
      </c>
      <c r="C84" s="121"/>
      <c r="D84" s="122">
        <v>42643</v>
      </c>
      <c r="E84" s="121"/>
      <c r="F84" s="121" t="s">
        <v>164</v>
      </c>
      <c r="G84" s="121"/>
      <c r="H84" s="121" t="s">
        <v>165</v>
      </c>
      <c r="I84" s="121"/>
      <c r="J84" s="121" t="s">
        <v>241</v>
      </c>
      <c r="K84" s="121"/>
      <c r="L84" s="121"/>
      <c r="M84" s="121"/>
      <c r="N84" s="123"/>
      <c r="O84" s="121"/>
      <c r="P84" s="121" t="s">
        <v>167</v>
      </c>
      <c r="Q84" s="121"/>
      <c r="R84" s="124">
        <v>-4386</v>
      </c>
      <c r="S84" s="121"/>
      <c r="T84" s="124">
        <f t="shared" si="1"/>
        <v>21428.31</v>
      </c>
    </row>
    <row r="85" spans="1:20" x14ac:dyDescent="0.4">
      <c r="A85" s="121"/>
      <c r="B85" s="121" t="s">
        <v>135</v>
      </c>
      <c r="C85" s="121"/>
      <c r="D85" s="122">
        <v>42643</v>
      </c>
      <c r="E85" s="121"/>
      <c r="F85" s="121" t="s">
        <v>242</v>
      </c>
      <c r="G85" s="121"/>
      <c r="H85" s="121"/>
      <c r="I85" s="121"/>
      <c r="J85" s="121" t="s">
        <v>243</v>
      </c>
      <c r="K85" s="121"/>
      <c r="L85" s="121"/>
      <c r="M85" s="121"/>
      <c r="N85" s="123"/>
      <c r="O85" s="121"/>
      <c r="P85" s="121" t="s">
        <v>225</v>
      </c>
      <c r="Q85" s="121"/>
      <c r="R85" s="124">
        <v>1</v>
      </c>
      <c r="S85" s="121"/>
      <c r="T85" s="124">
        <f t="shared" si="1"/>
        <v>21429.31</v>
      </c>
    </row>
    <row r="86" spans="1:20" x14ac:dyDescent="0.4">
      <c r="A86" s="121"/>
      <c r="B86" s="121" t="s">
        <v>135</v>
      </c>
      <c r="C86" s="121"/>
      <c r="D86" s="122">
        <v>42643</v>
      </c>
      <c r="E86" s="121"/>
      <c r="F86" s="121" t="s">
        <v>222</v>
      </c>
      <c r="G86" s="121"/>
      <c r="H86" s="121" t="s">
        <v>158</v>
      </c>
      <c r="I86" s="121"/>
      <c r="J86" s="121" t="s">
        <v>244</v>
      </c>
      <c r="K86" s="121"/>
      <c r="L86" s="121"/>
      <c r="M86" s="121"/>
      <c r="N86" s="123"/>
      <c r="O86" s="121"/>
      <c r="P86" s="121" t="s">
        <v>160</v>
      </c>
      <c r="Q86" s="121"/>
      <c r="R86" s="124">
        <v>-468</v>
      </c>
      <c r="S86" s="121"/>
      <c r="T86" s="124">
        <f t="shared" si="1"/>
        <v>20961.310000000001</v>
      </c>
    </row>
    <row r="87" spans="1:20" x14ac:dyDescent="0.4">
      <c r="A87" s="121"/>
      <c r="B87" s="121" t="s">
        <v>135</v>
      </c>
      <c r="C87" s="121"/>
      <c r="D87" s="122">
        <v>42674</v>
      </c>
      <c r="E87" s="121"/>
      <c r="F87" s="121" t="s">
        <v>164</v>
      </c>
      <c r="G87" s="121"/>
      <c r="H87" s="121" t="s">
        <v>165</v>
      </c>
      <c r="I87" s="121"/>
      <c r="J87" s="121" t="s">
        <v>245</v>
      </c>
      <c r="K87" s="121"/>
      <c r="L87" s="121"/>
      <c r="M87" s="121"/>
      <c r="N87" s="123"/>
      <c r="O87" s="121"/>
      <c r="P87" s="121" t="s">
        <v>167</v>
      </c>
      <c r="Q87" s="121"/>
      <c r="R87" s="124">
        <v>-4531</v>
      </c>
      <c r="S87" s="121"/>
      <c r="T87" s="124">
        <f t="shared" si="1"/>
        <v>16430.310000000001</v>
      </c>
    </row>
    <row r="88" spans="1:20" x14ac:dyDescent="0.4">
      <c r="A88" s="121"/>
      <c r="B88" s="121" t="s">
        <v>135</v>
      </c>
      <c r="C88" s="121"/>
      <c r="D88" s="122">
        <v>42674</v>
      </c>
      <c r="E88" s="121"/>
      <c r="F88" s="121" t="s">
        <v>240</v>
      </c>
      <c r="G88" s="121"/>
      <c r="H88" s="121" t="s">
        <v>158</v>
      </c>
      <c r="I88" s="121"/>
      <c r="J88" s="121" t="s">
        <v>246</v>
      </c>
      <c r="K88" s="121"/>
      <c r="L88" s="121"/>
      <c r="M88" s="121"/>
      <c r="N88" s="123"/>
      <c r="O88" s="121"/>
      <c r="P88" s="121" t="s">
        <v>160</v>
      </c>
      <c r="Q88" s="121"/>
      <c r="R88" s="124">
        <v>-472</v>
      </c>
      <c r="S88" s="121"/>
      <c r="T88" s="124">
        <f t="shared" si="1"/>
        <v>15958.31</v>
      </c>
    </row>
    <row r="89" spans="1:20" x14ac:dyDescent="0.4">
      <c r="A89" s="121"/>
      <c r="B89" s="121" t="s">
        <v>135</v>
      </c>
      <c r="C89" s="121"/>
      <c r="D89" s="122">
        <v>42704</v>
      </c>
      <c r="E89" s="121"/>
      <c r="F89" s="121" t="s">
        <v>164</v>
      </c>
      <c r="G89" s="121"/>
      <c r="H89" s="121" t="s">
        <v>165</v>
      </c>
      <c r="I89" s="121"/>
      <c r="J89" s="121" t="s">
        <v>247</v>
      </c>
      <c r="K89" s="121"/>
      <c r="L89" s="121"/>
      <c r="M89" s="121"/>
      <c r="N89" s="123"/>
      <c r="O89" s="121"/>
      <c r="P89" s="121" t="s">
        <v>167</v>
      </c>
      <c r="Q89" s="121"/>
      <c r="R89" s="124">
        <v>-4634</v>
      </c>
      <c r="S89" s="121"/>
      <c r="T89" s="124">
        <f t="shared" si="1"/>
        <v>11324.31</v>
      </c>
    </row>
    <row r="90" spans="1:20" x14ac:dyDescent="0.4">
      <c r="A90" s="121"/>
      <c r="B90" s="121" t="s">
        <v>135</v>
      </c>
      <c r="C90" s="121"/>
      <c r="D90" s="122">
        <v>42704</v>
      </c>
      <c r="E90" s="121"/>
      <c r="F90" s="121" t="s">
        <v>233</v>
      </c>
      <c r="G90" s="121"/>
      <c r="H90" s="121" t="s">
        <v>234</v>
      </c>
      <c r="I90" s="121"/>
      <c r="J90" s="121" t="s">
        <v>248</v>
      </c>
      <c r="K90" s="121"/>
      <c r="L90" s="121"/>
      <c r="M90" s="121"/>
      <c r="N90" s="123"/>
      <c r="O90" s="121"/>
      <c r="P90" s="121" t="s">
        <v>160</v>
      </c>
      <c r="Q90" s="121"/>
      <c r="R90" s="124">
        <v>-477</v>
      </c>
      <c r="S90" s="121"/>
      <c r="T90" s="124">
        <f t="shared" si="1"/>
        <v>10847.31</v>
      </c>
    </row>
    <row r="91" spans="1:20" x14ac:dyDescent="0.4">
      <c r="A91" s="121"/>
      <c r="B91" s="121" t="s">
        <v>135</v>
      </c>
      <c r="C91" s="121"/>
      <c r="D91" s="122">
        <v>42735</v>
      </c>
      <c r="E91" s="121"/>
      <c r="F91" s="121" t="s">
        <v>164</v>
      </c>
      <c r="G91" s="121"/>
      <c r="H91" s="121" t="s">
        <v>165</v>
      </c>
      <c r="I91" s="121"/>
      <c r="J91" s="121" t="s">
        <v>249</v>
      </c>
      <c r="K91" s="121"/>
      <c r="L91" s="121"/>
      <c r="M91" s="121"/>
      <c r="N91" s="123"/>
      <c r="O91" s="121"/>
      <c r="P91" s="121" t="s">
        <v>167</v>
      </c>
      <c r="Q91" s="121"/>
      <c r="R91" s="124">
        <v>-4693</v>
      </c>
      <c r="S91" s="121"/>
      <c r="T91" s="124">
        <f t="shared" si="1"/>
        <v>6154.31</v>
      </c>
    </row>
    <row r="92" spans="1:20" x14ac:dyDescent="0.4">
      <c r="A92" s="121"/>
      <c r="B92" s="121" t="s">
        <v>135</v>
      </c>
      <c r="C92" s="121"/>
      <c r="D92" s="122">
        <v>42735</v>
      </c>
      <c r="E92" s="121"/>
      <c r="F92" s="121" t="s">
        <v>242</v>
      </c>
      <c r="G92" s="121"/>
      <c r="H92" s="121"/>
      <c r="I92" s="121"/>
      <c r="J92" s="121" t="s">
        <v>250</v>
      </c>
      <c r="K92" s="121"/>
      <c r="L92" s="121"/>
      <c r="M92" s="121"/>
      <c r="N92" s="123"/>
      <c r="O92" s="121"/>
      <c r="P92" s="121" t="s">
        <v>225</v>
      </c>
      <c r="Q92" s="121"/>
      <c r="R92" s="124">
        <v>1</v>
      </c>
      <c r="S92" s="121"/>
      <c r="T92" s="124">
        <f t="shared" si="1"/>
        <v>6155.31</v>
      </c>
    </row>
    <row r="93" spans="1:20" x14ac:dyDescent="0.4">
      <c r="A93" s="121"/>
      <c r="B93" s="121" t="s">
        <v>135</v>
      </c>
      <c r="C93" s="121"/>
      <c r="D93" s="122">
        <v>42735</v>
      </c>
      <c r="E93" s="121"/>
      <c r="F93" s="121" t="s">
        <v>233</v>
      </c>
      <c r="G93" s="121"/>
      <c r="H93" s="121" t="s">
        <v>234</v>
      </c>
      <c r="I93" s="121"/>
      <c r="J93" s="121" t="s">
        <v>251</v>
      </c>
      <c r="K93" s="121"/>
      <c r="L93" s="121"/>
      <c r="M93" s="121"/>
      <c r="N93" s="123"/>
      <c r="O93" s="121"/>
      <c r="P93" s="121" t="s">
        <v>160</v>
      </c>
      <c r="Q93" s="121"/>
      <c r="R93" s="124">
        <v>-486</v>
      </c>
      <c r="S93" s="121"/>
      <c r="T93" s="124">
        <f t="shared" si="1"/>
        <v>5669.31</v>
      </c>
    </row>
    <row r="94" spans="1:20" x14ac:dyDescent="0.4">
      <c r="A94" s="121"/>
      <c r="B94" s="121" t="s">
        <v>135</v>
      </c>
      <c r="C94" s="121"/>
      <c r="D94" s="122">
        <v>42735</v>
      </c>
      <c r="E94" s="121"/>
      <c r="F94" s="121" t="s">
        <v>252</v>
      </c>
      <c r="G94" s="121"/>
      <c r="H94" s="121"/>
      <c r="I94" s="121"/>
      <c r="J94" s="121" t="s">
        <v>253</v>
      </c>
      <c r="K94" s="121"/>
      <c r="L94" s="121"/>
      <c r="M94" s="121"/>
      <c r="N94" s="123"/>
      <c r="O94" s="121"/>
      <c r="P94" s="121" t="s">
        <v>141</v>
      </c>
      <c r="Q94" s="121"/>
      <c r="R94" s="124">
        <v>48390</v>
      </c>
      <c r="S94" s="121"/>
      <c r="T94" s="124">
        <f t="shared" si="1"/>
        <v>54059.31</v>
      </c>
    </row>
    <row r="95" spans="1:20" x14ac:dyDescent="0.4">
      <c r="A95" s="121"/>
      <c r="B95" s="121" t="s">
        <v>108</v>
      </c>
      <c r="C95" s="121"/>
      <c r="D95" s="122">
        <v>42769</v>
      </c>
      <c r="E95" s="121"/>
      <c r="F95" s="121" t="s">
        <v>254</v>
      </c>
      <c r="G95" s="121"/>
      <c r="H95" s="121" t="s">
        <v>177</v>
      </c>
      <c r="I95" s="121"/>
      <c r="J95" s="121" t="s">
        <v>254</v>
      </c>
      <c r="K95" s="121"/>
      <c r="L95" s="121"/>
      <c r="M95" s="121"/>
      <c r="N95" s="123"/>
      <c r="O95" s="121"/>
      <c r="P95" s="121" t="s">
        <v>113</v>
      </c>
      <c r="Q95" s="121"/>
      <c r="R95" s="124">
        <v>12624.26</v>
      </c>
      <c r="S95" s="121"/>
      <c r="T95" s="124">
        <f t="shared" si="1"/>
        <v>66683.570000000007</v>
      </c>
    </row>
    <row r="96" spans="1:20" x14ac:dyDescent="0.4">
      <c r="A96" s="121"/>
      <c r="B96" s="121" t="s">
        <v>108</v>
      </c>
      <c r="C96" s="121"/>
      <c r="D96" s="122">
        <v>42815</v>
      </c>
      <c r="E96" s="121"/>
      <c r="F96" s="121" t="s">
        <v>228</v>
      </c>
      <c r="G96" s="121"/>
      <c r="H96" s="121" t="s">
        <v>229</v>
      </c>
      <c r="I96" s="121"/>
      <c r="J96" s="121" t="s">
        <v>228</v>
      </c>
      <c r="K96" s="121"/>
      <c r="L96" s="121"/>
      <c r="M96" s="121"/>
      <c r="N96" s="123"/>
      <c r="O96" s="121"/>
      <c r="P96" s="121" t="s">
        <v>113</v>
      </c>
      <c r="Q96" s="121"/>
      <c r="R96" s="124">
        <v>65</v>
      </c>
      <c r="S96" s="121"/>
      <c r="T96" s="124">
        <f t="shared" si="1"/>
        <v>66748.570000000007</v>
      </c>
    </row>
    <row r="97" spans="1:20" x14ac:dyDescent="0.4">
      <c r="A97" s="121"/>
      <c r="B97" s="121" t="s">
        <v>108</v>
      </c>
      <c r="C97" s="121"/>
      <c r="D97" s="122">
        <v>42823</v>
      </c>
      <c r="E97" s="121"/>
      <c r="F97" s="121" t="s">
        <v>255</v>
      </c>
      <c r="G97" s="121"/>
      <c r="H97" s="121" t="s">
        <v>177</v>
      </c>
      <c r="I97" s="121"/>
      <c r="J97" s="121" t="s">
        <v>256</v>
      </c>
      <c r="K97" s="121"/>
      <c r="L97" s="121"/>
      <c r="M97" s="121"/>
      <c r="N97" s="123"/>
      <c r="O97" s="121"/>
      <c r="P97" s="121" t="s">
        <v>113</v>
      </c>
      <c r="Q97" s="121"/>
      <c r="R97" s="124">
        <v>12624.26</v>
      </c>
      <c r="S97" s="121"/>
      <c r="T97" s="124">
        <f t="shared" si="1"/>
        <v>79372.83</v>
      </c>
    </row>
    <row r="98" spans="1:20" x14ac:dyDescent="0.4">
      <c r="A98" s="121"/>
      <c r="B98" s="121" t="s">
        <v>108</v>
      </c>
      <c r="C98" s="121"/>
      <c r="D98" s="122">
        <v>42947</v>
      </c>
      <c r="E98" s="121"/>
      <c r="F98" s="121" t="s">
        <v>257</v>
      </c>
      <c r="G98" s="121"/>
      <c r="H98" s="121" t="s">
        <v>177</v>
      </c>
      <c r="I98" s="121"/>
      <c r="J98" s="121" t="s">
        <v>257</v>
      </c>
      <c r="K98" s="121"/>
      <c r="L98" s="121"/>
      <c r="M98" s="121"/>
      <c r="N98" s="123"/>
      <c r="O98" s="121"/>
      <c r="P98" s="121" t="s">
        <v>113</v>
      </c>
      <c r="Q98" s="121"/>
      <c r="R98" s="124">
        <v>12623.86</v>
      </c>
      <c r="S98" s="121"/>
      <c r="T98" s="124">
        <f t="shared" si="1"/>
        <v>91996.69</v>
      </c>
    </row>
    <row r="99" spans="1:20" x14ac:dyDescent="0.4">
      <c r="A99" s="121"/>
      <c r="B99" s="121" t="s">
        <v>108</v>
      </c>
      <c r="C99" s="121"/>
      <c r="D99" s="122">
        <v>43060</v>
      </c>
      <c r="E99" s="121"/>
      <c r="F99" s="121" t="s">
        <v>228</v>
      </c>
      <c r="G99" s="121"/>
      <c r="H99" s="121" t="s">
        <v>229</v>
      </c>
      <c r="I99" s="121"/>
      <c r="J99" s="121" t="s">
        <v>258</v>
      </c>
      <c r="K99" s="121"/>
      <c r="L99" s="121"/>
      <c r="M99" s="121"/>
      <c r="N99" s="123"/>
      <c r="O99" s="121"/>
      <c r="P99" s="121" t="s">
        <v>113</v>
      </c>
      <c r="Q99" s="121"/>
      <c r="R99" s="124">
        <v>323.72000000000003</v>
      </c>
      <c r="S99" s="121"/>
      <c r="T99" s="124">
        <f t="shared" si="1"/>
        <v>92320.41</v>
      </c>
    </row>
    <row r="100" spans="1:20" x14ac:dyDescent="0.4">
      <c r="A100" s="121"/>
      <c r="B100" s="121" t="s">
        <v>108</v>
      </c>
      <c r="C100" s="121"/>
      <c r="D100" s="122">
        <v>43068</v>
      </c>
      <c r="E100" s="121"/>
      <c r="F100" s="121" t="s">
        <v>259</v>
      </c>
      <c r="G100" s="121"/>
      <c r="H100" s="121" t="s">
        <v>177</v>
      </c>
      <c r="I100" s="121"/>
      <c r="J100" s="121" t="s">
        <v>260</v>
      </c>
      <c r="K100" s="121"/>
      <c r="L100" s="121"/>
      <c r="M100" s="121"/>
      <c r="N100" s="123"/>
      <c r="O100" s="121"/>
      <c r="P100" s="121" t="s">
        <v>113</v>
      </c>
      <c r="Q100" s="121"/>
      <c r="R100" s="124">
        <v>12625.45</v>
      </c>
      <c r="S100" s="121"/>
      <c r="T100" s="124">
        <f t="shared" si="1"/>
        <v>104945.86</v>
      </c>
    </row>
    <row r="101" spans="1:20" x14ac:dyDescent="0.4">
      <c r="A101" s="121"/>
      <c r="B101" s="121" t="s">
        <v>108</v>
      </c>
      <c r="C101" s="121"/>
      <c r="D101" s="122">
        <v>43123</v>
      </c>
      <c r="E101" s="121"/>
      <c r="F101" s="121" t="s">
        <v>261</v>
      </c>
      <c r="G101" s="121"/>
      <c r="H101" s="121" t="s">
        <v>177</v>
      </c>
      <c r="I101" s="121"/>
      <c r="J101" s="121" t="s">
        <v>262</v>
      </c>
      <c r="K101" s="121"/>
      <c r="L101" s="121"/>
      <c r="M101" s="121"/>
      <c r="N101" s="123"/>
      <c r="O101" s="121"/>
      <c r="P101" s="121" t="s">
        <v>113</v>
      </c>
      <c r="Q101" s="121"/>
      <c r="R101" s="124">
        <v>12625.85</v>
      </c>
      <c r="S101" s="121"/>
      <c r="T101" s="124">
        <f t="shared" si="1"/>
        <v>117571.71</v>
      </c>
    </row>
    <row r="102" spans="1:20" x14ac:dyDescent="0.4">
      <c r="A102" s="121"/>
      <c r="B102" s="121" t="s">
        <v>108</v>
      </c>
      <c r="C102" s="121"/>
      <c r="D102" s="122">
        <v>43154</v>
      </c>
      <c r="E102" s="121"/>
      <c r="F102" s="121" t="s">
        <v>263</v>
      </c>
      <c r="G102" s="121"/>
      <c r="H102" s="121" t="s">
        <v>177</v>
      </c>
      <c r="I102" s="121"/>
      <c r="J102" s="121" t="s">
        <v>264</v>
      </c>
      <c r="K102" s="121"/>
      <c r="L102" s="121"/>
      <c r="M102" s="121"/>
      <c r="N102" s="123"/>
      <c r="O102" s="121"/>
      <c r="P102" s="121" t="s">
        <v>113</v>
      </c>
      <c r="Q102" s="121"/>
      <c r="R102" s="124">
        <v>12626.24</v>
      </c>
      <c r="S102" s="121"/>
      <c r="T102" s="124">
        <f t="shared" si="1"/>
        <v>130197.95</v>
      </c>
    </row>
    <row r="103" spans="1:20" x14ac:dyDescent="0.4">
      <c r="A103" s="121"/>
      <c r="B103" s="121" t="s">
        <v>201</v>
      </c>
      <c r="C103" s="121"/>
      <c r="D103" s="122">
        <v>43182</v>
      </c>
      <c r="E103" s="121"/>
      <c r="F103" s="121" t="s">
        <v>265</v>
      </c>
      <c r="G103" s="121"/>
      <c r="H103" s="121" t="s">
        <v>266</v>
      </c>
      <c r="I103" s="121"/>
      <c r="J103" s="121" t="s">
        <v>267</v>
      </c>
      <c r="K103" s="121"/>
      <c r="L103" s="121"/>
      <c r="M103" s="121"/>
      <c r="N103" s="123"/>
      <c r="O103" s="121"/>
      <c r="P103" s="121" t="s">
        <v>205</v>
      </c>
      <c r="Q103" s="121"/>
      <c r="R103" s="124">
        <v>4000</v>
      </c>
      <c r="S103" s="121"/>
      <c r="T103" s="124">
        <f t="shared" si="1"/>
        <v>134197.95000000001</v>
      </c>
    </row>
    <row r="104" spans="1:20" x14ac:dyDescent="0.4">
      <c r="A104" s="121"/>
      <c r="B104" s="121" t="s">
        <v>108</v>
      </c>
      <c r="C104" s="121"/>
      <c r="D104" s="122">
        <v>43210</v>
      </c>
      <c r="E104" s="121"/>
      <c r="F104" s="121" t="s">
        <v>268</v>
      </c>
      <c r="G104" s="121"/>
      <c r="H104" s="121" t="s">
        <v>177</v>
      </c>
      <c r="I104" s="121"/>
      <c r="J104" s="121" t="s">
        <v>269</v>
      </c>
      <c r="K104" s="121"/>
      <c r="L104" s="121"/>
      <c r="M104" s="121"/>
      <c r="N104" s="123"/>
      <c r="O104" s="121"/>
      <c r="P104" s="121" t="s">
        <v>113</v>
      </c>
      <c r="Q104" s="121"/>
      <c r="R104" s="124">
        <v>679.42</v>
      </c>
      <c r="S104" s="121"/>
      <c r="T104" s="124">
        <f t="shared" si="1"/>
        <v>134877.37</v>
      </c>
    </row>
    <row r="105" spans="1:20" x14ac:dyDescent="0.4">
      <c r="A105" s="121"/>
      <c r="B105" s="121" t="s">
        <v>108</v>
      </c>
      <c r="C105" s="121"/>
      <c r="D105" s="122">
        <v>43290</v>
      </c>
      <c r="E105" s="121"/>
      <c r="F105" s="121" t="s">
        <v>270</v>
      </c>
      <c r="G105" s="121"/>
      <c r="H105" s="121" t="s">
        <v>177</v>
      </c>
      <c r="I105" s="121"/>
      <c r="J105" s="121" t="s">
        <v>271</v>
      </c>
      <c r="K105" s="121"/>
      <c r="L105" s="121"/>
      <c r="M105" s="121"/>
      <c r="N105" s="123"/>
      <c r="O105" s="121"/>
      <c r="P105" s="121" t="s">
        <v>113</v>
      </c>
      <c r="Q105" s="121"/>
      <c r="R105" s="124">
        <v>12627.04</v>
      </c>
      <c r="S105" s="121"/>
      <c r="T105" s="124">
        <f t="shared" si="1"/>
        <v>147504.41</v>
      </c>
    </row>
    <row r="106" spans="1:20" x14ac:dyDescent="0.4">
      <c r="A106" s="121"/>
      <c r="B106" s="121" t="s">
        <v>108</v>
      </c>
      <c r="C106" s="121"/>
      <c r="D106" s="122">
        <v>43327</v>
      </c>
      <c r="E106" s="121"/>
      <c r="F106" s="121" t="s">
        <v>272</v>
      </c>
      <c r="G106" s="121"/>
      <c r="H106" s="121" t="s">
        <v>177</v>
      </c>
      <c r="I106" s="121"/>
      <c r="J106" s="121" t="s">
        <v>273</v>
      </c>
      <c r="K106" s="121"/>
      <c r="L106" s="121"/>
      <c r="M106" s="121"/>
      <c r="N106" s="123"/>
      <c r="O106" s="121"/>
      <c r="P106" s="121" t="s">
        <v>113</v>
      </c>
      <c r="Q106" s="121"/>
      <c r="R106" s="124">
        <v>7623.68</v>
      </c>
      <c r="S106" s="121"/>
      <c r="T106" s="124">
        <f t="shared" si="1"/>
        <v>155128.09</v>
      </c>
    </row>
    <row r="107" spans="1:20" x14ac:dyDescent="0.4">
      <c r="A107" s="121"/>
      <c r="B107" s="121" t="s">
        <v>108</v>
      </c>
      <c r="C107" s="121"/>
      <c r="D107" s="122">
        <v>43399</v>
      </c>
      <c r="E107" s="121"/>
      <c r="F107" s="121" t="s">
        <v>274</v>
      </c>
      <c r="G107" s="121"/>
      <c r="H107" s="121" t="s">
        <v>177</v>
      </c>
      <c r="I107" s="121"/>
      <c r="J107" s="121" t="s">
        <v>275</v>
      </c>
      <c r="K107" s="121"/>
      <c r="L107" s="121"/>
      <c r="M107" s="121"/>
      <c r="N107" s="123"/>
      <c r="O107" s="121"/>
      <c r="P107" s="121" t="s">
        <v>113</v>
      </c>
      <c r="Q107" s="121"/>
      <c r="R107" s="124">
        <v>3386.7</v>
      </c>
      <c r="S107" s="121"/>
      <c r="T107" s="124">
        <f t="shared" si="1"/>
        <v>158514.79</v>
      </c>
    </row>
    <row r="108" spans="1:20" x14ac:dyDescent="0.4">
      <c r="A108" s="121"/>
      <c r="B108" s="121" t="s">
        <v>108</v>
      </c>
      <c r="C108" s="121"/>
      <c r="D108" s="122">
        <v>43472</v>
      </c>
      <c r="E108" s="121"/>
      <c r="F108" s="121" t="s">
        <v>276</v>
      </c>
      <c r="G108" s="121"/>
      <c r="H108" s="121" t="s">
        <v>177</v>
      </c>
      <c r="I108" s="121"/>
      <c r="J108" s="121" t="s">
        <v>277</v>
      </c>
      <c r="K108" s="121"/>
      <c r="L108" s="121"/>
      <c r="M108" s="121"/>
      <c r="N108" s="123"/>
      <c r="O108" s="121"/>
      <c r="P108" s="121" t="s">
        <v>113</v>
      </c>
      <c r="Q108" s="121"/>
      <c r="R108" s="124">
        <v>12826</v>
      </c>
      <c r="S108" s="121"/>
      <c r="T108" s="124">
        <f t="shared" si="1"/>
        <v>171340.79</v>
      </c>
    </row>
    <row r="109" spans="1:20" x14ac:dyDescent="0.4">
      <c r="A109" s="121"/>
      <c r="B109" s="121" t="s">
        <v>108</v>
      </c>
      <c r="C109" s="121"/>
      <c r="D109" s="122">
        <v>43536</v>
      </c>
      <c r="E109" s="121"/>
      <c r="F109" s="121" t="s">
        <v>278</v>
      </c>
      <c r="G109" s="121"/>
      <c r="H109" s="121" t="s">
        <v>177</v>
      </c>
      <c r="I109" s="121"/>
      <c r="J109" s="121" t="s">
        <v>279</v>
      </c>
      <c r="K109" s="121"/>
      <c r="L109" s="121"/>
      <c r="M109" s="121"/>
      <c r="N109" s="123"/>
      <c r="O109" s="121"/>
      <c r="P109" s="121" t="s">
        <v>113</v>
      </c>
      <c r="Q109" s="121"/>
      <c r="R109" s="124">
        <v>12625.77</v>
      </c>
      <c r="S109" s="121"/>
      <c r="T109" s="124">
        <f t="shared" si="1"/>
        <v>183966.56</v>
      </c>
    </row>
    <row r="110" spans="1:20" x14ac:dyDescent="0.4">
      <c r="A110" s="121"/>
      <c r="B110" s="121" t="s">
        <v>108</v>
      </c>
      <c r="C110" s="121"/>
      <c r="D110" s="122">
        <v>43570</v>
      </c>
      <c r="E110" s="121"/>
      <c r="F110" s="121" t="s">
        <v>280</v>
      </c>
      <c r="G110" s="121"/>
      <c r="H110" s="121" t="s">
        <v>177</v>
      </c>
      <c r="I110" s="121"/>
      <c r="J110" s="121" t="s">
        <v>281</v>
      </c>
      <c r="K110" s="121"/>
      <c r="L110" s="121"/>
      <c r="M110" s="121"/>
      <c r="N110" s="123"/>
      <c r="O110" s="121"/>
      <c r="P110" s="121" t="s">
        <v>113</v>
      </c>
      <c r="Q110" s="121"/>
      <c r="R110" s="124">
        <v>9737.74</v>
      </c>
      <c r="S110" s="121"/>
      <c r="T110" s="124">
        <f t="shared" si="1"/>
        <v>193704.3</v>
      </c>
    </row>
    <row r="111" spans="1:20" x14ac:dyDescent="0.4">
      <c r="A111" s="121"/>
      <c r="B111" s="121" t="s">
        <v>108</v>
      </c>
      <c r="C111" s="121"/>
      <c r="D111" s="122">
        <v>43854</v>
      </c>
      <c r="E111" s="121"/>
      <c r="F111" s="121" t="s">
        <v>282</v>
      </c>
      <c r="G111" s="121"/>
      <c r="H111" s="121" t="s">
        <v>177</v>
      </c>
      <c r="I111" s="121"/>
      <c r="J111" s="121" t="s">
        <v>283</v>
      </c>
      <c r="K111" s="121"/>
      <c r="L111" s="121"/>
      <c r="M111" s="121"/>
      <c r="N111" s="123"/>
      <c r="O111" s="121"/>
      <c r="P111" s="121" t="s">
        <v>113</v>
      </c>
      <c r="Q111" s="121"/>
      <c r="R111" s="124">
        <v>12930.17</v>
      </c>
      <c r="S111" s="121"/>
      <c r="T111" s="124">
        <f t="shared" si="1"/>
        <v>206634.47</v>
      </c>
    </row>
    <row r="112" spans="1:20" x14ac:dyDescent="0.4">
      <c r="A112" s="121"/>
      <c r="B112" s="121" t="s">
        <v>108</v>
      </c>
      <c r="C112" s="121"/>
      <c r="D112" s="122">
        <v>43902</v>
      </c>
      <c r="E112" s="121"/>
      <c r="F112" s="121" t="s">
        <v>284</v>
      </c>
      <c r="G112" s="121"/>
      <c r="H112" s="121" t="s">
        <v>177</v>
      </c>
      <c r="I112" s="121"/>
      <c r="J112" s="121" t="s">
        <v>285</v>
      </c>
      <c r="K112" s="121"/>
      <c r="L112" s="121"/>
      <c r="M112" s="121"/>
      <c r="N112" s="123"/>
      <c r="O112" s="121"/>
      <c r="P112" s="121" t="s">
        <v>113</v>
      </c>
      <c r="Q112" s="121"/>
      <c r="R112" s="124">
        <v>12823.63</v>
      </c>
      <c r="S112" s="121"/>
      <c r="T112" s="124">
        <f t="shared" si="1"/>
        <v>219458.1</v>
      </c>
    </row>
    <row r="113" spans="1:20" x14ac:dyDescent="0.4">
      <c r="A113" s="121"/>
      <c r="B113" s="121" t="s">
        <v>108</v>
      </c>
      <c r="C113" s="121"/>
      <c r="D113" s="122">
        <v>44249</v>
      </c>
      <c r="E113" s="121"/>
      <c r="F113" s="121" t="s">
        <v>286</v>
      </c>
      <c r="G113" s="121"/>
      <c r="H113" s="121" t="s">
        <v>177</v>
      </c>
      <c r="I113" s="121"/>
      <c r="J113" s="121" t="s">
        <v>287</v>
      </c>
      <c r="K113" s="121"/>
      <c r="L113" s="121"/>
      <c r="M113" s="121"/>
      <c r="N113" s="123"/>
      <c r="O113" s="121"/>
      <c r="P113" s="121" t="s">
        <v>113</v>
      </c>
      <c r="Q113" s="121"/>
      <c r="R113" s="124">
        <v>62.08</v>
      </c>
      <c r="S113" s="121"/>
      <c r="T113" s="124">
        <f t="shared" si="1"/>
        <v>219520.18</v>
      </c>
    </row>
    <row r="114" spans="1:20" x14ac:dyDescent="0.4">
      <c r="A114" s="121"/>
      <c r="B114" s="121" t="s">
        <v>108</v>
      </c>
      <c r="C114" s="121"/>
      <c r="D114" s="122">
        <v>44267</v>
      </c>
      <c r="E114" s="121"/>
      <c r="F114" s="121" t="s">
        <v>288</v>
      </c>
      <c r="G114" s="121"/>
      <c r="H114" s="121" t="s">
        <v>131</v>
      </c>
      <c r="I114" s="121"/>
      <c r="J114" s="121" t="s">
        <v>289</v>
      </c>
      <c r="K114" s="121"/>
      <c r="L114" s="121"/>
      <c r="M114" s="121"/>
      <c r="N114" s="123"/>
      <c r="O114" s="121"/>
      <c r="P114" s="121" t="s">
        <v>113</v>
      </c>
      <c r="Q114" s="121"/>
      <c r="R114" s="124">
        <v>813.44</v>
      </c>
      <c r="S114" s="121"/>
      <c r="T114" s="124">
        <f t="shared" si="1"/>
        <v>220333.62</v>
      </c>
    </row>
    <row r="115" spans="1:20" x14ac:dyDescent="0.4">
      <c r="A115" s="121"/>
      <c r="B115" s="121" t="s">
        <v>108</v>
      </c>
      <c r="C115" s="121"/>
      <c r="D115" s="122">
        <v>44286</v>
      </c>
      <c r="E115" s="121"/>
      <c r="F115" s="121" t="s">
        <v>290</v>
      </c>
      <c r="G115" s="121"/>
      <c r="H115" s="121" t="s">
        <v>177</v>
      </c>
      <c r="I115" s="121"/>
      <c r="J115" s="121" t="s">
        <v>291</v>
      </c>
      <c r="K115" s="121"/>
      <c r="L115" s="121"/>
      <c r="M115" s="121"/>
      <c r="N115" s="123"/>
      <c r="O115" s="121"/>
      <c r="P115" s="121" t="s">
        <v>113</v>
      </c>
      <c r="Q115" s="121"/>
      <c r="R115" s="124">
        <v>14169.76</v>
      </c>
      <c r="S115" s="121"/>
      <c r="T115" s="124">
        <f t="shared" si="1"/>
        <v>234503.38</v>
      </c>
    </row>
    <row r="116" spans="1:20" x14ac:dyDescent="0.4">
      <c r="A116" s="121"/>
      <c r="B116" s="121" t="s">
        <v>201</v>
      </c>
      <c r="C116" s="121"/>
      <c r="D116" s="122">
        <v>44308</v>
      </c>
      <c r="E116" s="121"/>
      <c r="F116" s="121" t="s">
        <v>202</v>
      </c>
      <c r="G116" s="121"/>
      <c r="H116" s="121" t="s">
        <v>292</v>
      </c>
      <c r="I116" s="121"/>
      <c r="J116" s="121" t="s">
        <v>293</v>
      </c>
      <c r="K116" s="121"/>
      <c r="L116" s="121"/>
      <c r="M116" s="121"/>
      <c r="N116" s="123"/>
      <c r="O116" s="121"/>
      <c r="P116" s="121" t="s">
        <v>205</v>
      </c>
      <c r="Q116" s="121"/>
      <c r="R116" s="124">
        <v>1282.49</v>
      </c>
      <c r="S116" s="121"/>
      <c r="T116" s="124">
        <f t="shared" si="1"/>
        <v>235785.87</v>
      </c>
    </row>
    <row r="117" spans="1:20" x14ac:dyDescent="0.4">
      <c r="A117" s="121"/>
      <c r="B117" s="121" t="s">
        <v>108</v>
      </c>
      <c r="C117" s="121"/>
      <c r="D117" s="122">
        <v>44312</v>
      </c>
      <c r="E117" s="121"/>
      <c r="F117" s="121" t="s">
        <v>294</v>
      </c>
      <c r="G117" s="121"/>
      <c r="H117" s="121" t="s">
        <v>177</v>
      </c>
      <c r="I117" s="121"/>
      <c r="J117" s="121" t="s">
        <v>283</v>
      </c>
      <c r="K117" s="121"/>
      <c r="L117" s="121"/>
      <c r="M117" s="121"/>
      <c r="N117" s="123"/>
      <c r="O117" s="121"/>
      <c r="P117" s="121" t="s">
        <v>113</v>
      </c>
      <c r="Q117" s="121"/>
      <c r="R117" s="124">
        <v>13930.6</v>
      </c>
      <c r="S117" s="121"/>
      <c r="T117" s="124">
        <f t="shared" si="1"/>
        <v>249716.47</v>
      </c>
    </row>
    <row r="118" spans="1:20" x14ac:dyDescent="0.4">
      <c r="A118" s="121"/>
      <c r="B118" s="121" t="s">
        <v>108</v>
      </c>
      <c r="C118" s="121"/>
      <c r="D118" s="122">
        <v>44365</v>
      </c>
      <c r="E118" s="121"/>
      <c r="F118" s="121" t="s">
        <v>295</v>
      </c>
      <c r="G118" s="121"/>
      <c r="H118" s="121" t="s">
        <v>177</v>
      </c>
      <c r="I118" s="121"/>
      <c r="J118" s="121" t="s">
        <v>296</v>
      </c>
      <c r="K118" s="121"/>
      <c r="L118" s="121"/>
      <c r="M118" s="121"/>
      <c r="N118" s="123"/>
      <c r="O118" s="121"/>
      <c r="P118" s="121" t="s">
        <v>113</v>
      </c>
      <c r="Q118" s="121"/>
      <c r="R118" s="124">
        <v>185.5</v>
      </c>
      <c r="S118" s="121"/>
      <c r="T118" s="124">
        <f t="shared" si="1"/>
        <v>249901.97</v>
      </c>
    </row>
    <row r="119" spans="1:20" x14ac:dyDescent="0.4">
      <c r="A119" s="121"/>
      <c r="B119" s="121" t="s">
        <v>108</v>
      </c>
      <c r="C119" s="121"/>
      <c r="D119" s="122">
        <v>44391</v>
      </c>
      <c r="E119" s="121"/>
      <c r="F119" s="121" t="s">
        <v>297</v>
      </c>
      <c r="G119" s="121"/>
      <c r="H119" s="121" t="s">
        <v>298</v>
      </c>
      <c r="I119" s="121"/>
      <c r="J119" s="121" t="s">
        <v>299</v>
      </c>
      <c r="K119" s="121"/>
      <c r="L119" s="121"/>
      <c r="M119" s="121"/>
      <c r="N119" s="123"/>
      <c r="O119" s="121"/>
      <c r="P119" s="121" t="s">
        <v>113</v>
      </c>
      <c r="Q119" s="121"/>
      <c r="R119" s="124">
        <v>245.76</v>
      </c>
      <c r="S119" s="121"/>
      <c r="T119" s="124">
        <f t="shared" si="1"/>
        <v>250147.73</v>
      </c>
    </row>
    <row r="120" spans="1:20" x14ac:dyDescent="0.4">
      <c r="A120" s="121"/>
      <c r="B120" s="121" t="s">
        <v>108</v>
      </c>
      <c r="C120" s="121"/>
      <c r="D120" s="122">
        <v>44405</v>
      </c>
      <c r="E120" s="121"/>
      <c r="F120" s="121" t="s">
        <v>300</v>
      </c>
      <c r="G120" s="121"/>
      <c r="H120" s="121" t="s">
        <v>177</v>
      </c>
      <c r="I120" s="121"/>
      <c r="J120" s="121" t="s">
        <v>301</v>
      </c>
      <c r="K120" s="121"/>
      <c r="L120" s="121"/>
      <c r="M120" s="121"/>
      <c r="N120" s="123"/>
      <c r="O120" s="121"/>
      <c r="P120" s="121" t="s">
        <v>113</v>
      </c>
      <c r="Q120" s="121"/>
      <c r="R120" s="124">
        <v>2373</v>
      </c>
      <c r="S120" s="121"/>
      <c r="T120" s="124">
        <f t="shared" si="1"/>
        <v>252520.73</v>
      </c>
    </row>
    <row r="121" spans="1:20" x14ac:dyDescent="0.4">
      <c r="A121" s="121"/>
      <c r="B121" s="121" t="s">
        <v>108</v>
      </c>
      <c r="C121" s="121"/>
      <c r="D121" s="122">
        <v>44421</v>
      </c>
      <c r="E121" s="121"/>
      <c r="F121" s="121" t="s">
        <v>302</v>
      </c>
      <c r="G121" s="121"/>
      <c r="H121" s="121" t="s">
        <v>131</v>
      </c>
      <c r="I121" s="121"/>
      <c r="J121" s="121" t="s">
        <v>303</v>
      </c>
      <c r="K121" s="121"/>
      <c r="L121" s="121"/>
      <c r="M121" s="121"/>
      <c r="N121" s="123"/>
      <c r="O121" s="121"/>
      <c r="P121" s="121" t="s">
        <v>113</v>
      </c>
      <c r="Q121" s="121"/>
      <c r="R121" s="124">
        <v>243.06</v>
      </c>
      <c r="S121" s="121"/>
      <c r="T121" s="124">
        <f t="shared" si="1"/>
        <v>252763.79</v>
      </c>
    </row>
    <row r="122" spans="1:20" x14ac:dyDescent="0.4">
      <c r="A122" s="121"/>
      <c r="B122" s="121" t="s">
        <v>108</v>
      </c>
      <c r="C122" s="121"/>
      <c r="D122" s="122">
        <v>44434</v>
      </c>
      <c r="E122" s="121"/>
      <c r="F122" s="121" t="s">
        <v>304</v>
      </c>
      <c r="G122" s="121"/>
      <c r="H122" s="121" t="s">
        <v>305</v>
      </c>
      <c r="I122" s="121"/>
      <c r="J122" s="121" t="s">
        <v>306</v>
      </c>
      <c r="K122" s="121"/>
      <c r="L122" s="121"/>
      <c r="M122" s="121"/>
      <c r="N122" s="123"/>
      <c r="O122" s="121"/>
      <c r="P122" s="121" t="s">
        <v>113</v>
      </c>
      <c r="Q122" s="121"/>
      <c r="R122" s="124">
        <v>1200</v>
      </c>
      <c r="S122" s="121"/>
      <c r="T122" s="124">
        <f t="shared" si="1"/>
        <v>253963.79</v>
      </c>
    </row>
    <row r="123" spans="1:20" x14ac:dyDescent="0.4">
      <c r="A123" s="121"/>
      <c r="B123" s="121" t="s">
        <v>307</v>
      </c>
      <c r="C123" s="121"/>
      <c r="D123" s="122">
        <v>44439</v>
      </c>
      <c r="E123" s="121"/>
      <c r="F123" s="121" t="s">
        <v>308</v>
      </c>
      <c r="G123" s="121"/>
      <c r="H123" s="121" t="s">
        <v>298</v>
      </c>
      <c r="I123" s="121"/>
      <c r="J123" s="121" t="s">
        <v>308</v>
      </c>
      <c r="K123" s="121"/>
      <c r="L123" s="121"/>
      <c r="M123" s="121"/>
      <c r="N123" s="123"/>
      <c r="O123" s="121"/>
      <c r="P123" s="121" t="s">
        <v>113</v>
      </c>
      <c r="Q123" s="121"/>
      <c r="R123" s="124">
        <v>-228.96</v>
      </c>
      <c r="S123" s="121"/>
      <c r="T123" s="124">
        <f t="shared" si="1"/>
        <v>253734.83</v>
      </c>
    </row>
    <row r="124" spans="1:20" x14ac:dyDescent="0.4">
      <c r="A124" s="121"/>
      <c r="B124" s="121" t="s">
        <v>108</v>
      </c>
      <c r="C124" s="121"/>
      <c r="D124" s="122">
        <v>44455</v>
      </c>
      <c r="E124" s="121"/>
      <c r="F124" s="121" t="s">
        <v>309</v>
      </c>
      <c r="G124" s="121"/>
      <c r="H124" s="121" t="s">
        <v>298</v>
      </c>
      <c r="I124" s="121"/>
      <c r="J124" s="121" t="s">
        <v>310</v>
      </c>
      <c r="K124" s="121"/>
      <c r="L124" s="121"/>
      <c r="M124" s="121"/>
      <c r="N124" s="123"/>
      <c r="O124" s="121"/>
      <c r="P124" s="121" t="s">
        <v>113</v>
      </c>
      <c r="Q124" s="121"/>
      <c r="R124" s="124">
        <v>2873.96</v>
      </c>
      <c r="S124" s="121"/>
      <c r="T124" s="124">
        <f t="shared" si="1"/>
        <v>256608.79</v>
      </c>
    </row>
    <row r="125" spans="1:20" x14ac:dyDescent="0.4">
      <c r="A125" s="121"/>
      <c r="B125" s="121" t="s">
        <v>108</v>
      </c>
      <c r="C125" s="121"/>
      <c r="D125" s="122">
        <v>44586</v>
      </c>
      <c r="E125" s="121"/>
      <c r="F125" s="121" t="s">
        <v>311</v>
      </c>
      <c r="G125" s="121"/>
      <c r="H125" s="121" t="s">
        <v>131</v>
      </c>
      <c r="I125" s="121"/>
      <c r="J125" s="121" t="s">
        <v>312</v>
      </c>
      <c r="K125" s="121"/>
      <c r="L125" s="121"/>
      <c r="M125" s="121"/>
      <c r="N125" s="123"/>
      <c r="O125" s="121"/>
      <c r="P125" s="121" t="s">
        <v>113</v>
      </c>
      <c r="Q125" s="121"/>
      <c r="R125" s="124">
        <v>223.71</v>
      </c>
      <c r="S125" s="121"/>
      <c r="T125" s="124">
        <f t="shared" si="1"/>
        <v>256832.5</v>
      </c>
    </row>
    <row r="126" spans="1:20" x14ac:dyDescent="0.4">
      <c r="A126" s="121"/>
      <c r="B126" s="121" t="s">
        <v>313</v>
      </c>
      <c r="C126" s="121"/>
      <c r="D126" s="122">
        <v>44818</v>
      </c>
      <c r="E126" s="121"/>
      <c r="F126" s="121"/>
      <c r="G126" s="121"/>
      <c r="H126" s="121"/>
      <c r="I126" s="121"/>
      <c r="J126" s="121" t="s">
        <v>314</v>
      </c>
      <c r="K126" s="121"/>
      <c r="L126" s="121"/>
      <c r="M126" s="121"/>
      <c r="N126" s="123"/>
      <c r="O126" s="121"/>
      <c r="P126" s="121" t="s">
        <v>205</v>
      </c>
      <c r="Q126" s="121"/>
      <c r="R126" s="124">
        <v>-5000</v>
      </c>
      <c r="S126" s="121"/>
      <c r="T126" s="124">
        <f t="shared" si="1"/>
        <v>251832.5</v>
      </c>
    </row>
    <row r="127" spans="1:20" x14ac:dyDescent="0.4">
      <c r="A127" s="121"/>
      <c r="B127" s="121" t="s">
        <v>135</v>
      </c>
      <c r="C127" s="121"/>
      <c r="D127" s="122">
        <v>44926</v>
      </c>
      <c r="E127" s="121"/>
      <c r="F127" s="121" t="s">
        <v>315</v>
      </c>
      <c r="G127" s="121"/>
      <c r="H127" s="121"/>
      <c r="I127" s="121"/>
      <c r="J127" s="121" t="s">
        <v>316</v>
      </c>
      <c r="K127" s="121"/>
      <c r="L127" s="121"/>
      <c r="M127" s="121"/>
      <c r="N127" s="123"/>
      <c r="O127" s="121"/>
      <c r="P127" s="121" t="s">
        <v>141</v>
      </c>
      <c r="Q127" s="121"/>
      <c r="R127" s="124">
        <v>5000</v>
      </c>
      <c r="S127" s="121"/>
      <c r="T127" s="124">
        <f t="shared" si="1"/>
        <v>256832.5</v>
      </c>
    </row>
    <row r="128" spans="1:20" x14ac:dyDescent="0.4">
      <c r="A128" s="121"/>
      <c r="B128" s="121" t="s">
        <v>108</v>
      </c>
      <c r="C128" s="121"/>
      <c r="D128" s="122">
        <v>45014</v>
      </c>
      <c r="E128" s="121"/>
      <c r="F128" s="121" t="s">
        <v>317</v>
      </c>
      <c r="G128" s="121"/>
      <c r="H128" s="121" t="s">
        <v>131</v>
      </c>
      <c r="I128" s="121"/>
      <c r="J128" s="121" t="s">
        <v>318</v>
      </c>
      <c r="K128" s="121"/>
      <c r="L128" s="121"/>
      <c r="M128" s="121"/>
      <c r="N128" s="123"/>
      <c r="O128" s="121"/>
      <c r="P128" s="121" t="s">
        <v>113</v>
      </c>
      <c r="Q128" s="121"/>
      <c r="R128" s="124">
        <v>1750.87</v>
      </c>
      <c r="S128" s="121"/>
      <c r="T128" s="124">
        <f t="shared" si="1"/>
        <v>258583.37</v>
      </c>
    </row>
    <row r="129" spans="1:20" x14ac:dyDescent="0.4">
      <c r="A129" s="121"/>
      <c r="B129" s="121" t="s">
        <v>108</v>
      </c>
      <c r="C129" s="121"/>
      <c r="D129" s="122">
        <v>45106</v>
      </c>
      <c r="E129" s="121"/>
      <c r="F129" s="121" t="s">
        <v>319</v>
      </c>
      <c r="G129" s="121"/>
      <c r="H129" s="121" t="s">
        <v>298</v>
      </c>
      <c r="I129" s="121"/>
      <c r="J129" s="121" t="s">
        <v>320</v>
      </c>
      <c r="K129" s="121"/>
      <c r="L129" s="121"/>
      <c r="M129" s="121"/>
      <c r="N129" s="123"/>
      <c r="O129" s="121"/>
      <c r="P129" s="121" t="s">
        <v>113</v>
      </c>
      <c r="Q129" s="121"/>
      <c r="R129" s="124">
        <v>910.92</v>
      </c>
      <c r="S129" s="121"/>
      <c r="T129" s="124">
        <f t="shared" si="1"/>
        <v>259494.29</v>
      </c>
    </row>
    <row r="130" spans="1:20" x14ac:dyDescent="0.4">
      <c r="A130" s="121"/>
      <c r="B130" s="121" t="s">
        <v>108</v>
      </c>
      <c r="C130" s="121"/>
      <c r="D130" s="122">
        <v>45147</v>
      </c>
      <c r="E130" s="121"/>
      <c r="F130" s="121" t="s">
        <v>321</v>
      </c>
      <c r="G130" s="121"/>
      <c r="H130" s="121" t="s">
        <v>177</v>
      </c>
      <c r="I130" s="121"/>
      <c r="J130" s="121" t="s">
        <v>322</v>
      </c>
      <c r="K130" s="121"/>
      <c r="L130" s="121"/>
      <c r="M130" s="121"/>
      <c r="N130" s="123"/>
      <c r="O130" s="121"/>
      <c r="P130" s="121" t="s">
        <v>113</v>
      </c>
      <c r="Q130" s="121"/>
      <c r="R130" s="124">
        <v>20193.8</v>
      </c>
      <c r="S130" s="121"/>
      <c r="T130" s="124">
        <f t="shared" si="1"/>
        <v>279688.09000000003</v>
      </c>
    </row>
    <row r="131" spans="1:20" x14ac:dyDescent="0.4">
      <c r="A131" s="121"/>
      <c r="B131" s="121" t="s">
        <v>108</v>
      </c>
      <c r="C131" s="121"/>
      <c r="D131" s="122">
        <v>45161</v>
      </c>
      <c r="E131" s="121"/>
      <c r="F131" s="121" t="s">
        <v>323</v>
      </c>
      <c r="G131" s="121"/>
      <c r="H131" s="121" t="s">
        <v>177</v>
      </c>
      <c r="I131" s="121"/>
      <c r="J131" s="121" t="s">
        <v>324</v>
      </c>
      <c r="K131" s="121"/>
      <c r="L131" s="121"/>
      <c r="M131" s="121"/>
      <c r="N131" s="123"/>
      <c r="O131" s="121"/>
      <c r="P131" s="121" t="s">
        <v>113</v>
      </c>
      <c r="Q131" s="121"/>
      <c r="R131" s="124">
        <v>556.5</v>
      </c>
      <c r="S131" s="121"/>
      <c r="T131" s="124">
        <f t="shared" si="1"/>
        <v>280244.59000000003</v>
      </c>
    </row>
    <row r="132" spans="1:20" x14ac:dyDescent="0.4">
      <c r="A132" s="121"/>
      <c r="B132" s="121" t="s">
        <v>108</v>
      </c>
      <c r="C132" s="121"/>
      <c r="D132" s="122">
        <v>45208</v>
      </c>
      <c r="E132" s="121"/>
      <c r="F132" s="121" t="s">
        <v>325</v>
      </c>
      <c r="G132" s="121"/>
      <c r="H132" s="121" t="s">
        <v>305</v>
      </c>
      <c r="I132" s="121"/>
      <c r="J132" s="121" t="s">
        <v>326</v>
      </c>
      <c r="K132" s="121"/>
      <c r="L132" s="121"/>
      <c r="M132" s="121"/>
      <c r="N132" s="123"/>
      <c r="O132" s="121"/>
      <c r="P132" s="121" t="s">
        <v>113</v>
      </c>
      <c r="Q132" s="121"/>
      <c r="R132" s="124"/>
      <c r="S132" s="121"/>
      <c r="T132" s="124">
        <f t="shared" si="1"/>
        <v>280244.59000000003</v>
      </c>
    </row>
    <row r="133" spans="1:20" x14ac:dyDescent="0.4">
      <c r="A133" s="121"/>
      <c r="B133" s="121" t="s">
        <v>108</v>
      </c>
      <c r="C133" s="121"/>
      <c r="D133" s="122">
        <v>45261</v>
      </c>
      <c r="E133" s="121"/>
      <c r="F133" s="121" t="s">
        <v>327</v>
      </c>
      <c r="G133" s="121"/>
      <c r="H133" s="121" t="s">
        <v>298</v>
      </c>
      <c r="I133" s="121"/>
      <c r="J133" s="121" t="s">
        <v>328</v>
      </c>
      <c r="K133" s="121"/>
      <c r="L133" s="121"/>
      <c r="M133" s="121"/>
      <c r="N133" s="123"/>
      <c r="O133" s="121"/>
      <c r="P133" s="121" t="s">
        <v>113</v>
      </c>
      <c r="Q133" s="121"/>
      <c r="R133" s="124">
        <v>559.79</v>
      </c>
      <c r="S133" s="121"/>
      <c r="T133" s="124">
        <f t="shared" si="1"/>
        <v>280804.38</v>
      </c>
    </row>
    <row r="134" spans="1:20" x14ac:dyDescent="0.4">
      <c r="A134" s="121"/>
      <c r="B134" s="121" t="s">
        <v>135</v>
      </c>
      <c r="C134" s="121"/>
      <c r="D134" s="122">
        <v>45291</v>
      </c>
      <c r="E134" s="121"/>
      <c r="F134" s="121" t="s">
        <v>329</v>
      </c>
      <c r="G134" s="121"/>
      <c r="H134" s="121"/>
      <c r="I134" s="121"/>
      <c r="J134" s="121" t="s">
        <v>330</v>
      </c>
      <c r="K134" s="121"/>
      <c r="L134" s="121"/>
      <c r="M134" s="121"/>
      <c r="N134" s="123"/>
      <c r="O134" s="121"/>
      <c r="P134" s="121" t="s">
        <v>331</v>
      </c>
      <c r="Q134" s="121"/>
      <c r="R134" s="124">
        <v>-3778.08</v>
      </c>
      <c r="S134" s="121"/>
      <c r="T134" s="124">
        <f t="shared" si="1"/>
        <v>277026.3</v>
      </c>
    </row>
    <row r="135" spans="1:20" x14ac:dyDescent="0.4">
      <c r="A135" s="121"/>
      <c r="B135" s="121" t="s">
        <v>332</v>
      </c>
      <c r="C135" s="121"/>
      <c r="D135" s="122">
        <v>45390</v>
      </c>
      <c r="E135" s="121"/>
      <c r="F135" s="121"/>
      <c r="G135" s="121"/>
      <c r="H135" s="121"/>
      <c r="I135" s="121"/>
      <c r="J135" s="121" t="s">
        <v>333</v>
      </c>
      <c r="K135" s="121"/>
      <c r="L135" s="121"/>
      <c r="M135" s="121"/>
      <c r="N135" s="123"/>
      <c r="O135" s="121"/>
      <c r="P135" s="121" t="s">
        <v>205</v>
      </c>
      <c r="Q135" s="121"/>
      <c r="R135" s="124">
        <v>-1750.87</v>
      </c>
      <c r="S135" s="121"/>
      <c r="T135" s="124">
        <f t="shared" si="1"/>
        <v>275275.43</v>
      </c>
    </row>
    <row r="136" spans="1:20" x14ac:dyDescent="0.4">
      <c r="A136" s="121"/>
      <c r="B136" s="121" t="s">
        <v>108</v>
      </c>
      <c r="C136" s="121"/>
      <c r="D136" s="122">
        <v>45421</v>
      </c>
      <c r="E136" s="121"/>
      <c r="F136" s="121" t="s">
        <v>334</v>
      </c>
      <c r="G136" s="121"/>
      <c r="H136" s="121" t="s">
        <v>177</v>
      </c>
      <c r="I136" s="121"/>
      <c r="J136" s="121" t="s">
        <v>335</v>
      </c>
      <c r="K136" s="121"/>
      <c r="L136" s="121"/>
      <c r="M136" s="121"/>
      <c r="N136" s="123"/>
      <c r="O136" s="121"/>
      <c r="P136" s="121" t="s">
        <v>113</v>
      </c>
      <c r="Q136" s="121"/>
      <c r="R136" s="124">
        <v>7300.26</v>
      </c>
      <c r="S136" s="121"/>
      <c r="T136" s="124">
        <f t="shared" si="1"/>
        <v>282575.69</v>
      </c>
    </row>
    <row r="137" spans="1:20" x14ac:dyDescent="0.4">
      <c r="A137" s="121"/>
      <c r="B137" s="121" t="s">
        <v>108</v>
      </c>
      <c r="C137" s="121"/>
      <c r="D137" s="122">
        <v>45450</v>
      </c>
      <c r="E137" s="121"/>
      <c r="F137" s="121" t="s">
        <v>336</v>
      </c>
      <c r="G137" s="121"/>
      <c r="H137" s="121" t="s">
        <v>177</v>
      </c>
      <c r="I137" s="121"/>
      <c r="J137" s="121" t="s">
        <v>337</v>
      </c>
      <c r="K137" s="121"/>
      <c r="L137" s="121"/>
      <c r="M137" s="121"/>
      <c r="N137" s="123"/>
      <c r="O137" s="121"/>
      <c r="P137" s="121" t="s">
        <v>113</v>
      </c>
      <c r="Q137" s="121"/>
      <c r="R137" s="124">
        <v>10949.33</v>
      </c>
      <c r="S137" s="121"/>
      <c r="T137" s="124">
        <f t="shared" si="1"/>
        <v>293525.02</v>
      </c>
    </row>
    <row r="138" spans="1:20" x14ac:dyDescent="0.4">
      <c r="A138" s="121"/>
      <c r="B138" s="121" t="s">
        <v>332</v>
      </c>
      <c r="C138" s="121"/>
      <c r="D138" s="122">
        <v>45504</v>
      </c>
      <c r="E138" s="121"/>
      <c r="F138" s="121"/>
      <c r="G138" s="121"/>
      <c r="H138" s="121"/>
      <c r="I138" s="121"/>
      <c r="J138" s="121" t="s">
        <v>313</v>
      </c>
      <c r="K138" s="121"/>
      <c r="L138" s="121"/>
      <c r="M138" s="121"/>
      <c r="N138" s="123"/>
      <c r="O138" s="121"/>
      <c r="P138" s="121" t="s">
        <v>205</v>
      </c>
      <c r="Q138" s="121"/>
      <c r="R138" s="124">
        <v>-19134.54</v>
      </c>
      <c r="S138" s="121"/>
      <c r="T138" s="124">
        <f t="shared" ref="T138:T143" si="2">ROUND(T137+R138,5)</f>
        <v>274390.48</v>
      </c>
    </row>
    <row r="139" spans="1:20" x14ac:dyDescent="0.4">
      <c r="A139" s="121"/>
      <c r="B139" s="121" t="s">
        <v>135</v>
      </c>
      <c r="C139" s="121"/>
      <c r="D139" s="122">
        <v>45657</v>
      </c>
      <c r="E139" s="121"/>
      <c r="F139" s="121" t="s">
        <v>338</v>
      </c>
      <c r="G139" s="121"/>
      <c r="H139" s="121"/>
      <c r="I139" s="121"/>
      <c r="J139" s="121" t="s">
        <v>339</v>
      </c>
      <c r="K139" s="121"/>
      <c r="L139" s="121"/>
      <c r="M139" s="121"/>
      <c r="N139" s="123"/>
      <c r="O139" s="121"/>
      <c r="P139" s="121" t="s">
        <v>340</v>
      </c>
      <c r="Q139" s="121"/>
      <c r="R139" s="124">
        <v>1750.87</v>
      </c>
      <c r="S139" s="121"/>
      <c r="T139" s="124">
        <f t="shared" si="2"/>
        <v>276141.34999999998</v>
      </c>
    </row>
    <row r="140" spans="1:20" x14ac:dyDescent="0.4">
      <c r="A140" s="121"/>
      <c r="B140" s="121" t="s">
        <v>135</v>
      </c>
      <c r="C140" s="121"/>
      <c r="D140" s="122">
        <v>45657</v>
      </c>
      <c r="E140" s="121"/>
      <c r="F140" s="121" t="s">
        <v>341</v>
      </c>
      <c r="G140" s="121"/>
      <c r="H140" s="121"/>
      <c r="I140" s="121"/>
      <c r="J140" s="121" t="s">
        <v>342</v>
      </c>
      <c r="K140" s="121"/>
      <c r="L140" s="121"/>
      <c r="M140" s="121"/>
      <c r="N140" s="123"/>
      <c r="O140" s="121"/>
      <c r="P140" s="121" t="s">
        <v>343</v>
      </c>
      <c r="Q140" s="121"/>
      <c r="R140" s="124">
        <v>884.95</v>
      </c>
      <c r="S140" s="121"/>
      <c r="T140" s="124">
        <f t="shared" si="2"/>
        <v>277026.3</v>
      </c>
    </row>
    <row r="141" spans="1:20" x14ac:dyDescent="0.4">
      <c r="A141" s="121"/>
      <c r="B141" s="121" t="s">
        <v>108</v>
      </c>
      <c r="C141" s="121"/>
      <c r="D141" s="122">
        <v>45930</v>
      </c>
      <c r="E141" s="121"/>
      <c r="F141" s="121" t="s">
        <v>344</v>
      </c>
      <c r="G141" s="121"/>
      <c r="H141" s="121" t="s">
        <v>177</v>
      </c>
      <c r="I141" s="121"/>
      <c r="J141" s="121" t="s">
        <v>345</v>
      </c>
      <c r="K141" s="121"/>
      <c r="L141" s="121"/>
      <c r="M141" s="121"/>
      <c r="N141" s="123"/>
      <c r="O141" s="121"/>
      <c r="P141" s="121" t="s">
        <v>113</v>
      </c>
      <c r="Q141" s="121"/>
      <c r="R141" s="124">
        <v>24685.52</v>
      </c>
      <c r="S141" s="121"/>
      <c r="T141" s="124">
        <f t="shared" si="2"/>
        <v>301711.82</v>
      </c>
    </row>
    <row r="142" spans="1:20" x14ac:dyDescent="0.4">
      <c r="A142" s="121"/>
      <c r="B142" s="121" t="s">
        <v>108</v>
      </c>
      <c r="C142" s="121"/>
      <c r="D142" s="122">
        <v>45950</v>
      </c>
      <c r="E142" s="121"/>
      <c r="F142" s="121" t="s">
        <v>346</v>
      </c>
      <c r="G142" s="121"/>
      <c r="H142" s="121" t="s">
        <v>347</v>
      </c>
      <c r="I142" s="121"/>
      <c r="J142" s="121" t="s">
        <v>348</v>
      </c>
      <c r="K142" s="121"/>
      <c r="L142" s="121"/>
      <c r="M142" s="121"/>
      <c r="N142" s="123"/>
      <c r="O142" s="121"/>
      <c r="P142" s="121" t="s">
        <v>113</v>
      </c>
      <c r="Q142" s="121"/>
      <c r="R142" s="124">
        <v>7287.16</v>
      </c>
      <c r="S142" s="121"/>
      <c r="T142" s="124">
        <f t="shared" si="2"/>
        <v>308998.98</v>
      </c>
    </row>
    <row r="143" spans="1:20" ht="15" thickBot="1" x14ac:dyDescent="0.45">
      <c r="A143" s="121"/>
      <c r="B143" s="121" t="s">
        <v>108</v>
      </c>
      <c r="C143" s="121"/>
      <c r="D143" s="122">
        <v>45961</v>
      </c>
      <c r="E143" s="121"/>
      <c r="F143" s="121" t="s">
        <v>349</v>
      </c>
      <c r="G143" s="121"/>
      <c r="H143" s="121" t="s">
        <v>177</v>
      </c>
      <c r="I143" s="121"/>
      <c r="J143" s="121" t="s">
        <v>350</v>
      </c>
      <c r="K143" s="121"/>
      <c r="L143" s="121"/>
      <c r="M143" s="121"/>
      <c r="N143" s="123"/>
      <c r="O143" s="121"/>
      <c r="P143" s="121" t="s">
        <v>113</v>
      </c>
      <c r="Q143" s="121"/>
      <c r="R143" s="124">
        <v>1060</v>
      </c>
      <c r="S143" s="121"/>
      <c r="T143" s="124">
        <f t="shared" si="2"/>
        <v>310058.98</v>
      </c>
    </row>
    <row r="144" spans="1:20" ht="15" thickBot="1" x14ac:dyDescent="0.45">
      <c r="A144" s="121"/>
      <c r="B144" s="121"/>
      <c r="C144" s="121"/>
      <c r="D144" s="121"/>
      <c r="E144" s="121" t="s">
        <v>351</v>
      </c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5">
        <v>310058.98</v>
      </c>
      <c r="S144" s="121"/>
      <c r="T144" s="125">
        <v>310058.98</v>
      </c>
    </row>
    <row r="145" spans="1:20" ht="15" thickBot="1" x14ac:dyDescent="0.45">
      <c r="A145" s="121"/>
      <c r="B145" s="121"/>
      <c r="C145" s="121"/>
      <c r="D145" s="121" t="s">
        <v>352</v>
      </c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5">
        <f>R144</f>
        <v>310058.98</v>
      </c>
      <c r="S145" s="121"/>
      <c r="T145" s="125">
        <f>T144</f>
        <v>310058.98</v>
      </c>
    </row>
    <row r="146" spans="1:20" ht="15" thickBot="1" x14ac:dyDescent="0.45">
      <c r="A146" s="121"/>
      <c r="B146" s="121"/>
      <c r="C146" s="121" t="s">
        <v>353</v>
      </c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5">
        <f>R145</f>
        <v>310058.98</v>
      </c>
      <c r="S146" s="121"/>
      <c r="T146" s="125">
        <f>T145</f>
        <v>310058.98</v>
      </c>
    </row>
    <row r="147" spans="1:20" s="127" customFormat="1" ht="10.75" thickBot="1" x14ac:dyDescent="0.3">
      <c r="A147" s="117"/>
      <c r="B147" s="117" t="s">
        <v>33</v>
      </c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26">
        <f>R146</f>
        <v>310058.98</v>
      </c>
      <c r="S147" s="117"/>
      <c r="T147" s="126">
        <f>T146</f>
        <v>310058.98</v>
      </c>
    </row>
    <row r="148" spans="1:20" ht="15" thickTop="1" x14ac:dyDescent="0.4"/>
    <row r="150" spans="1:20" ht="15.45" x14ac:dyDescent="0.4">
      <c r="A150" s="128"/>
      <c r="B150" s="129" t="s">
        <v>92</v>
      </c>
      <c r="C150" s="128"/>
      <c r="D150" s="128"/>
      <c r="E150" s="128"/>
      <c r="H150" s="134" t="s">
        <v>354</v>
      </c>
    </row>
    <row r="151" spans="1:20" ht="17.600000000000001" x14ac:dyDescent="0.4">
      <c r="A151" s="128"/>
      <c r="B151" s="130" t="s">
        <v>95</v>
      </c>
      <c r="C151" s="128"/>
      <c r="D151" s="128"/>
      <c r="E151" s="128"/>
    </row>
    <row r="152" spans="1:20" x14ac:dyDescent="0.4">
      <c r="A152" s="128"/>
      <c r="B152" s="131" t="s">
        <v>96</v>
      </c>
      <c r="C152" s="128"/>
      <c r="D152" s="128"/>
      <c r="E152" s="128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11" t="s">
        <v>355</v>
      </c>
    </row>
    <row r="153" spans="1:20" x14ac:dyDescent="0.4">
      <c r="A153" s="115"/>
      <c r="B153" s="115"/>
      <c r="C153" s="115"/>
      <c r="D153" s="115"/>
      <c r="E153" s="115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13">
        <v>46065</v>
      </c>
    </row>
    <row r="154" spans="1:20" x14ac:dyDescent="0.4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11" t="s">
        <v>97</v>
      </c>
    </row>
    <row r="155" spans="1:20" ht="15" thickBot="1" x14ac:dyDescent="0.45">
      <c r="B155" s="116" t="s">
        <v>98</v>
      </c>
      <c r="C155" s="115"/>
      <c r="D155" s="116" t="s">
        <v>99</v>
      </c>
      <c r="E155" s="115"/>
      <c r="F155" s="116" t="s">
        <v>100</v>
      </c>
      <c r="G155" s="115"/>
      <c r="H155" s="116" t="s">
        <v>101</v>
      </c>
      <c r="I155" s="115"/>
      <c r="J155" s="116" t="s">
        <v>102</v>
      </c>
      <c r="K155" s="115"/>
      <c r="L155" s="116" t="s">
        <v>103</v>
      </c>
      <c r="M155" s="115"/>
      <c r="N155" s="116" t="s">
        <v>104</v>
      </c>
      <c r="O155" s="115"/>
      <c r="P155" s="116" t="s">
        <v>105</v>
      </c>
      <c r="Q155" s="115"/>
      <c r="R155" s="116" t="s">
        <v>106</v>
      </c>
      <c r="S155" s="115"/>
      <c r="T155" s="116" t="s">
        <v>107</v>
      </c>
    </row>
    <row r="156" spans="1:20" ht="15" thickTop="1" x14ac:dyDescent="0.4">
      <c r="B156" s="117"/>
      <c r="C156" s="117"/>
      <c r="D156" s="118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9"/>
      <c r="S156" s="117"/>
      <c r="T156" s="119">
        <v>0</v>
      </c>
    </row>
    <row r="157" spans="1:20" x14ac:dyDescent="0.4">
      <c r="B157" s="117"/>
      <c r="C157" s="117"/>
      <c r="D157" s="118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9"/>
      <c r="S157" s="117"/>
      <c r="T157" s="119">
        <v>0</v>
      </c>
    </row>
    <row r="158" spans="1:20" x14ac:dyDescent="0.4">
      <c r="B158" s="117"/>
      <c r="C158" s="117"/>
      <c r="D158" s="118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9"/>
      <c r="S158" s="117"/>
      <c r="T158" s="119">
        <v>0</v>
      </c>
    </row>
    <row r="159" spans="1:20" x14ac:dyDescent="0.4">
      <c r="B159" s="117"/>
      <c r="C159" s="117"/>
      <c r="D159" s="118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9"/>
      <c r="S159" s="117"/>
      <c r="T159" s="119">
        <v>0</v>
      </c>
    </row>
    <row r="160" spans="1:20" x14ac:dyDescent="0.4">
      <c r="B160" s="121" t="s">
        <v>135</v>
      </c>
      <c r="C160" s="121"/>
      <c r="D160" s="122">
        <v>42735</v>
      </c>
      <c r="E160" s="121"/>
      <c r="F160" s="121" t="s">
        <v>252</v>
      </c>
      <c r="G160" s="121"/>
      <c r="H160" s="121"/>
      <c r="I160" s="121"/>
      <c r="J160" s="121" t="s">
        <v>253</v>
      </c>
      <c r="K160" s="121"/>
      <c r="L160" s="121"/>
      <c r="M160" s="121"/>
      <c r="N160" s="123"/>
      <c r="O160" s="121"/>
      <c r="P160" s="121" t="s">
        <v>356</v>
      </c>
      <c r="Q160" s="121"/>
      <c r="R160" s="124">
        <v>-48390</v>
      </c>
      <c r="S160" s="121"/>
      <c r="T160" s="124">
        <f t="shared" ref="T160:T223" si="3">ROUND(T159+R160,5)</f>
        <v>-48390</v>
      </c>
    </row>
    <row r="161" spans="2:20" x14ac:dyDescent="0.4">
      <c r="B161" s="121" t="s">
        <v>135</v>
      </c>
      <c r="C161" s="121"/>
      <c r="D161" s="122">
        <v>42766</v>
      </c>
      <c r="E161" s="121"/>
      <c r="F161" s="121" t="s">
        <v>164</v>
      </c>
      <c r="G161" s="121"/>
      <c r="H161" s="121" t="s">
        <v>165</v>
      </c>
      <c r="I161" s="121"/>
      <c r="J161" s="121" t="s">
        <v>357</v>
      </c>
      <c r="K161" s="121"/>
      <c r="L161" s="121"/>
      <c r="M161" s="121"/>
      <c r="N161" s="123"/>
      <c r="O161" s="121"/>
      <c r="P161" s="121" t="s">
        <v>167</v>
      </c>
      <c r="Q161" s="121"/>
      <c r="R161" s="124">
        <v>-4696</v>
      </c>
      <c r="S161" s="121"/>
      <c r="T161" s="124">
        <f t="shared" si="3"/>
        <v>-53086</v>
      </c>
    </row>
    <row r="162" spans="2:20" x14ac:dyDescent="0.4">
      <c r="B162" s="121" t="s">
        <v>135</v>
      </c>
      <c r="C162" s="121"/>
      <c r="D162" s="122">
        <v>42766</v>
      </c>
      <c r="E162" s="121"/>
      <c r="F162" s="121" t="s">
        <v>212</v>
      </c>
      <c r="G162" s="121"/>
      <c r="H162" s="121"/>
      <c r="I162" s="121"/>
      <c r="J162" s="121" t="s">
        <v>358</v>
      </c>
      <c r="K162" s="121"/>
      <c r="L162" s="121"/>
      <c r="M162" s="121"/>
      <c r="N162" s="123"/>
      <c r="O162" s="121"/>
      <c r="P162" s="121" t="s">
        <v>214</v>
      </c>
      <c r="Q162" s="121"/>
      <c r="R162" s="124">
        <v>1</v>
      </c>
      <c r="S162" s="121"/>
      <c r="T162" s="124">
        <f t="shared" si="3"/>
        <v>-53085</v>
      </c>
    </row>
    <row r="163" spans="2:20" x14ac:dyDescent="0.4">
      <c r="B163" s="121" t="s">
        <v>135</v>
      </c>
      <c r="C163" s="121"/>
      <c r="D163" s="122">
        <v>42794</v>
      </c>
      <c r="E163" s="121"/>
      <c r="F163" s="121" t="s">
        <v>164</v>
      </c>
      <c r="G163" s="121"/>
      <c r="H163" s="121" t="s">
        <v>165</v>
      </c>
      <c r="I163" s="121"/>
      <c r="J163" s="121" t="s">
        <v>359</v>
      </c>
      <c r="K163" s="121"/>
      <c r="L163" s="121"/>
      <c r="M163" s="121"/>
      <c r="N163" s="123"/>
      <c r="O163" s="121"/>
      <c r="P163" s="121" t="s">
        <v>167</v>
      </c>
      <c r="Q163" s="121"/>
      <c r="R163" s="124">
        <v>-4675</v>
      </c>
      <c r="S163" s="121"/>
      <c r="T163" s="124">
        <f t="shared" si="3"/>
        <v>-57760</v>
      </c>
    </row>
    <row r="164" spans="2:20" x14ac:dyDescent="0.4">
      <c r="B164" s="121" t="s">
        <v>135</v>
      </c>
      <c r="C164" s="121"/>
      <c r="D164" s="122">
        <v>42794</v>
      </c>
      <c r="E164" s="121"/>
      <c r="F164" s="121" t="s">
        <v>212</v>
      </c>
      <c r="G164" s="121"/>
      <c r="H164" s="121"/>
      <c r="I164" s="121"/>
      <c r="J164" s="121" t="s">
        <v>360</v>
      </c>
      <c r="K164" s="121"/>
      <c r="L164" s="121"/>
      <c r="M164" s="121"/>
      <c r="N164" s="123"/>
      <c r="O164" s="121"/>
      <c r="P164" s="121" t="s">
        <v>214</v>
      </c>
      <c r="Q164" s="121"/>
      <c r="R164" s="124">
        <v>2</v>
      </c>
      <c r="S164" s="121"/>
      <c r="T164" s="124">
        <f t="shared" si="3"/>
        <v>-57758</v>
      </c>
    </row>
    <row r="165" spans="2:20" x14ac:dyDescent="0.4">
      <c r="B165" s="121" t="s">
        <v>135</v>
      </c>
      <c r="C165" s="121"/>
      <c r="D165" s="122">
        <v>42825</v>
      </c>
      <c r="E165" s="121"/>
      <c r="F165" s="121" t="s">
        <v>164</v>
      </c>
      <c r="G165" s="121"/>
      <c r="H165" s="121" t="s">
        <v>165</v>
      </c>
      <c r="I165" s="121"/>
      <c r="J165" s="121" t="s">
        <v>361</v>
      </c>
      <c r="K165" s="121"/>
      <c r="L165" s="121"/>
      <c r="M165" s="121"/>
      <c r="N165" s="123"/>
      <c r="O165" s="121"/>
      <c r="P165" s="121" t="s">
        <v>167</v>
      </c>
      <c r="Q165" s="121"/>
      <c r="R165" s="124">
        <v>-4659</v>
      </c>
      <c r="S165" s="121"/>
      <c r="T165" s="124">
        <f t="shared" si="3"/>
        <v>-62417</v>
      </c>
    </row>
    <row r="166" spans="2:20" x14ac:dyDescent="0.4">
      <c r="B166" s="121" t="s">
        <v>135</v>
      </c>
      <c r="C166" s="121"/>
      <c r="D166" s="122">
        <v>42825</v>
      </c>
      <c r="E166" s="121"/>
      <c r="F166" s="121" t="s">
        <v>212</v>
      </c>
      <c r="G166" s="121"/>
      <c r="H166" s="121"/>
      <c r="I166" s="121"/>
      <c r="J166" s="121" t="s">
        <v>362</v>
      </c>
      <c r="K166" s="121"/>
      <c r="L166" s="121"/>
      <c r="M166" s="121"/>
      <c r="N166" s="123"/>
      <c r="O166" s="121"/>
      <c r="P166" s="121" t="s">
        <v>214</v>
      </c>
      <c r="Q166" s="121"/>
      <c r="R166" s="124">
        <v>2</v>
      </c>
      <c r="S166" s="121"/>
      <c r="T166" s="124">
        <f t="shared" si="3"/>
        <v>-62415</v>
      </c>
    </row>
    <row r="167" spans="2:20" x14ac:dyDescent="0.4">
      <c r="B167" s="121" t="s">
        <v>135</v>
      </c>
      <c r="C167" s="121"/>
      <c r="D167" s="122">
        <v>42855</v>
      </c>
      <c r="E167" s="121"/>
      <c r="F167" s="121" t="s">
        <v>164</v>
      </c>
      <c r="G167" s="121"/>
      <c r="H167" s="121" t="s">
        <v>165</v>
      </c>
      <c r="I167" s="121"/>
      <c r="J167" s="121" t="s">
        <v>363</v>
      </c>
      <c r="K167" s="121"/>
      <c r="L167" s="121"/>
      <c r="M167" s="121"/>
      <c r="N167" s="123"/>
      <c r="O167" s="121"/>
      <c r="P167" s="121" t="s">
        <v>167</v>
      </c>
      <c r="Q167" s="121"/>
      <c r="R167" s="124">
        <v>-4587</v>
      </c>
      <c r="S167" s="121"/>
      <c r="T167" s="124">
        <f t="shared" si="3"/>
        <v>-67002</v>
      </c>
    </row>
    <row r="168" spans="2:20" x14ac:dyDescent="0.4">
      <c r="B168" s="121" t="s">
        <v>135</v>
      </c>
      <c r="C168" s="121"/>
      <c r="D168" s="122">
        <v>42855</v>
      </c>
      <c r="E168" s="121"/>
      <c r="F168" s="121" t="s">
        <v>212</v>
      </c>
      <c r="G168" s="121"/>
      <c r="H168" s="121"/>
      <c r="I168" s="121"/>
      <c r="J168" s="121" t="s">
        <v>364</v>
      </c>
      <c r="K168" s="121"/>
      <c r="L168" s="121"/>
      <c r="M168" s="121"/>
      <c r="N168" s="123"/>
      <c r="O168" s="121"/>
      <c r="P168" s="121" t="s">
        <v>214</v>
      </c>
      <c r="Q168" s="121"/>
      <c r="R168" s="124">
        <v>3</v>
      </c>
      <c r="S168" s="121"/>
      <c r="T168" s="124">
        <f t="shared" si="3"/>
        <v>-66999</v>
      </c>
    </row>
    <row r="169" spans="2:20" x14ac:dyDescent="0.4">
      <c r="B169" s="121" t="s">
        <v>135</v>
      </c>
      <c r="C169" s="121"/>
      <c r="D169" s="122">
        <v>42886</v>
      </c>
      <c r="E169" s="121"/>
      <c r="F169" s="121" t="s">
        <v>164</v>
      </c>
      <c r="G169" s="121"/>
      <c r="H169" s="121" t="s">
        <v>165</v>
      </c>
      <c r="I169" s="121"/>
      <c r="J169" s="121" t="s">
        <v>365</v>
      </c>
      <c r="K169" s="121"/>
      <c r="L169" s="121"/>
      <c r="M169" s="121"/>
      <c r="N169" s="123"/>
      <c r="O169" s="121"/>
      <c r="P169" s="121" t="s">
        <v>167</v>
      </c>
      <c r="Q169" s="121"/>
      <c r="R169" s="124">
        <v>-4487</v>
      </c>
      <c r="S169" s="121"/>
      <c r="T169" s="124">
        <f t="shared" si="3"/>
        <v>-71486</v>
      </c>
    </row>
    <row r="170" spans="2:20" x14ac:dyDescent="0.4">
      <c r="B170" s="121" t="s">
        <v>135</v>
      </c>
      <c r="C170" s="121"/>
      <c r="D170" s="122">
        <v>42886</v>
      </c>
      <c r="E170" s="121"/>
      <c r="F170" s="121" t="s">
        <v>212</v>
      </c>
      <c r="G170" s="121"/>
      <c r="H170" s="121"/>
      <c r="I170" s="121"/>
      <c r="J170" s="121" t="s">
        <v>366</v>
      </c>
      <c r="K170" s="121"/>
      <c r="L170" s="121"/>
      <c r="M170" s="121"/>
      <c r="N170" s="123"/>
      <c r="O170" s="121"/>
      <c r="P170" s="121" t="s">
        <v>214</v>
      </c>
      <c r="Q170" s="121"/>
      <c r="R170" s="124">
        <v>9</v>
      </c>
      <c r="S170" s="121"/>
      <c r="T170" s="124">
        <f t="shared" si="3"/>
        <v>-71477</v>
      </c>
    </row>
    <row r="171" spans="2:20" x14ac:dyDescent="0.4">
      <c r="B171" s="121" t="s">
        <v>135</v>
      </c>
      <c r="C171" s="121"/>
      <c r="D171" s="122">
        <v>42916</v>
      </c>
      <c r="E171" s="121"/>
      <c r="F171" s="121" t="s">
        <v>164</v>
      </c>
      <c r="G171" s="121"/>
      <c r="H171" s="121" t="s">
        <v>165</v>
      </c>
      <c r="I171" s="121"/>
      <c r="J171" s="121" t="s">
        <v>367</v>
      </c>
      <c r="K171" s="121"/>
      <c r="L171" s="121"/>
      <c r="M171" s="121"/>
      <c r="N171" s="123"/>
      <c r="O171" s="121"/>
      <c r="P171" s="121" t="s">
        <v>167</v>
      </c>
      <c r="Q171" s="121"/>
      <c r="R171" s="124">
        <v>-4377</v>
      </c>
      <c r="S171" s="121"/>
      <c r="T171" s="124">
        <f t="shared" si="3"/>
        <v>-75854</v>
      </c>
    </row>
    <row r="172" spans="2:20" x14ac:dyDescent="0.4">
      <c r="B172" s="121" t="s">
        <v>135</v>
      </c>
      <c r="C172" s="121"/>
      <c r="D172" s="122">
        <v>42916</v>
      </c>
      <c r="E172" s="121"/>
      <c r="F172" s="121" t="s">
        <v>212</v>
      </c>
      <c r="G172" s="121"/>
      <c r="H172" s="121"/>
      <c r="I172" s="121"/>
      <c r="J172" s="121" t="s">
        <v>368</v>
      </c>
      <c r="K172" s="121"/>
      <c r="L172" s="121"/>
      <c r="M172" s="121"/>
      <c r="N172" s="123"/>
      <c r="O172" s="121"/>
      <c r="P172" s="121" t="s">
        <v>214</v>
      </c>
      <c r="Q172" s="121"/>
      <c r="R172" s="124">
        <v>2</v>
      </c>
      <c r="S172" s="121"/>
      <c r="T172" s="124">
        <f t="shared" si="3"/>
        <v>-75852</v>
      </c>
    </row>
    <row r="173" spans="2:20" x14ac:dyDescent="0.4">
      <c r="B173" s="121" t="s">
        <v>135</v>
      </c>
      <c r="C173" s="121"/>
      <c r="D173" s="122">
        <v>42947</v>
      </c>
      <c r="E173" s="121"/>
      <c r="F173" s="121" t="s">
        <v>164</v>
      </c>
      <c r="G173" s="121"/>
      <c r="H173" s="121" t="s">
        <v>165</v>
      </c>
      <c r="I173" s="121"/>
      <c r="J173" s="121" t="s">
        <v>369</v>
      </c>
      <c r="K173" s="121"/>
      <c r="L173" s="121"/>
      <c r="M173" s="121"/>
      <c r="N173" s="123"/>
      <c r="O173" s="121"/>
      <c r="P173" s="121" t="s">
        <v>167</v>
      </c>
      <c r="Q173" s="121"/>
      <c r="R173" s="124">
        <v>-4381</v>
      </c>
      <c r="S173" s="121"/>
      <c r="T173" s="124">
        <f t="shared" si="3"/>
        <v>-80233</v>
      </c>
    </row>
    <row r="174" spans="2:20" x14ac:dyDescent="0.4">
      <c r="B174" s="121" t="s">
        <v>135</v>
      </c>
      <c r="C174" s="121"/>
      <c r="D174" s="122">
        <v>42978</v>
      </c>
      <c r="E174" s="121"/>
      <c r="F174" s="121" t="s">
        <v>164</v>
      </c>
      <c r="G174" s="121"/>
      <c r="H174" s="121" t="s">
        <v>165</v>
      </c>
      <c r="I174" s="121"/>
      <c r="J174" s="121" t="s">
        <v>370</v>
      </c>
      <c r="K174" s="121"/>
      <c r="L174" s="121"/>
      <c r="M174" s="121"/>
      <c r="N174" s="123"/>
      <c r="O174" s="121"/>
      <c r="P174" s="121" t="s">
        <v>167</v>
      </c>
      <c r="Q174" s="121"/>
      <c r="R174" s="124">
        <v>-4330</v>
      </c>
      <c r="S174" s="121"/>
      <c r="T174" s="124">
        <f t="shared" si="3"/>
        <v>-84563</v>
      </c>
    </row>
    <row r="175" spans="2:20" x14ac:dyDescent="0.4">
      <c r="B175" s="121" t="s">
        <v>135</v>
      </c>
      <c r="C175" s="121"/>
      <c r="D175" s="122">
        <v>43008</v>
      </c>
      <c r="E175" s="121"/>
      <c r="F175" s="121" t="s">
        <v>164</v>
      </c>
      <c r="G175" s="121"/>
      <c r="H175" s="121" t="s">
        <v>165</v>
      </c>
      <c r="I175" s="121"/>
      <c r="J175" s="121" t="s">
        <v>371</v>
      </c>
      <c r="K175" s="121"/>
      <c r="L175" s="121"/>
      <c r="M175" s="121"/>
      <c r="N175" s="123"/>
      <c r="O175" s="121"/>
      <c r="P175" s="121" t="s">
        <v>167</v>
      </c>
      <c r="Q175" s="121"/>
      <c r="R175" s="124">
        <v>-4374</v>
      </c>
      <c r="S175" s="121"/>
      <c r="T175" s="124">
        <f t="shared" si="3"/>
        <v>-88937</v>
      </c>
    </row>
    <row r="176" spans="2:20" x14ac:dyDescent="0.4">
      <c r="B176" s="121" t="s">
        <v>135</v>
      </c>
      <c r="C176" s="121"/>
      <c r="D176" s="122">
        <v>43008</v>
      </c>
      <c r="E176" s="121"/>
      <c r="F176" s="121" t="s">
        <v>212</v>
      </c>
      <c r="G176" s="121"/>
      <c r="H176" s="121"/>
      <c r="I176" s="121"/>
      <c r="J176" s="121" t="s">
        <v>372</v>
      </c>
      <c r="K176" s="121"/>
      <c r="L176" s="121"/>
      <c r="M176" s="121"/>
      <c r="N176" s="123"/>
      <c r="O176" s="121"/>
      <c r="P176" s="121" t="s">
        <v>225</v>
      </c>
      <c r="Q176" s="121"/>
      <c r="R176" s="124">
        <v>2</v>
      </c>
      <c r="S176" s="121"/>
      <c r="T176" s="124">
        <f t="shared" si="3"/>
        <v>-88935</v>
      </c>
    </row>
    <row r="177" spans="2:20" x14ac:dyDescent="0.4">
      <c r="B177" s="121" t="s">
        <v>135</v>
      </c>
      <c r="C177" s="121"/>
      <c r="D177" s="122">
        <v>43039</v>
      </c>
      <c r="E177" s="121"/>
      <c r="F177" s="121" t="s">
        <v>164</v>
      </c>
      <c r="G177" s="121"/>
      <c r="H177" s="121" t="s">
        <v>165</v>
      </c>
      <c r="I177" s="121"/>
      <c r="J177" s="121" t="s">
        <v>373</v>
      </c>
      <c r="K177" s="121"/>
      <c r="L177" s="121"/>
      <c r="M177" s="121"/>
      <c r="N177" s="123"/>
      <c r="O177" s="121"/>
      <c r="P177" s="121" t="s">
        <v>167</v>
      </c>
      <c r="Q177" s="121"/>
      <c r="R177" s="124">
        <v>-4513</v>
      </c>
      <c r="S177" s="121"/>
      <c r="T177" s="124">
        <f t="shared" si="3"/>
        <v>-93448</v>
      </c>
    </row>
    <row r="178" spans="2:20" x14ac:dyDescent="0.4">
      <c r="B178" s="121" t="s">
        <v>135</v>
      </c>
      <c r="C178" s="121"/>
      <c r="D178" s="122">
        <v>43039</v>
      </c>
      <c r="E178" s="121"/>
      <c r="F178" s="121" t="s">
        <v>212</v>
      </c>
      <c r="G178" s="121"/>
      <c r="H178" s="121"/>
      <c r="I178" s="121"/>
      <c r="J178" s="121" t="s">
        <v>374</v>
      </c>
      <c r="K178" s="121"/>
      <c r="L178" s="121"/>
      <c r="M178" s="121"/>
      <c r="N178" s="123"/>
      <c r="O178" s="121"/>
      <c r="P178" s="121" t="s">
        <v>225</v>
      </c>
      <c r="Q178" s="121"/>
      <c r="R178" s="124">
        <v>4</v>
      </c>
      <c r="S178" s="121"/>
      <c r="T178" s="124">
        <f t="shared" si="3"/>
        <v>-93444</v>
      </c>
    </row>
    <row r="179" spans="2:20" x14ac:dyDescent="0.4">
      <c r="B179" s="121" t="s">
        <v>135</v>
      </c>
      <c r="C179" s="121"/>
      <c r="D179" s="122">
        <v>43069</v>
      </c>
      <c r="E179" s="121"/>
      <c r="F179" s="121" t="s">
        <v>164</v>
      </c>
      <c r="G179" s="121"/>
      <c r="H179" s="121" t="s">
        <v>165</v>
      </c>
      <c r="I179" s="121"/>
      <c r="J179" s="121" t="s">
        <v>375</v>
      </c>
      <c r="K179" s="121"/>
      <c r="L179" s="121"/>
      <c r="M179" s="121"/>
      <c r="N179" s="123"/>
      <c r="O179" s="121"/>
      <c r="P179" s="121" t="s">
        <v>167</v>
      </c>
      <c r="Q179" s="121"/>
      <c r="R179" s="124">
        <v>-4610</v>
      </c>
      <c r="S179" s="121"/>
      <c r="T179" s="124">
        <f t="shared" si="3"/>
        <v>-98054</v>
      </c>
    </row>
    <row r="180" spans="2:20" x14ac:dyDescent="0.4">
      <c r="B180" s="121" t="s">
        <v>135</v>
      </c>
      <c r="C180" s="121"/>
      <c r="D180" s="122">
        <v>43069</v>
      </c>
      <c r="E180" s="121"/>
      <c r="F180" s="121" t="s">
        <v>212</v>
      </c>
      <c r="G180" s="121"/>
      <c r="H180" s="121"/>
      <c r="I180" s="121"/>
      <c r="J180" s="121" t="s">
        <v>376</v>
      </c>
      <c r="K180" s="121"/>
      <c r="L180" s="121"/>
      <c r="M180" s="121"/>
      <c r="N180" s="123"/>
      <c r="O180" s="121"/>
      <c r="P180" s="121" t="s">
        <v>377</v>
      </c>
      <c r="Q180" s="121"/>
      <c r="R180" s="124">
        <v>14</v>
      </c>
      <c r="S180" s="121"/>
      <c r="T180" s="124">
        <f t="shared" si="3"/>
        <v>-98040</v>
      </c>
    </row>
    <row r="181" spans="2:20" x14ac:dyDescent="0.4">
      <c r="B181" s="121" t="s">
        <v>135</v>
      </c>
      <c r="C181" s="121"/>
      <c r="D181" s="122">
        <v>43100</v>
      </c>
      <c r="E181" s="121"/>
      <c r="F181" s="121" t="s">
        <v>164</v>
      </c>
      <c r="G181" s="121"/>
      <c r="H181" s="121" t="s">
        <v>165</v>
      </c>
      <c r="I181" s="121"/>
      <c r="J181" s="121" t="s">
        <v>378</v>
      </c>
      <c r="K181" s="121"/>
      <c r="L181" s="121"/>
      <c r="M181" s="121"/>
      <c r="N181" s="123"/>
      <c r="O181" s="121"/>
      <c r="P181" s="121" t="s">
        <v>167</v>
      </c>
      <c r="Q181" s="121"/>
      <c r="R181" s="124">
        <v>-4655</v>
      </c>
      <c r="S181" s="121"/>
      <c r="T181" s="124">
        <f t="shared" si="3"/>
        <v>-102695</v>
      </c>
    </row>
    <row r="182" spans="2:20" x14ac:dyDescent="0.4">
      <c r="B182" s="121" t="s">
        <v>135</v>
      </c>
      <c r="C182" s="121"/>
      <c r="D182" s="122">
        <v>43100</v>
      </c>
      <c r="E182" s="121"/>
      <c r="F182" s="121" t="s">
        <v>212</v>
      </c>
      <c r="G182" s="121"/>
      <c r="H182" s="121"/>
      <c r="I182" s="121"/>
      <c r="J182" s="121" t="s">
        <v>379</v>
      </c>
      <c r="K182" s="121"/>
      <c r="L182" s="121"/>
      <c r="M182" s="121"/>
      <c r="N182" s="123"/>
      <c r="O182" s="121"/>
      <c r="P182" s="121" t="s">
        <v>377</v>
      </c>
      <c r="Q182" s="121"/>
      <c r="R182" s="124">
        <v>1</v>
      </c>
      <c r="S182" s="121"/>
      <c r="T182" s="124">
        <f t="shared" si="3"/>
        <v>-102694</v>
      </c>
    </row>
    <row r="183" spans="2:20" x14ac:dyDescent="0.4">
      <c r="B183" s="121" t="s">
        <v>135</v>
      </c>
      <c r="C183" s="121"/>
      <c r="D183" s="122">
        <v>43100</v>
      </c>
      <c r="E183" s="121"/>
      <c r="F183" s="121" t="s">
        <v>380</v>
      </c>
      <c r="G183" s="121"/>
      <c r="H183" s="121" t="s">
        <v>158</v>
      </c>
      <c r="I183" s="121"/>
      <c r="J183" s="121" t="s">
        <v>381</v>
      </c>
      <c r="K183" s="121"/>
      <c r="L183" s="121"/>
      <c r="M183" s="121"/>
      <c r="N183" s="123"/>
      <c r="O183" s="121"/>
      <c r="P183" s="121" t="s">
        <v>160</v>
      </c>
      <c r="Q183" s="121"/>
      <c r="R183" s="124">
        <v>-5718</v>
      </c>
      <c r="S183" s="121"/>
      <c r="T183" s="124">
        <f t="shared" si="3"/>
        <v>-108412</v>
      </c>
    </row>
    <row r="184" spans="2:20" x14ac:dyDescent="0.4">
      <c r="B184" s="121" t="s">
        <v>135</v>
      </c>
      <c r="C184" s="121"/>
      <c r="D184" s="122">
        <v>43131</v>
      </c>
      <c r="E184" s="121"/>
      <c r="F184" s="121" t="s">
        <v>164</v>
      </c>
      <c r="G184" s="121"/>
      <c r="H184" s="121" t="s">
        <v>165</v>
      </c>
      <c r="I184" s="121"/>
      <c r="J184" s="121" t="s">
        <v>382</v>
      </c>
      <c r="K184" s="121"/>
      <c r="L184" s="121"/>
      <c r="M184" s="121"/>
      <c r="N184" s="123"/>
      <c r="O184" s="121"/>
      <c r="P184" s="121" t="s">
        <v>167</v>
      </c>
      <c r="Q184" s="121"/>
      <c r="R184" s="124">
        <v>-4617</v>
      </c>
      <c r="S184" s="121"/>
      <c r="T184" s="124">
        <f t="shared" si="3"/>
        <v>-113029</v>
      </c>
    </row>
    <row r="185" spans="2:20" x14ac:dyDescent="0.4">
      <c r="B185" s="121" t="s">
        <v>135</v>
      </c>
      <c r="C185" s="121"/>
      <c r="D185" s="122">
        <v>43131</v>
      </c>
      <c r="E185" s="121"/>
      <c r="F185" s="121" t="s">
        <v>212</v>
      </c>
      <c r="G185" s="121"/>
      <c r="H185" s="121"/>
      <c r="I185" s="121"/>
      <c r="J185" s="121" t="s">
        <v>360</v>
      </c>
      <c r="K185" s="121"/>
      <c r="L185" s="121"/>
      <c r="M185" s="121"/>
      <c r="N185" s="123"/>
      <c r="O185" s="121"/>
      <c r="P185" s="121" t="s">
        <v>214</v>
      </c>
      <c r="Q185" s="121"/>
      <c r="R185" s="124">
        <v>5</v>
      </c>
      <c r="S185" s="121"/>
      <c r="T185" s="124">
        <f t="shared" si="3"/>
        <v>-113024</v>
      </c>
    </row>
    <row r="186" spans="2:20" x14ac:dyDescent="0.4">
      <c r="B186" s="121" t="s">
        <v>135</v>
      </c>
      <c r="C186" s="121"/>
      <c r="D186" s="122">
        <v>43159</v>
      </c>
      <c r="E186" s="121"/>
      <c r="F186" s="121" t="s">
        <v>164</v>
      </c>
      <c r="G186" s="121"/>
      <c r="H186" s="121" t="s">
        <v>165</v>
      </c>
      <c r="I186" s="121"/>
      <c r="J186" s="121" t="s">
        <v>383</v>
      </c>
      <c r="K186" s="121"/>
      <c r="L186" s="121"/>
      <c r="M186" s="121"/>
      <c r="N186" s="123"/>
      <c r="O186" s="121"/>
      <c r="P186" s="121" t="s">
        <v>167</v>
      </c>
      <c r="Q186" s="121"/>
      <c r="R186" s="124">
        <v>-4603</v>
      </c>
      <c r="S186" s="121"/>
      <c r="T186" s="124">
        <f t="shared" si="3"/>
        <v>-117627</v>
      </c>
    </row>
    <row r="187" spans="2:20" x14ac:dyDescent="0.4">
      <c r="B187" s="121" t="s">
        <v>135</v>
      </c>
      <c r="C187" s="121"/>
      <c r="D187" s="122">
        <v>43190</v>
      </c>
      <c r="E187" s="121"/>
      <c r="F187" s="121" t="s">
        <v>164</v>
      </c>
      <c r="G187" s="121"/>
      <c r="H187" s="121" t="s">
        <v>165</v>
      </c>
      <c r="I187" s="121"/>
      <c r="J187" s="121" t="s">
        <v>384</v>
      </c>
      <c r="K187" s="121"/>
      <c r="L187" s="121"/>
      <c r="M187" s="121"/>
      <c r="N187" s="123"/>
      <c r="O187" s="121"/>
      <c r="P187" s="121" t="s">
        <v>167</v>
      </c>
      <c r="Q187" s="121"/>
      <c r="R187" s="124">
        <v>-4578</v>
      </c>
      <c r="S187" s="121"/>
      <c r="T187" s="124">
        <f t="shared" si="3"/>
        <v>-122205</v>
      </c>
    </row>
    <row r="188" spans="2:20" x14ac:dyDescent="0.4">
      <c r="B188" s="121" t="s">
        <v>135</v>
      </c>
      <c r="C188" s="121"/>
      <c r="D188" s="122">
        <v>43190</v>
      </c>
      <c r="E188" s="121"/>
      <c r="F188" s="121" t="s">
        <v>212</v>
      </c>
      <c r="G188" s="121"/>
      <c r="H188" s="121"/>
      <c r="I188" s="121"/>
      <c r="J188" s="121" t="s">
        <v>360</v>
      </c>
      <c r="K188" s="121"/>
      <c r="L188" s="121"/>
      <c r="M188" s="121"/>
      <c r="N188" s="123"/>
      <c r="O188" s="121"/>
      <c r="P188" s="121" t="s">
        <v>214</v>
      </c>
      <c r="Q188" s="121"/>
      <c r="R188" s="124">
        <v>1</v>
      </c>
      <c r="S188" s="121"/>
      <c r="T188" s="124">
        <f t="shared" si="3"/>
        <v>-122204</v>
      </c>
    </row>
    <row r="189" spans="2:20" x14ac:dyDescent="0.4">
      <c r="B189" s="121" t="s">
        <v>135</v>
      </c>
      <c r="C189" s="121"/>
      <c r="D189" s="122">
        <v>43220</v>
      </c>
      <c r="E189" s="121"/>
      <c r="F189" s="121" t="s">
        <v>164</v>
      </c>
      <c r="G189" s="121"/>
      <c r="H189" s="121" t="s">
        <v>165</v>
      </c>
      <c r="I189" s="121"/>
      <c r="J189" s="121" t="s">
        <v>385</v>
      </c>
      <c r="K189" s="121"/>
      <c r="L189" s="121"/>
      <c r="M189" s="121"/>
      <c r="N189" s="123"/>
      <c r="O189" s="121"/>
      <c r="P189" s="121" t="s">
        <v>167</v>
      </c>
      <c r="Q189" s="121"/>
      <c r="R189" s="124">
        <v>-1759</v>
      </c>
      <c r="S189" s="121"/>
      <c r="T189" s="124">
        <f t="shared" si="3"/>
        <v>-123963</v>
      </c>
    </row>
    <row r="190" spans="2:20" x14ac:dyDescent="0.4">
      <c r="B190" s="121" t="s">
        <v>135</v>
      </c>
      <c r="C190" s="121"/>
      <c r="D190" s="122">
        <v>43220</v>
      </c>
      <c r="E190" s="121"/>
      <c r="F190" s="121" t="s">
        <v>212</v>
      </c>
      <c r="G190" s="121"/>
      <c r="H190" s="121"/>
      <c r="I190" s="121"/>
      <c r="J190" s="121" t="s">
        <v>360</v>
      </c>
      <c r="K190" s="121"/>
      <c r="L190" s="121"/>
      <c r="M190" s="121"/>
      <c r="N190" s="123"/>
      <c r="O190" s="121"/>
      <c r="P190" s="121" t="s">
        <v>214</v>
      </c>
      <c r="Q190" s="121"/>
      <c r="R190" s="124">
        <v>1</v>
      </c>
      <c r="S190" s="121"/>
      <c r="T190" s="124">
        <f t="shared" si="3"/>
        <v>-123962</v>
      </c>
    </row>
    <row r="191" spans="2:20" x14ac:dyDescent="0.4">
      <c r="B191" s="121" t="s">
        <v>135</v>
      </c>
      <c r="C191" s="121"/>
      <c r="D191" s="122">
        <v>43251</v>
      </c>
      <c r="E191" s="121"/>
      <c r="F191" s="121" t="s">
        <v>164</v>
      </c>
      <c r="G191" s="121"/>
      <c r="H191" s="121" t="s">
        <v>165</v>
      </c>
      <c r="I191" s="121"/>
      <c r="J191" s="121" t="s">
        <v>386</v>
      </c>
      <c r="K191" s="121"/>
      <c r="L191" s="121"/>
      <c r="M191" s="121"/>
      <c r="N191" s="123"/>
      <c r="O191" s="121"/>
      <c r="P191" s="121" t="s">
        <v>167</v>
      </c>
      <c r="Q191" s="121"/>
      <c r="R191" s="124">
        <v>-4503</v>
      </c>
      <c r="S191" s="121"/>
      <c r="T191" s="124">
        <f t="shared" si="3"/>
        <v>-128465</v>
      </c>
    </row>
    <row r="192" spans="2:20" x14ac:dyDescent="0.4">
      <c r="B192" s="121" t="s">
        <v>135</v>
      </c>
      <c r="C192" s="121"/>
      <c r="D192" s="122">
        <v>43281</v>
      </c>
      <c r="E192" s="121"/>
      <c r="F192" s="121" t="s">
        <v>164</v>
      </c>
      <c r="G192" s="121"/>
      <c r="H192" s="121" t="s">
        <v>165</v>
      </c>
      <c r="I192" s="121"/>
      <c r="J192" s="121" t="s">
        <v>387</v>
      </c>
      <c r="K192" s="121"/>
      <c r="L192" s="121"/>
      <c r="M192" s="121"/>
      <c r="N192" s="123"/>
      <c r="O192" s="121"/>
      <c r="P192" s="121" t="s">
        <v>167</v>
      </c>
      <c r="Q192" s="121"/>
      <c r="R192" s="124">
        <v>-4408</v>
      </c>
      <c r="S192" s="121"/>
      <c r="T192" s="124">
        <f t="shared" si="3"/>
        <v>-132873</v>
      </c>
    </row>
    <row r="193" spans="2:20" x14ac:dyDescent="0.4">
      <c r="B193" s="121" t="s">
        <v>135</v>
      </c>
      <c r="C193" s="121"/>
      <c r="D193" s="122">
        <v>43312</v>
      </c>
      <c r="E193" s="121"/>
      <c r="F193" s="121" t="s">
        <v>164</v>
      </c>
      <c r="G193" s="121"/>
      <c r="H193" s="121" t="s">
        <v>165</v>
      </c>
      <c r="I193" s="121"/>
      <c r="J193" s="121" t="s">
        <v>388</v>
      </c>
      <c r="K193" s="121"/>
      <c r="L193" s="121"/>
      <c r="M193" s="121"/>
      <c r="N193" s="123"/>
      <c r="O193" s="121"/>
      <c r="P193" s="121" t="s">
        <v>167</v>
      </c>
      <c r="Q193" s="121"/>
      <c r="R193" s="124">
        <v>-4393</v>
      </c>
      <c r="S193" s="121"/>
      <c r="T193" s="124">
        <f t="shared" si="3"/>
        <v>-137266</v>
      </c>
    </row>
    <row r="194" spans="2:20" x14ac:dyDescent="0.4">
      <c r="B194" s="121" t="s">
        <v>135</v>
      </c>
      <c r="C194" s="121"/>
      <c r="D194" s="122">
        <v>43312</v>
      </c>
      <c r="E194" s="121"/>
      <c r="F194" s="121" t="s">
        <v>212</v>
      </c>
      <c r="G194" s="121"/>
      <c r="H194" s="121"/>
      <c r="I194" s="121"/>
      <c r="J194" s="121" t="s">
        <v>389</v>
      </c>
      <c r="K194" s="121"/>
      <c r="L194" s="121"/>
      <c r="M194" s="121"/>
      <c r="N194" s="123"/>
      <c r="O194" s="121"/>
      <c r="P194" s="121" t="s">
        <v>225</v>
      </c>
      <c r="Q194" s="121"/>
      <c r="R194" s="124">
        <v>3</v>
      </c>
      <c r="S194" s="121"/>
      <c r="T194" s="124">
        <f t="shared" si="3"/>
        <v>-137263</v>
      </c>
    </row>
    <row r="195" spans="2:20" x14ac:dyDescent="0.4">
      <c r="B195" s="121" t="s">
        <v>135</v>
      </c>
      <c r="C195" s="121"/>
      <c r="D195" s="122">
        <v>43343</v>
      </c>
      <c r="E195" s="121"/>
      <c r="F195" s="121" t="s">
        <v>164</v>
      </c>
      <c r="G195" s="121"/>
      <c r="H195" s="121" t="s">
        <v>165</v>
      </c>
      <c r="I195" s="121"/>
      <c r="J195" s="121" t="s">
        <v>390</v>
      </c>
      <c r="K195" s="121"/>
      <c r="L195" s="121"/>
      <c r="M195" s="121"/>
      <c r="N195" s="123"/>
      <c r="O195" s="121"/>
      <c r="P195" s="121" t="s">
        <v>167</v>
      </c>
      <c r="Q195" s="121"/>
      <c r="R195" s="124">
        <v>-4456</v>
      </c>
      <c r="S195" s="121"/>
      <c r="T195" s="124">
        <f t="shared" si="3"/>
        <v>-141719</v>
      </c>
    </row>
    <row r="196" spans="2:20" x14ac:dyDescent="0.4">
      <c r="B196" s="121" t="s">
        <v>135</v>
      </c>
      <c r="C196" s="121"/>
      <c r="D196" s="122">
        <v>43343</v>
      </c>
      <c r="E196" s="121"/>
      <c r="F196" s="121" t="s">
        <v>212</v>
      </c>
      <c r="G196" s="121"/>
      <c r="H196" s="121"/>
      <c r="I196" s="121"/>
      <c r="J196" s="121" t="s">
        <v>391</v>
      </c>
      <c r="K196" s="121"/>
      <c r="L196" s="121"/>
      <c r="M196" s="121"/>
      <c r="N196" s="123"/>
      <c r="O196" s="121"/>
      <c r="P196" s="121" t="s">
        <v>225</v>
      </c>
      <c r="Q196" s="121"/>
      <c r="R196" s="124">
        <v>1</v>
      </c>
      <c r="S196" s="121"/>
      <c r="T196" s="124">
        <f t="shared" si="3"/>
        <v>-141718</v>
      </c>
    </row>
    <row r="197" spans="2:20" x14ac:dyDescent="0.4">
      <c r="B197" s="121" t="s">
        <v>135</v>
      </c>
      <c r="C197" s="121"/>
      <c r="D197" s="122">
        <v>43343</v>
      </c>
      <c r="E197" s="121"/>
      <c r="F197" s="121" t="s">
        <v>240</v>
      </c>
      <c r="G197" s="121"/>
      <c r="H197" s="121" t="s">
        <v>158</v>
      </c>
      <c r="I197" s="121"/>
      <c r="J197" s="121" t="s">
        <v>392</v>
      </c>
      <c r="K197" s="121"/>
      <c r="L197" s="121"/>
      <c r="M197" s="121"/>
      <c r="N197" s="123"/>
      <c r="O197" s="121"/>
      <c r="P197" s="121" t="s">
        <v>160</v>
      </c>
      <c r="Q197" s="121"/>
      <c r="R197" s="124">
        <v>-3911</v>
      </c>
      <c r="S197" s="121"/>
      <c r="T197" s="124">
        <f t="shared" si="3"/>
        <v>-145629</v>
      </c>
    </row>
    <row r="198" spans="2:20" x14ac:dyDescent="0.4">
      <c r="B198" s="121" t="s">
        <v>135</v>
      </c>
      <c r="C198" s="121"/>
      <c r="D198" s="122">
        <v>43373</v>
      </c>
      <c r="E198" s="121"/>
      <c r="F198" s="121" t="s">
        <v>164</v>
      </c>
      <c r="G198" s="121"/>
      <c r="H198" s="121" t="s">
        <v>165</v>
      </c>
      <c r="I198" s="121"/>
      <c r="J198" s="121" t="s">
        <v>393</v>
      </c>
      <c r="K198" s="121"/>
      <c r="L198" s="121"/>
      <c r="M198" s="121"/>
      <c r="N198" s="123"/>
      <c r="O198" s="121"/>
      <c r="P198" s="121" t="s">
        <v>167</v>
      </c>
      <c r="Q198" s="121"/>
      <c r="R198" s="124">
        <v>-4306</v>
      </c>
      <c r="S198" s="121"/>
      <c r="T198" s="124">
        <f t="shared" si="3"/>
        <v>-149935</v>
      </c>
    </row>
    <row r="199" spans="2:20" x14ac:dyDescent="0.4">
      <c r="B199" s="121" t="s">
        <v>135</v>
      </c>
      <c r="C199" s="121"/>
      <c r="D199" s="122">
        <v>43373</v>
      </c>
      <c r="E199" s="121"/>
      <c r="F199" s="121" t="s">
        <v>212</v>
      </c>
      <c r="G199" s="121"/>
      <c r="H199" s="121"/>
      <c r="I199" s="121"/>
      <c r="J199" s="121" t="s">
        <v>394</v>
      </c>
      <c r="K199" s="121"/>
      <c r="L199" s="121"/>
      <c r="M199" s="121"/>
      <c r="N199" s="123"/>
      <c r="O199" s="121"/>
      <c r="P199" s="121" t="s">
        <v>214</v>
      </c>
      <c r="Q199" s="121"/>
      <c r="R199" s="124">
        <v>-1</v>
      </c>
      <c r="S199" s="121"/>
      <c r="T199" s="124">
        <f t="shared" si="3"/>
        <v>-149936</v>
      </c>
    </row>
    <row r="200" spans="2:20" x14ac:dyDescent="0.4">
      <c r="B200" s="121" t="s">
        <v>135</v>
      </c>
      <c r="C200" s="121"/>
      <c r="D200" s="122">
        <v>43404</v>
      </c>
      <c r="E200" s="121"/>
      <c r="F200" s="121" t="s">
        <v>164</v>
      </c>
      <c r="G200" s="121"/>
      <c r="H200" s="121" t="s">
        <v>165</v>
      </c>
      <c r="I200" s="121"/>
      <c r="J200" s="121" t="s">
        <v>395</v>
      </c>
      <c r="K200" s="121"/>
      <c r="L200" s="121"/>
      <c r="M200" s="121"/>
      <c r="N200" s="123"/>
      <c r="O200" s="121"/>
      <c r="P200" s="121" t="s">
        <v>167</v>
      </c>
      <c r="Q200" s="121"/>
      <c r="R200" s="124">
        <v>-4411</v>
      </c>
      <c r="S200" s="121"/>
      <c r="T200" s="124">
        <f t="shared" si="3"/>
        <v>-154347</v>
      </c>
    </row>
    <row r="201" spans="2:20" x14ac:dyDescent="0.4">
      <c r="B201" s="121" t="s">
        <v>135</v>
      </c>
      <c r="C201" s="121"/>
      <c r="D201" s="122">
        <v>43404</v>
      </c>
      <c r="E201" s="121"/>
      <c r="F201" s="121" t="s">
        <v>212</v>
      </c>
      <c r="G201" s="121"/>
      <c r="H201" s="121"/>
      <c r="I201" s="121"/>
      <c r="J201" s="121" t="s">
        <v>396</v>
      </c>
      <c r="K201" s="121"/>
      <c r="L201" s="121"/>
      <c r="M201" s="121"/>
      <c r="N201" s="123"/>
      <c r="O201" s="121"/>
      <c r="P201" s="121" t="s">
        <v>225</v>
      </c>
      <c r="Q201" s="121"/>
      <c r="R201" s="124">
        <v>1</v>
      </c>
      <c r="S201" s="121"/>
      <c r="T201" s="124">
        <f t="shared" si="3"/>
        <v>-154346</v>
      </c>
    </row>
    <row r="202" spans="2:20" x14ac:dyDescent="0.4">
      <c r="B202" s="121" t="s">
        <v>135</v>
      </c>
      <c r="C202" s="121"/>
      <c r="D202" s="122">
        <v>43434</v>
      </c>
      <c r="E202" s="121"/>
      <c r="F202" s="121" t="s">
        <v>164</v>
      </c>
      <c r="G202" s="121"/>
      <c r="H202" s="121" t="s">
        <v>165</v>
      </c>
      <c r="I202" s="121"/>
      <c r="J202" s="121" t="s">
        <v>397</v>
      </c>
      <c r="K202" s="121"/>
      <c r="L202" s="121"/>
      <c r="M202" s="121"/>
      <c r="N202" s="123"/>
      <c r="O202" s="121"/>
      <c r="P202" s="121" t="s">
        <v>167</v>
      </c>
      <c r="Q202" s="121"/>
      <c r="R202" s="124">
        <v>-4507</v>
      </c>
      <c r="S202" s="121"/>
      <c r="T202" s="124">
        <f t="shared" si="3"/>
        <v>-158853</v>
      </c>
    </row>
    <row r="203" spans="2:20" x14ac:dyDescent="0.4">
      <c r="B203" s="121" t="s">
        <v>135</v>
      </c>
      <c r="C203" s="121"/>
      <c r="D203" s="122">
        <v>43434</v>
      </c>
      <c r="E203" s="121"/>
      <c r="F203" s="121" t="s">
        <v>212</v>
      </c>
      <c r="G203" s="121"/>
      <c r="H203" s="121"/>
      <c r="I203" s="121"/>
      <c r="J203" s="121" t="s">
        <v>398</v>
      </c>
      <c r="K203" s="121"/>
      <c r="L203" s="121"/>
      <c r="M203" s="121"/>
      <c r="N203" s="123"/>
      <c r="O203" s="121"/>
      <c r="P203" s="121" t="s">
        <v>225</v>
      </c>
      <c r="Q203" s="121"/>
      <c r="R203" s="124">
        <v>2</v>
      </c>
      <c r="S203" s="121"/>
      <c r="T203" s="124">
        <f t="shared" si="3"/>
        <v>-158851</v>
      </c>
    </row>
    <row r="204" spans="2:20" x14ac:dyDescent="0.4">
      <c r="B204" s="121" t="s">
        <v>135</v>
      </c>
      <c r="C204" s="121"/>
      <c r="D204" s="122">
        <v>43465</v>
      </c>
      <c r="E204" s="121"/>
      <c r="F204" s="121" t="s">
        <v>164</v>
      </c>
      <c r="G204" s="121"/>
      <c r="H204" s="121" t="s">
        <v>165</v>
      </c>
      <c r="I204" s="121"/>
      <c r="J204" s="121" t="s">
        <v>399</v>
      </c>
      <c r="K204" s="121"/>
      <c r="L204" s="121"/>
      <c r="M204" s="121"/>
      <c r="N204" s="123"/>
      <c r="O204" s="121"/>
      <c r="P204" s="121" t="s">
        <v>167</v>
      </c>
      <c r="Q204" s="121"/>
      <c r="R204" s="124">
        <v>-4553</v>
      </c>
      <c r="S204" s="121"/>
      <c r="T204" s="124">
        <f t="shared" si="3"/>
        <v>-163404</v>
      </c>
    </row>
    <row r="205" spans="2:20" x14ac:dyDescent="0.4">
      <c r="B205" s="121" t="s">
        <v>135</v>
      </c>
      <c r="C205" s="121"/>
      <c r="D205" s="122">
        <v>43465</v>
      </c>
      <c r="E205" s="121"/>
      <c r="F205" s="121" t="s">
        <v>212</v>
      </c>
      <c r="G205" s="121"/>
      <c r="H205" s="121"/>
      <c r="I205" s="121"/>
      <c r="J205" s="121" t="s">
        <v>400</v>
      </c>
      <c r="K205" s="121"/>
      <c r="L205" s="121"/>
      <c r="M205" s="121"/>
      <c r="N205" s="123"/>
      <c r="O205" s="121"/>
      <c r="P205" s="121" t="s">
        <v>225</v>
      </c>
      <c r="Q205" s="121"/>
      <c r="R205" s="124">
        <v>-1</v>
      </c>
      <c r="S205" s="121"/>
      <c r="T205" s="124">
        <f t="shared" si="3"/>
        <v>-163405</v>
      </c>
    </row>
    <row r="206" spans="2:20" x14ac:dyDescent="0.4">
      <c r="B206" s="121" t="s">
        <v>135</v>
      </c>
      <c r="C206" s="121"/>
      <c r="D206" s="122">
        <v>43465</v>
      </c>
      <c r="E206" s="121"/>
      <c r="F206" s="121" t="s">
        <v>240</v>
      </c>
      <c r="G206" s="121"/>
      <c r="H206" s="121" t="s">
        <v>234</v>
      </c>
      <c r="I206" s="121"/>
      <c r="J206" s="121" t="s">
        <v>401</v>
      </c>
      <c r="K206" s="121"/>
      <c r="L206" s="121"/>
      <c r="M206" s="121"/>
      <c r="N206" s="123"/>
      <c r="O206" s="121"/>
      <c r="P206" s="121" t="s">
        <v>160</v>
      </c>
      <c r="Q206" s="121"/>
      <c r="R206" s="124">
        <v>-1922</v>
      </c>
      <c r="S206" s="121"/>
      <c r="T206" s="124">
        <f t="shared" si="3"/>
        <v>-165327</v>
      </c>
    </row>
    <row r="207" spans="2:20" x14ac:dyDescent="0.4">
      <c r="B207" s="121" t="s">
        <v>135</v>
      </c>
      <c r="C207" s="121"/>
      <c r="D207" s="122">
        <v>43496</v>
      </c>
      <c r="E207" s="121"/>
      <c r="F207" s="121" t="s">
        <v>164</v>
      </c>
      <c r="G207" s="121"/>
      <c r="H207" s="121" t="s">
        <v>165</v>
      </c>
      <c r="I207" s="121"/>
      <c r="J207" s="121" t="s">
        <v>402</v>
      </c>
      <c r="K207" s="121"/>
      <c r="L207" s="121"/>
      <c r="M207" s="121"/>
      <c r="N207" s="123"/>
      <c r="O207" s="121"/>
      <c r="P207" s="121" t="s">
        <v>167</v>
      </c>
      <c r="Q207" s="121"/>
      <c r="R207" s="124">
        <v>-4509</v>
      </c>
      <c r="S207" s="121"/>
      <c r="T207" s="124">
        <f t="shared" si="3"/>
        <v>-169836</v>
      </c>
    </row>
    <row r="208" spans="2:20" x14ac:dyDescent="0.4">
      <c r="B208" s="121" t="s">
        <v>135</v>
      </c>
      <c r="C208" s="121"/>
      <c r="D208" s="122">
        <v>43496</v>
      </c>
      <c r="E208" s="121"/>
      <c r="F208" s="121" t="s">
        <v>242</v>
      </c>
      <c r="G208" s="121"/>
      <c r="H208" s="121"/>
      <c r="I208" s="121"/>
      <c r="J208" s="121" t="s">
        <v>403</v>
      </c>
      <c r="K208" s="121"/>
      <c r="L208" s="121"/>
      <c r="M208" s="121"/>
      <c r="N208" s="123"/>
      <c r="O208" s="121"/>
      <c r="P208" s="121" t="s">
        <v>225</v>
      </c>
      <c r="Q208" s="121"/>
      <c r="R208" s="124">
        <v>1</v>
      </c>
      <c r="S208" s="121"/>
      <c r="T208" s="124">
        <f t="shared" si="3"/>
        <v>-169835</v>
      </c>
    </row>
    <row r="209" spans="2:20" x14ac:dyDescent="0.4">
      <c r="B209" s="121" t="s">
        <v>135</v>
      </c>
      <c r="C209" s="121"/>
      <c r="D209" s="122">
        <v>43524</v>
      </c>
      <c r="E209" s="121"/>
      <c r="F209" s="121" t="s">
        <v>164</v>
      </c>
      <c r="G209" s="121"/>
      <c r="H209" s="121" t="s">
        <v>165</v>
      </c>
      <c r="I209" s="121"/>
      <c r="J209" s="121" t="s">
        <v>404</v>
      </c>
      <c r="K209" s="121"/>
      <c r="L209" s="121"/>
      <c r="M209" s="121"/>
      <c r="N209" s="123"/>
      <c r="O209" s="121"/>
      <c r="P209" s="121" t="s">
        <v>167</v>
      </c>
      <c r="Q209" s="121"/>
      <c r="R209" s="124">
        <v>-4510</v>
      </c>
      <c r="S209" s="121"/>
      <c r="T209" s="124">
        <f t="shared" si="3"/>
        <v>-174345</v>
      </c>
    </row>
    <row r="210" spans="2:20" x14ac:dyDescent="0.4">
      <c r="B210" s="121" t="s">
        <v>135</v>
      </c>
      <c r="C210" s="121"/>
      <c r="D210" s="122">
        <v>43555</v>
      </c>
      <c r="E210" s="121"/>
      <c r="F210" s="121" t="s">
        <v>164</v>
      </c>
      <c r="G210" s="121"/>
      <c r="H210" s="121" t="s">
        <v>165</v>
      </c>
      <c r="I210" s="121"/>
      <c r="J210" s="121" t="s">
        <v>405</v>
      </c>
      <c r="K210" s="121"/>
      <c r="L210" s="121"/>
      <c r="M210" s="121"/>
      <c r="N210" s="123"/>
      <c r="O210" s="121"/>
      <c r="P210" s="121" t="s">
        <v>167</v>
      </c>
      <c r="Q210" s="121"/>
      <c r="R210" s="124">
        <v>-4506</v>
      </c>
      <c r="S210" s="121"/>
      <c r="T210" s="124">
        <f t="shared" si="3"/>
        <v>-178851</v>
      </c>
    </row>
    <row r="211" spans="2:20" x14ac:dyDescent="0.4">
      <c r="B211" s="121" t="s">
        <v>135</v>
      </c>
      <c r="C211" s="121"/>
      <c r="D211" s="122">
        <v>43585</v>
      </c>
      <c r="E211" s="121"/>
      <c r="F211" s="121" t="s">
        <v>164</v>
      </c>
      <c r="G211" s="121"/>
      <c r="H211" s="121" t="s">
        <v>165</v>
      </c>
      <c r="I211" s="121"/>
      <c r="J211" s="121" t="s">
        <v>406</v>
      </c>
      <c r="K211" s="121"/>
      <c r="L211" s="121"/>
      <c r="M211" s="121"/>
      <c r="N211" s="123"/>
      <c r="O211" s="121"/>
      <c r="P211" s="121" t="s">
        <v>167</v>
      </c>
      <c r="Q211" s="121"/>
      <c r="R211" s="124">
        <v>-4488</v>
      </c>
      <c r="S211" s="121"/>
      <c r="T211" s="124">
        <f t="shared" si="3"/>
        <v>-183339</v>
      </c>
    </row>
    <row r="212" spans="2:20" x14ac:dyDescent="0.4">
      <c r="B212" s="121" t="s">
        <v>135</v>
      </c>
      <c r="C212" s="121"/>
      <c r="D212" s="122">
        <v>43616</v>
      </c>
      <c r="E212" s="121"/>
      <c r="F212" s="121" t="s">
        <v>164</v>
      </c>
      <c r="G212" s="121"/>
      <c r="H212" s="121" t="s">
        <v>165</v>
      </c>
      <c r="I212" s="121"/>
      <c r="J212" s="121" t="s">
        <v>407</v>
      </c>
      <c r="K212" s="121"/>
      <c r="L212" s="121"/>
      <c r="M212" s="121"/>
      <c r="N212" s="123"/>
      <c r="O212" s="121"/>
      <c r="P212" s="121" t="s">
        <v>167</v>
      </c>
      <c r="Q212" s="121"/>
      <c r="R212" s="124">
        <v>-4442</v>
      </c>
      <c r="S212" s="121"/>
      <c r="T212" s="124">
        <f t="shared" si="3"/>
        <v>-187781</v>
      </c>
    </row>
    <row r="213" spans="2:20" x14ac:dyDescent="0.4">
      <c r="B213" s="121" t="s">
        <v>135</v>
      </c>
      <c r="C213" s="121"/>
      <c r="D213" s="122">
        <v>43616</v>
      </c>
      <c r="E213" s="121"/>
      <c r="F213" s="121" t="s">
        <v>242</v>
      </c>
      <c r="G213" s="121"/>
      <c r="H213" s="121"/>
      <c r="I213" s="121"/>
      <c r="J213" s="121" t="s">
        <v>408</v>
      </c>
      <c r="K213" s="121"/>
      <c r="L213" s="121"/>
      <c r="M213" s="121"/>
      <c r="N213" s="123"/>
      <c r="O213" s="121"/>
      <c r="P213" s="121" t="s">
        <v>225</v>
      </c>
      <c r="Q213" s="121"/>
      <c r="R213" s="124">
        <v>3</v>
      </c>
      <c r="S213" s="121"/>
      <c r="T213" s="124">
        <f t="shared" si="3"/>
        <v>-187778</v>
      </c>
    </row>
    <row r="214" spans="2:20" x14ac:dyDescent="0.4">
      <c r="B214" s="121" t="s">
        <v>135</v>
      </c>
      <c r="C214" s="121"/>
      <c r="D214" s="122">
        <v>43646</v>
      </c>
      <c r="E214" s="121"/>
      <c r="F214" s="121" t="s">
        <v>164</v>
      </c>
      <c r="G214" s="121"/>
      <c r="H214" s="121" t="s">
        <v>165</v>
      </c>
      <c r="I214" s="121"/>
      <c r="J214" s="121" t="s">
        <v>409</v>
      </c>
      <c r="K214" s="121"/>
      <c r="L214" s="121"/>
      <c r="M214" s="121"/>
      <c r="N214" s="123"/>
      <c r="O214" s="121"/>
      <c r="P214" s="121" t="s">
        <v>167</v>
      </c>
      <c r="Q214" s="121"/>
      <c r="R214" s="124">
        <v>-4364</v>
      </c>
      <c r="S214" s="121"/>
      <c r="T214" s="124">
        <f t="shared" si="3"/>
        <v>-192142</v>
      </c>
    </row>
    <row r="215" spans="2:20" x14ac:dyDescent="0.4">
      <c r="B215" s="121" t="s">
        <v>135</v>
      </c>
      <c r="C215" s="121"/>
      <c r="D215" s="122">
        <v>43646</v>
      </c>
      <c r="E215" s="121"/>
      <c r="F215" s="121" t="s">
        <v>242</v>
      </c>
      <c r="G215" s="121"/>
      <c r="H215" s="121"/>
      <c r="I215" s="121"/>
      <c r="J215" s="121" t="s">
        <v>410</v>
      </c>
      <c r="K215" s="121"/>
      <c r="L215" s="121"/>
      <c r="M215" s="121"/>
      <c r="N215" s="123"/>
      <c r="O215" s="121"/>
      <c r="P215" s="121" t="s">
        <v>377</v>
      </c>
      <c r="Q215" s="121"/>
      <c r="R215" s="124">
        <v>3</v>
      </c>
      <c r="S215" s="121"/>
      <c r="T215" s="124">
        <f t="shared" si="3"/>
        <v>-192139</v>
      </c>
    </row>
    <row r="216" spans="2:20" x14ac:dyDescent="0.4">
      <c r="B216" s="121" t="s">
        <v>135</v>
      </c>
      <c r="C216" s="121"/>
      <c r="D216" s="122">
        <v>43677</v>
      </c>
      <c r="E216" s="121"/>
      <c r="F216" s="121" t="s">
        <v>164</v>
      </c>
      <c r="G216" s="121"/>
      <c r="H216" s="121" t="s">
        <v>165</v>
      </c>
      <c r="I216" s="121"/>
      <c r="J216" s="121" t="s">
        <v>411</v>
      </c>
      <c r="K216" s="121"/>
      <c r="L216" s="121"/>
      <c r="M216" s="121"/>
      <c r="N216" s="123"/>
      <c r="O216" s="121"/>
      <c r="P216" s="121" t="s">
        <v>167</v>
      </c>
      <c r="Q216" s="121"/>
      <c r="R216" s="124">
        <v>-4326</v>
      </c>
      <c r="S216" s="121"/>
      <c r="T216" s="124">
        <f t="shared" si="3"/>
        <v>-196465</v>
      </c>
    </row>
    <row r="217" spans="2:20" x14ac:dyDescent="0.4">
      <c r="B217" s="121" t="s">
        <v>135</v>
      </c>
      <c r="C217" s="121"/>
      <c r="D217" s="122">
        <v>43677</v>
      </c>
      <c r="E217" s="121"/>
      <c r="F217" s="121" t="s">
        <v>242</v>
      </c>
      <c r="G217" s="121"/>
      <c r="H217" s="121"/>
      <c r="I217" s="121"/>
      <c r="J217" s="121" t="s">
        <v>412</v>
      </c>
      <c r="K217" s="121"/>
      <c r="L217" s="121"/>
      <c r="M217" s="121"/>
      <c r="N217" s="123"/>
      <c r="O217" s="121"/>
      <c r="P217" s="121" t="s">
        <v>214</v>
      </c>
      <c r="Q217" s="121"/>
      <c r="R217" s="124">
        <v>2</v>
      </c>
      <c r="S217" s="121"/>
      <c r="T217" s="124">
        <f t="shared" si="3"/>
        <v>-196463</v>
      </c>
    </row>
    <row r="218" spans="2:20" x14ac:dyDescent="0.4">
      <c r="B218" s="121" t="s">
        <v>135</v>
      </c>
      <c r="C218" s="121"/>
      <c r="D218" s="122">
        <v>43708</v>
      </c>
      <c r="E218" s="121"/>
      <c r="F218" s="121" t="s">
        <v>164</v>
      </c>
      <c r="G218" s="121"/>
      <c r="H218" s="121" t="s">
        <v>165</v>
      </c>
      <c r="I218" s="121"/>
      <c r="J218" s="121" t="s">
        <v>413</v>
      </c>
      <c r="K218" s="121"/>
      <c r="L218" s="121"/>
      <c r="M218" s="121"/>
      <c r="N218" s="123"/>
      <c r="O218" s="121"/>
      <c r="P218" s="121" t="s">
        <v>167</v>
      </c>
      <c r="Q218" s="121"/>
      <c r="R218" s="124">
        <v>-4319</v>
      </c>
      <c r="S218" s="121"/>
      <c r="T218" s="124">
        <f t="shared" si="3"/>
        <v>-200782</v>
      </c>
    </row>
    <row r="219" spans="2:20" x14ac:dyDescent="0.4">
      <c r="B219" s="121" t="s">
        <v>135</v>
      </c>
      <c r="C219" s="121"/>
      <c r="D219" s="122">
        <v>43708</v>
      </c>
      <c r="E219" s="121"/>
      <c r="F219" s="121" t="s">
        <v>242</v>
      </c>
      <c r="G219" s="121"/>
      <c r="H219" s="121"/>
      <c r="I219" s="121"/>
      <c r="J219" s="121" t="s">
        <v>414</v>
      </c>
      <c r="K219" s="121"/>
      <c r="L219" s="121"/>
      <c r="M219" s="121"/>
      <c r="N219" s="123"/>
      <c r="O219" s="121"/>
      <c r="P219" s="121" t="s">
        <v>225</v>
      </c>
      <c r="Q219" s="121"/>
      <c r="R219" s="124">
        <v>1</v>
      </c>
      <c r="S219" s="121"/>
      <c r="T219" s="124">
        <f t="shared" si="3"/>
        <v>-200781</v>
      </c>
    </row>
    <row r="220" spans="2:20" x14ac:dyDescent="0.4">
      <c r="B220" s="121" t="s">
        <v>135</v>
      </c>
      <c r="C220" s="121"/>
      <c r="D220" s="122">
        <v>43738</v>
      </c>
      <c r="E220" s="121"/>
      <c r="F220" s="121" t="s">
        <v>164</v>
      </c>
      <c r="G220" s="121"/>
      <c r="H220" s="121" t="s">
        <v>165</v>
      </c>
      <c r="I220" s="121"/>
      <c r="J220" s="121" t="s">
        <v>415</v>
      </c>
      <c r="K220" s="121"/>
      <c r="L220" s="121"/>
      <c r="M220" s="121"/>
      <c r="N220" s="123"/>
      <c r="O220" s="121"/>
      <c r="P220" s="121" t="s">
        <v>167</v>
      </c>
      <c r="Q220" s="121"/>
      <c r="R220" s="124">
        <v>-4298</v>
      </c>
      <c r="S220" s="121"/>
      <c r="T220" s="124">
        <f t="shared" si="3"/>
        <v>-205079</v>
      </c>
    </row>
    <row r="221" spans="2:20" x14ac:dyDescent="0.4">
      <c r="B221" s="121" t="s">
        <v>135</v>
      </c>
      <c r="C221" s="121"/>
      <c r="D221" s="122">
        <v>43769</v>
      </c>
      <c r="E221" s="121"/>
      <c r="F221" s="121" t="s">
        <v>164</v>
      </c>
      <c r="G221" s="121"/>
      <c r="H221" s="121" t="s">
        <v>165</v>
      </c>
      <c r="I221" s="121"/>
      <c r="J221" s="121" t="s">
        <v>416</v>
      </c>
      <c r="K221" s="121"/>
      <c r="L221" s="121"/>
      <c r="M221" s="121"/>
      <c r="N221" s="123"/>
      <c r="O221" s="121"/>
      <c r="P221" s="121" t="s">
        <v>167</v>
      </c>
      <c r="Q221" s="121"/>
      <c r="R221" s="124">
        <v>-4368</v>
      </c>
      <c r="S221" s="121"/>
      <c r="T221" s="124">
        <f t="shared" si="3"/>
        <v>-209447</v>
      </c>
    </row>
    <row r="222" spans="2:20" x14ac:dyDescent="0.4">
      <c r="B222" s="121" t="s">
        <v>135</v>
      </c>
      <c r="C222" s="121"/>
      <c r="D222" s="122">
        <v>43769</v>
      </c>
      <c r="E222" s="121"/>
      <c r="F222" s="121" t="s">
        <v>242</v>
      </c>
      <c r="G222" s="121"/>
      <c r="H222" s="121"/>
      <c r="I222" s="121"/>
      <c r="J222" s="121" t="s">
        <v>417</v>
      </c>
      <c r="K222" s="121"/>
      <c r="L222" s="121"/>
      <c r="M222" s="121"/>
      <c r="N222" s="123"/>
      <c r="O222" s="121"/>
      <c r="P222" s="121" t="s">
        <v>418</v>
      </c>
      <c r="Q222" s="121"/>
      <c r="R222" s="124">
        <v>2</v>
      </c>
      <c r="S222" s="121"/>
      <c r="T222" s="124">
        <f t="shared" si="3"/>
        <v>-209445</v>
      </c>
    </row>
    <row r="223" spans="2:20" x14ac:dyDescent="0.4">
      <c r="B223" s="121" t="s">
        <v>135</v>
      </c>
      <c r="C223" s="121"/>
      <c r="D223" s="122">
        <v>43799</v>
      </c>
      <c r="E223" s="121"/>
      <c r="F223" s="121" t="s">
        <v>164</v>
      </c>
      <c r="G223" s="121"/>
      <c r="H223" s="121" t="s">
        <v>165</v>
      </c>
      <c r="I223" s="121"/>
      <c r="J223" s="121" t="s">
        <v>419</v>
      </c>
      <c r="K223" s="121"/>
      <c r="L223" s="121"/>
      <c r="M223" s="121"/>
      <c r="N223" s="123"/>
      <c r="O223" s="121"/>
      <c r="P223" s="121" t="s">
        <v>167</v>
      </c>
      <c r="Q223" s="121"/>
      <c r="R223" s="124">
        <v>-4590</v>
      </c>
      <c r="S223" s="121"/>
      <c r="T223" s="124">
        <f t="shared" si="3"/>
        <v>-214035</v>
      </c>
    </row>
    <row r="224" spans="2:20" x14ac:dyDescent="0.4">
      <c r="B224" s="121" t="s">
        <v>135</v>
      </c>
      <c r="C224" s="121"/>
      <c r="D224" s="122">
        <v>43799</v>
      </c>
      <c r="E224" s="121"/>
      <c r="F224" s="121" t="s">
        <v>242</v>
      </c>
      <c r="G224" s="121"/>
      <c r="H224" s="121"/>
      <c r="I224" s="121"/>
      <c r="J224" s="121" t="s">
        <v>420</v>
      </c>
      <c r="K224" s="121"/>
      <c r="L224" s="121"/>
      <c r="M224" s="121"/>
      <c r="N224" s="123"/>
      <c r="O224" s="121"/>
      <c r="P224" s="121" t="s">
        <v>377</v>
      </c>
      <c r="Q224" s="121"/>
      <c r="R224" s="124">
        <v>1</v>
      </c>
      <c r="S224" s="121"/>
      <c r="T224" s="124">
        <f t="shared" ref="T224:T287" si="4">ROUND(T223+R224,5)</f>
        <v>-214034</v>
      </c>
    </row>
    <row r="225" spans="2:20" x14ac:dyDescent="0.4">
      <c r="B225" s="121" t="s">
        <v>135</v>
      </c>
      <c r="C225" s="121"/>
      <c r="D225" s="122">
        <v>43830</v>
      </c>
      <c r="E225" s="121"/>
      <c r="F225" s="121" t="s">
        <v>164</v>
      </c>
      <c r="G225" s="121"/>
      <c r="H225" s="121" t="s">
        <v>165</v>
      </c>
      <c r="I225" s="121"/>
      <c r="J225" s="121" t="s">
        <v>421</v>
      </c>
      <c r="K225" s="121"/>
      <c r="L225" s="121"/>
      <c r="M225" s="121"/>
      <c r="N225" s="123"/>
      <c r="O225" s="121"/>
      <c r="P225" s="121" t="s">
        <v>167</v>
      </c>
      <c r="Q225" s="121"/>
      <c r="R225" s="124">
        <v>-4516</v>
      </c>
      <c r="S225" s="121"/>
      <c r="T225" s="124">
        <f t="shared" si="4"/>
        <v>-218550</v>
      </c>
    </row>
    <row r="226" spans="2:20" x14ac:dyDescent="0.4">
      <c r="B226" s="121" t="s">
        <v>135</v>
      </c>
      <c r="C226" s="121"/>
      <c r="D226" s="122">
        <v>43830</v>
      </c>
      <c r="E226" s="121"/>
      <c r="F226" s="121" t="s">
        <v>422</v>
      </c>
      <c r="G226" s="121"/>
      <c r="H226" s="121"/>
      <c r="I226" s="121"/>
      <c r="J226" s="121" t="s">
        <v>423</v>
      </c>
      <c r="K226" s="121"/>
      <c r="L226" s="121"/>
      <c r="M226" s="121"/>
      <c r="N226" s="123"/>
      <c r="O226" s="121"/>
      <c r="P226" s="121" t="s">
        <v>418</v>
      </c>
      <c r="Q226" s="121"/>
      <c r="R226" s="124">
        <v>2</v>
      </c>
      <c r="S226" s="121"/>
      <c r="T226" s="124">
        <f t="shared" si="4"/>
        <v>-218548</v>
      </c>
    </row>
    <row r="227" spans="2:20" x14ac:dyDescent="0.4">
      <c r="B227" s="121" t="s">
        <v>135</v>
      </c>
      <c r="C227" s="121"/>
      <c r="D227" s="122">
        <v>43830</v>
      </c>
      <c r="E227" s="121"/>
      <c r="F227" s="121" t="s">
        <v>424</v>
      </c>
      <c r="G227" s="121"/>
      <c r="H227" s="121" t="s">
        <v>234</v>
      </c>
      <c r="I227" s="121"/>
      <c r="J227" s="121" t="s">
        <v>425</v>
      </c>
      <c r="K227" s="121"/>
      <c r="L227" s="121"/>
      <c r="M227" s="121"/>
      <c r="N227" s="123"/>
      <c r="O227" s="121"/>
      <c r="P227" s="121" t="s">
        <v>160</v>
      </c>
      <c r="Q227" s="121"/>
      <c r="R227" s="124">
        <v>-5703</v>
      </c>
      <c r="S227" s="121"/>
      <c r="T227" s="124">
        <f t="shared" si="4"/>
        <v>-224251</v>
      </c>
    </row>
    <row r="228" spans="2:20" x14ac:dyDescent="0.4">
      <c r="B228" s="121" t="s">
        <v>135</v>
      </c>
      <c r="C228" s="121"/>
      <c r="D228" s="122">
        <v>43861</v>
      </c>
      <c r="E228" s="121"/>
      <c r="F228" s="121" t="s">
        <v>164</v>
      </c>
      <c r="G228" s="121"/>
      <c r="H228" s="121" t="s">
        <v>165</v>
      </c>
      <c r="I228" s="121"/>
      <c r="J228" s="121" t="s">
        <v>426</v>
      </c>
      <c r="K228" s="121"/>
      <c r="L228" s="121"/>
      <c r="M228" s="121"/>
      <c r="N228" s="123"/>
      <c r="O228" s="121"/>
      <c r="P228" s="121" t="s">
        <v>167</v>
      </c>
      <c r="Q228" s="121"/>
      <c r="R228" s="124">
        <v>-4468</v>
      </c>
      <c r="S228" s="121"/>
      <c r="T228" s="124">
        <f t="shared" si="4"/>
        <v>-228719</v>
      </c>
    </row>
    <row r="229" spans="2:20" x14ac:dyDescent="0.4">
      <c r="B229" s="121" t="s">
        <v>135</v>
      </c>
      <c r="C229" s="121"/>
      <c r="D229" s="122">
        <v>43861</v>
      </c>
      <c r="E229" s="121"/>
      <c r="F229" s="121" t="s">
        <v>222</v>
      </c>
      <c r="G229" s="121"/>
      <c r="H229" s="121" t="s">
        <v>234</v>
      </c>
      <c r="I229" s="121"/>
      <c r="J229" s="121" t="s">
        <v>427</v>
      </c>
      <c r="K229" s="121"/>
      <c r="L229" s="121"/>
      <c r="M229" s="121"/>
      <c r="N229" s="123"/>
      <c r="O229" s="121"/>
      <c r="P229" s="121" t="s">
        <v>160</v>
      </c>
      <c r="Q229" s="121"/>
      <c r="R229" s="124">
        <v>-478</v>
      </c>
      <c r="S229" s="121"/>
      <c r="T229" s="124">
        <f t="shared" si="4"/>
        <v>-229197</v>
      </c>
    </row>
    <row r="230" spans="2:20" x14ac:dyDescent="0.4">
      <c r="B230" s="121" t="s">
        <v>135</v>
      </c>
      <c r="C230" s="121"/>
      <c r="D230" s="122">
        <v>43890</v>
      </c>
      <c r="E230" s="121"/>
      <c r="F230" s="121" t="s">
        <v>164</v>
      </c>
      <c r="G230" s="121"/>
      <c r="H230" s="121" t="s">
        <v>165</v>
      </c>
      <c r="I230" s="121"/>
      <c r="J230" s="121" t="s">
        <v>428</v>
      </c>
      <c r="K230" s="121"/>
      <c r="L230" s="121"/>
      <c r="M230" s="121"/>
      <c r="N230" s="123"/>
      <c r="O230" s="121"/>
      <c r="P230" s="121" t="s">
        <v>167</v>
      </c>
      <c r="Q230" s="121"/>
      <c r="R230" s="124">
        <v>-4478</v>
      </c>
      <c r="S230" s="121"/>
      <c r="T230" s="124">
        <f t="shared" si="4"/>
        <v>-233675</v>
      </c>
    </row>
    <row r="231" spans="2:20" x14ac:dyDescent="0.4">
      <c r="B231" s="121" t="s">
        <v>135</v>
      </c>
      <c r="C231" s="121"/>
      <c r="D231" s="122">
        <v>43890</v>
      </c>
      <c r="E231" s="121"/>
      <c r="F231" s="121" t="s">
        <v>233</v>
      </c>
      <c r="G231" s="121"/>
      <c r="H231" s="121" t="s">
        <v>234</v>
      </c>
      <c r="I231" s="121"/>
      <c r="J231" s="121" t="s">
        <v>429</v>
      </c>
      <c r="K231" s="121"/>
      <c r="L231" s="121"/>
      <c r="M231" s="121"/>
      <c r="N231" s="123"/>
      <c r="O231" s="121"/>
      <c r="P231" s="121" t="s">
        <v>160</v>
      </c>
      <c r="Q231" s="121"/>
      <c r="R231" s="124">
        <v>-480</v>
      </c>
      <c r="S231" s="121"/>
      <c r="T231" s="124">
        <f t="shared" si="4"/>
        <v>-234155</v>
      </c>
    </row>
    <row r="232" spans="2:20" x14ac:dyDescent="0.4">
      <c r="B232" s="121" t="s">
        <v>135</v>
      </c>
      <c r="C232" s="121"/>
      <c r="D232" s="122">
        <v>43921</v>
      </c>
      <c r="E232" s="121"/>
      <c r="F232" s="121" t="s">
        <v>164</v>
      </c>
      <c r="G232" s="121"/>
      <c r="H232" s="121" t="s">
        <v>165</v>
      </c>
      <c r="I232" s="121"/>
      <c r="J232" s="121" t="s">
        <v>430</v>
      </c>
      <c r="K232" s="121"/>
      <c r="L232" s="121"/>
      <c r="M232" s="121"/>
      <c r="N232" s="123"/>
      <c r="O232" s="121"/>
      <c r="P232" s="121" t="s">
        <v>167</v>
      </c>
      <c r="Q232" s="121"/>
      <c r="R232" s="124">
        <v>-4466</v>
      </c>
      <c r="S232" s="121"/>
      <c r="T232" s="124">
        <f t="shared" si="4"/>
        <v>-238621</v>
      </c>
    </row>
    <row r="233" spans="2:20" x14ac:dyDescent="0.4">
      <c r="B233" s="121" t="s">
        <v>135</v>
      </c>
      <c r="C233" s="121"/>
      <c r="D233" s="122">
        <v>43921</v>
      </c>
      <c r="E233" s="121"/>
      <c r="F233" s="121" t="s">
        <v>233</v>
      </c>
      <c r="G233" s="121"/>
      <c r="H233" s="121" t="s">
        <v>234</v>
      </c>
      <c r="I233" s="121"/>
      <c r="J233" s="121" t="s">
        <v>431</v>
      </c>
      <c r="K233" s="121"/>
      <c r="L233" s="121"/>
      <c r="M233" s="121"/>
      <c r="N233" s="123"/>
      <c r="O233" s="121"/>
      <c r="P233" s="121" t="s">
        <v>160</v>
      </c>
      <c r="Q233" s="121"/>
      <c r="R233" s="124">
        <v>-479</v>
      </c>
      <c r="S233" s="121"/>
      <c r="T233" s="124">
        <f t="shared" si="4"/>
        <v>-239100</v>
      </c>
    </row>
    <row r="234" spans="2:20" x14ac:dyDescent="0.4">
      <c r="B234" s="121" t="s">
        <v>135</v>
      </c>
      <c r="C234" s="121"/>
      <c r="D234" s="122">
        <v>43951</v>
      </c>
      <c r="E234" s="121"/>
      <c r="F234" s="121" t="s">
        <v>164</v>
      </c>
      <c r="G234" s="121"/>
      <c r="H234" s="121" t="s">
        <v>165</v>
      </c>
      <c r="I234" s="121"/>
      <c r="J234" s="121" t="s">
        <v>432</v>
      </c>
      <c r="K234" s="121"/>
      <c r="L234" s="121"/>
      <c r="M234" s="121"/>
      <c r="N234" s="123"/>
      <c r="O234" s="121"/>
      <c r="P234" s="121" t="s">
        <v>167</v>
      </c>
      <c r="Q234" s="121"/>
      <c r="R234" s="124">
        <v>-4455</v>
      </c>
      <c r="S234" s="121"/>
      <c r="T234" s="124">
        <f t="shared" si="4"/>
        <v>-243555</v>
      </c>
    </row>
    <row r="235" spans="2:20" x14ac:dyDescent="0.4">
      <c r="B235" s="121" t="s">
        <v>135</v>
      </c>
      <c r="C235" s="121"/>
      <c r="D235" s="122">
        <v>43951</v>
      </c>
      <c r="E235" s="121"/>
      <c r="F235" s="121" t="s">
        <v>242</v>
      </c>
      <c r="G235" s="121"/>
      <c r="H235" s="121"/>
      <c r="I235" s="121"/>
      <c r="J235" s="121" t="s">
        <v>433</v>
      </c>
      <c r="K235" s="121"/>
      <c r="L235" s="121"/>
      <c r="M235" s="121"/>
      <c r="N235" s="123"/>
      <c r="O235" s="121"/>
      <c r="P235" s="121" t="s">
        <v>418</v>
      </c>
      <c r="Q235" s="121"/>
      <c r="R235" s="124">
        <v>3</v>
      </c>
      <c r="S235" s="121"/>
      <c r="T235" s="124">
        <f t="shared" si="4"/>
        <v>-243552</v>
      </c>
    </row>
    <row r="236" spans="2:20" x14ac:dyDescent="0.4">
      <c r="B236" s="121" t="s">
        <v>135</v>
      </c>
      <c r="C236" s="121"/>
      <c r="D236" s="122">
        <v>43951</v>
      </c>
      <c r="E236" s="121"/>
      <c r="F236" s="121" t="s">
        <v>240</v>
      </c>
      <c r="G236" s="121"/>
      <c r="H236" s="121" t="s">
        <v>234</v>
      </c>
      <c r="I236" s="121"/>
      <c r="J236" s="121" t="s">
        <v>434</v>
      </c>
      <c r="K236" s="121"/>
      <c r="L236" s="121"/>
      <c r="M236" s="121"/>
      <c r="N236" s="123"/>
      <c r="O236" s="121"/>
      <c r="P236" s="121" t="s">
        <v>160</v>
      </c>
      <c r="Q236" s="121"/>
      <c r="R236" s="124">
        <v>-479</v>
      </c>
      <c r="S236" s="121"/>
      <c r="T236" s="124">
        <f t="shared" si="4"/>
        <v>-244031</v>
      </c>
    </row>
    <row r="237" spans="2:20" x14ac:dyDescent="0.4">
      <c r="B237" s="121" t="s">
        <v>135</v>
      </c>
      <c r="C237" s="121"/>
      <c r="D237" s="122">
        <v>43982</v>
      </c>
      <c r="E237" s="121"/>
      <c r="F237" s="121" t="s">
        <v>164</v>
      </c>
      <c r="G237" s="121"/>
      <c r="H237" s="121" t="s">
        <v>165</v>
      </c>
      <c r="I237" s="121"/>
      <c r="J237" s="121" t="s">
        <v>435</v>
      </c>
      <c r="K237" s="121"/>
      <c r="L237" s="121"/>
      <c r="M237" s="121"/>
      <c r="N237" s="123"/>
      <c r="O237" s="121"/>
      <c r="P237" s="121" t="s">
        <v>167</v>
      </c>
      <c r="Q237" s="121"/>
      <c r="R237" s="124">
        <v>-4448</v>
      </c>
      <c r="S237" s="121"/>
      <c r="T237" s="124">
        <f t="shared" si="4"/>
        <v>-248479</v>
      </c>
    </row>
    <row r="238" spans="2:20" x14ac:dyDescent="0.4">
      <c r="B238" s="121" t="s">
        <v>135</v>
      </c>
      <c r="C238" s="121"/>
      <c r="D238" s="122">
        <v>43982</v>
      </c>
      <c r="E238" s="121"/>
      <c r="F238" s="121" t="s">
        <v>240</v>
      </c>
      <c r="G238" s="121"/>
      <c r="H238" s="121" t="s">
        <v>234</v>
      </c>
      <c r="I238" s="121"/>
      <c r="J238" s="121" t="s">
        <v>436</v>
      </c>
      <c r="K238" s="121"/>
      <c r="L238" s="121"/>
      <c r="M238" s="121"/>
      <c r="N238" s="123"/>
      <c r="O238" s="121"/>
      <c r="P238" s="121" t="s">
        <v>160</v>
      </c>
      <c r="Q238" s="121"/>
      <c r="R238" s="124">
        <v>-477</v>
      </c>
      <c r="S238" s="121"/>
      <c r="T238" s="124">
        <f t="shared" si="4"/>
        <v>-248956</v>
      </c>
    </row>
    <row r="239" spans="2:20" x14ac:dyDescent="0.4">
      <c r="B239" s="121" t="s">
        <v>135</v>
      </c>
      <c r="C239" s="121"/>
      <c r="D239" s="122">
        <v>44012</v>
      </c>
      <c r="E239" s="121"/>
      <c r="F239" s="121" t="s">
        <v>164</v>
      </c>
      <c r="G239" s="121"/>
      <c r="H239" s="121" t="s">
        <v>165</v>
      </c>
      <c r="I239" s="121"/>
      <c r="J239" s="121" t="s">
        <v>437</v>
      </c>
      <c r="K239" s="121"/>
      <c r="L239" s="121"/>
      <c r="M239" s="121"/>
      <c r="N239" s="123"/>
      <c r="O239" s="121"/>
      <c r="P239" s="121" t="s">
        <v>167</v>
      </c>
      <c r="Q239" s="121"/>
      <c r="R239" s="124">
        <v>-4433</v>
      </c>
      <c r="S239" s="121"/>
      <c r="T239" s="124">
        <f t="shared" si="4"/>
        <v>-253389</v>
      </c>
    </row>
    <row r="240" spans="2:20" x14ac:dyDescent="0.4">
      <c r="B240" s="121" t="s">
        <v>135</v>
      </c>
      <c r="C240" s="121"/>
      <c r="D240" s="122">
        <v>44012</v>
      </c>
      <c r="E240" s="121"/>
      <c r="F240" s="121" t="s">
        <v>242</v>
      </c>
      <c r="G240" s="121"/>
      <c r="H240" s="121"/>
      <c r="I240" s="121"/>
      <c r="J240" s="121" t="s">
        <v>438</v>
      </c>
      <c r="K240" s="121"/>
      <c r="L240" s="121"/>
      <c r="M240" s="121"/>
      <c r="N240" s="123"/>
      <c r="O240" s="121"/>
      <c r="P240" s="121" t="s">
        <v>377</v>
      </c>
      <c r="Q240" s="121"/>
      <c r="R240" s="124">
        <v>1</v>
      </c>
      <c r="S240" s="121"/>
      <c r="T240" s="124">
        <f t="shared" si="4"/>
        <v>-253388</v>
      </c>
    </row>
    <row r="241" spans="2:20" x14ac:dyDescent="0.4">
      <c r="B241" s="121" t="s">
        <v>135</v>
      </c>
      <c r="C241" s="121"/>
      <c r="D241" s="122">
        <v>44012</v>
      </c>
      <c r="E241" s="121"/>
      <c r="F241" s="121" t="s">
        <v>240</v>
      </c>
      <c r="G241" s="121"/>
      <c r="H241" s="121" t="s">
        <v>234</v>
      </c>
      <c r="I241" s="121"/>
      <c r="J241" s="121" t="s">
        <v>439</v>
      </c>
      <c r="K241" s="121"/>
      <c r="L241" s="121"/>
      <c r="M241" s="121"/>
      <c r="N241" s="123"/>
      <c r="O241" s="121"/>
      <c r="P241" s="121" t="s">
        <v>160</v>
      </c>
      <c r="Q241" s="121"/>
      <c r="R241" s="124">
        <v>-477</v>
      </c>
      <c r="S241" s="121"/>
      <c r="T241" s="124">
        <f t="shared" si="4"/>
        <v>-253865</v>
      </c>
    </row>
    <row r="242" spans="2:20" x14ac:dyDescent="0.4">
      <c r="B242" s="121" t="s">
        <v>135</v>
      </c>
      <c r="C242" s="121"/>
      <c r="D242" s="122">
        <v>44043</v>
      </c>
      <c r="E242" s="121"/>
      <c r="F242" s="121" t="s">
        <v>164</v>
      </c>
      <c r="G242" s="121"/>
      <c r="H242" s="121" t="s">
        <v>165</v>
      </c>
      <c r="I242" s="121"/>
      <c r="J242" s="121" t="s">
        <v>440</v>
      </c>
      <c r="K242" s="121"/>
      <c r="L242" s="121"/>
      <c r="M242" s="121"/>
      <c r="N242" s="123"/>
      <c r="O242" s="121"/>
      <c r="P242" s="121" t="s">
        <v>167</v>
      </c>
      <c r="Q242" s="121"/>
      <c r="R242" s="124">
        <v>-4419</v>
      </c>
      <c r="S242" s="121"/>
      <c r="T242" s="124">
        <f t="shared" si="4"/>
        <v>-258284</v>
      </c>
    </row>
    <row r="243" spans="2:20" x14ac:dyDescent="0.4">
      <c r="B243" s="121" t="s">
        <v>135</v>
      </c>
      <c r="C243" s="121"/>
      <c r="D243" s="122">
        <v>44043</v>
      </c>
      <c r="E243" s="121"/>
      <c r="F243" s="121" t="s">
        <v>240</v>
      </c>
      <c r="G243" s="121"/>
      <c r="H243" s="121" t="s">
        <v>234</v>
      </c>
      <c r="I243" s="121"/>
      <c r="J243" s="121" t="s">
        <v>441</v>
      </c>
      <c r="K243" s="121"/>
      <c r="L243" s="121"/>
      <c r="M243" s="121"/>
      <c r="N243" s="123"/>
      <c r="O243" s="121"/>
      <c r="P243" s="121" t="s">
        <v>160</v>
      </c>
      <c r="Q243" s="121"/>
      <c r="R243" s="124">
        <v>-476</v>
      </c>
      <c r="S243" s="121"/>
      <c r="T243" s="124">
        <f t="shared" si="4"/>
        <v>-258760</v>
      </c>
    </row>
    <row r="244" spans="2:20" x14ac:dyDescent="0.4">
      <c r="B244" s="121" t="s">
        <v>135</v>
      </c>
      <c r="C244" s="121"/>
      <c r="D244" s="122">
        <v>44074</v>
      </c>
      <c r="E244" s="121"/>
      <c r="F244" s="121" t="s">
        <v>164</v>
      </c>
      <c r="G244" s="121"/>
      <c r="H244" s="121" t="s">
        <v>165</v>
      </c>
      <c r="I244" s="121"/>
      <c r="J244" s="121" t="s">
        <v>442</v>
      </c>
      <c r="K244" s="121"/>
      <c r="L244" s="121"/>
      <c r="M244" s="121"/>
      <c r="N244" s="123"/>
      <c r="O244" s="121"/>
      <c r="P244" s="121" t="s">
        <v>167</v>
      </c>
      <c r="Q244" s="121"/>
      <c r="R244" s="124">
        <v>-4399</v>
      </c>
      <c r="S244" s="121"/>
      <c r="T244" s="124">
        <f t="shared" si="4"/>
        <v>-263159</v>
      </c>
    </row>
    <row r="245" spans="2:20" x14ac:dyDescent="0.4">
      <c r="B245" s="121" t="s">
        <v>135</v>
      </c>
      <c r="C245" s="121"/>
      <c r="D245" s="122">
        <v>44074</v>
      </c>
      <c r="E245" s="121"/>
      <c r="F245" s="121" t="s">
        <v>240</v>
      </c>
      <c r="G245" s="121"/>
      <c r="H245" s="121" t="s">
        <v>234</v>
      </c>
      <c r="I245" s="121"/>
      <c r="J245" s="121" t="s">
        <v>443</v>
      </c>
      <c r="K245" s="121"/>
      <c r="L245" s="121"/>
      <c r="M245" s="121"/>
      <c r="N245" s="123"/>
      <c r="O245" s="121"/>
      <c r="P245" s="121" t="s">
        <v>160</v>
      </c>
      <c r="Q245" s="121"/>
      <c r="R245" s="124">
        <v>-476</v>
      </c>
      <c r="S245" s="121"/>
      <c r="T245" s="124">
        <f t="shared" si="4"/>
        <v>-263635</v>
      </c>
    </row>
    <row r="246" spans="2:20" x14ac:dyDescent="0.4">
      <c r="B246" s="121" t="s">
        <v>135</v>
      </c>
      <c r="C246" s="121"/>
      <c r="D246" s="122">
        <v>44104</v>
      </c>
      <c r="E246" s="121"/>
      <c r="F246" s="121" t="s">
        <v>164</v>
      </c>
      <c r="G246" s="121"/>
      <c r="H246" s="121" t="s">
        <v>165</v>
      </c>
      <c r="I246" s="121"/>
      <c r="J246" s="121" t="s">
        <v>444</v>
      </c>
      <c r="K246" s="121"/>
      <c r="L246" s="121"/>
      <c r="M246" s="121"/>
      <c r="N246" s="123"/>
      <c r="O246" s="121"/>
      <c r="P246" s="121" t="s">
        <v>167</v>
      </c>
      <c r="Q246" s="121"/>
      <c r="R246" s="124">
        <v>-4546</v>
      </c>
      <c r="S246" s="121"/>
      <c r="T246" s="124">
        <f t="shared" si="4"/>
        <v>-268181</v>
      </c>
    </row>
    <row r="247" spans="2:20" x14ac:dyDescent="0.4">
      <c r="B247" s="121" t="s">
        <v>135</v>
      </c>
      <c r="C247" s="121"/>
      <c r="D247" s="122">
        <v>44104</v>
      </c>
      <c r="E247" s="121"/>
      <c r="F247" s="121" t="s">
        <v>242</v>
      </c>
      <c r="G247" s="121"/>
      <c r="H247" s="121" t="s">
        <v>234</v>
      </c>
      <c r="I247" s="121"/>
      <c r="J247" s="121" t="s">
        <v>445</v>
      </c>
      <c r="K247" s="121"/>
      <c r="L247" s="121"/>
      <c r="M247" s="121"/>
      <c r="N247" s="123"/>
      <c r="O247" s="121"/>
      <c r="P247" s="121" t="s">
        <v>160</v>
      </c>
      <c r="Q247" s="121"/>
      <c r="R247" s="124">
        <v>-473</v>
      </c>
      <c r="S247" s="121"/>
      <c r="T247" s="124">
        <f t="shared" si="4"/>
        <v>-268654</v>
      </c>
    </row>
    <row r="248" spans="2:20" x14ac:dyDescent="0.4">
      <c r="B248" s="121" t="s">
        <v>135</v>
      </c>
      <c r="C248" s="121"/>
      <c r="D248" s="122">
        <v>44104</v>
      </c>
      <c r="E248" s="121"/>
      <c r="F248" s="121" t="s">
        <v>446</v>
      </c>
      <c r="G248" s="121"/>
      <c r="H248" s="121"/>
      <c r="I248" s="121"/>
      <c r="J248" s="121" t="s">
        <v>447</v>
      </c>
      <c r="K248" s="121"/>
      <c r="L248" s="121"/>
      <c r="M248" s="121"/>
      <c r="N248" s="123"/>
      <c r="O248" s="121"/>
      <c r="P248" s="121" t="s">
        <v>418</v>
      </c>
      <c r="Q248" s="121"/>
      <c r="R248" s="124">
        <v>2</v>
      </c>
      <c r="S248" s="121"/>
      <c r="T248" s="124">
        <f t="shared" si="4"/>
        <v>-268652</v>
      </c>
    </row>
    <row r="249" spans="2:20" x14ac:dyDescent="0.4">
      <c r="B249" s="121" t="s">
        <v>135</v>
      </c>
      <c r="C249" s="121"/>
      <c r="D249" s="122">
        <v>44135</v>
      </c>
      <c r="E249" s="121"/>
      <c r="F249" s="121" t="s">
        <v>164</v>
      </c>
      <c r="G249" s="121"/>
      <c r="H249" s="121" t="s">
        <v>165</v>
      </c>
      <c r="I249" s="121"/>
      <c r="J249" s="121" t="s">
        <v>448</v>
      </c>
      <c r="K249" s="121"/>
      <c r="L249" s="121"/>
      <c r="M249" s="121"/>
      <c r="N249" s="123"/>
      <c r="O249" s="121"/>
      <c r="P249" s="121" t="s">
        <v>167</v>
      </c>
      <c r="Q249" s="121"/>
      <c r="R249" s="124">
        <v>-4416</v>
      </c>
      <c r="S249" s="121"/>
      <c r="T249" s="124">
        <f t="shared" si="4"/>
        <v>-273068</v>
      </c>
    </row>
    <row r="250" spans="2:20" x14ac:dyDescent="0.4">
      <c r="B250" s="121" t="s">
        <v>135</v>
      </c>
      <c r="C250" s="121"/>
      <c r="D250" s="122">
        <v>44135</v>
      </c>
      <c r="E250" s="121"/>
      <c r="F250" s="121" t="s">
        <v>242</v>
      </c>
      <c r="G250" s="121"/>
      <c r="H250" s="121" t="s">
        <v>234</v>
      </c>
      <c r="I250" s="121"/>
      <c r="J250" s="121" t="s">
        <v>449</v>
      </c>
      <c r="K250" s="121"/>
      <c r="L250" s="121"/>
      <c r="M250" s="121"/>
      <c r="N250" s="123"/>
      <c r="O250" s="121"/>
      <c r="P250" s="121" t="s">
        <v>160</v>
      </c>
      <c r="Q250" s="121"/>
      <c r="R250" s="124">
        <v>-480</v>
      </c>
      <c r="S250" s="121"/>
      <c r="T250" s="124">
        <f t="shared" si="4"/>
        <v>-273548</v>
      </c>
    </row>
    <row r="251" spans="2:20" x14ac:dyDescent="0.4">
      <c r="B251" s="121" t="s">
        <v>135</v>
      </c>
      <c r="C251" s="121"/>
      <c r="D251" s="122">
        <v>44165</v>
      </c>
      <c r="E251" s="121"/>
      <c r="F251" s="121" t="s">
        <v>164</v>
      </c>
      <c r="G251" s="121"/>
      <c r="H251" s="121" t="s">
        <v>165</v>
      </c>
      <c r="I251" s="121"/>
      <c r="J251" s="121" t="s">
        <v>450</v>
      </c>
      <c r="K251" s="121"/>
      <c r="L251" s="121"/>
      <c r="M251" s="121"/>
      <c r="N251" s="123"/>
      <c r="O251" s="121"/>
      <c r="P251" s="121" t="s">
        <v>167</v>
      </c>
      <c r="Q251" s="121"/>
      <c r="R251" s="124">
        <v>-4467</v>
      </c>
      <c r="S251" s="121"/>
      <c r="T251" s="124">
        <f t="shared" si="4"/>
        <v>-278015</v>
      </c>
    </row>
    <row r="252" spans="2:20" x14ac:dyDescent="0.4">
      <c r="B252" s="121" t="s">
        <v>135</v>
      </c>
      <c r="C252" s="121"/>
      <c r="D252" s="122">
        <v>44165</v>
      </c>
      <c r="E252" s="121"/>
      <c r="F252" s="121" t="s">
        <v>242</v>
      </c>
      <c r="G252" s="121"/>
      <c r="H252" s="121" t="s">
        <v>234</v>
      </c>
      <c r="I252" s="121"/>
      <c r="J252" s="121" t="s">
        <v>451</v>
      </c>
      <c r="K252" s="121"/>
      <c r="L252" s="121"/>
      <c r="M252" s="121"/>
      <c r="N252" s="123"/>
      <c r="O252" s="121"/>
      <c r="P252" s="121" t="s">
        <v>160</v>
      </c>
      <c r="Q252" s="121"/>
      <c r="R252" s="124">
        <v>-478</v>
      </c>
      <c r="S252" s="121"/>
      <c r="T252" s="124">
        <f t="shared" si="4"/>
        <v>-278493</v>
      </c>
    </row>
    <row r="253" spans="2:20" x14ac:dyDescent="0.4">
      <c r="B253" s="121" t="s">
        <v>135</v>
      </c>
      <c r="C253" s="121"/>
      <c r="D253" s="122">
        <v>44165</v>
      </c>
      <c r="E253" s="121"/>
      <c r="F253" s="121" t="s">
        <v>240</v>
      </c>
      <c r="G253" s="121"/>
      <c r="H253" s="121"/>
      <c r="I253" s="121"/>
      <c r="J253" s="121" t="s">
        <v>452</v>
      </c>
      <c r="K253" s="121"/>
      <c r="L253" s="121"/>
      <c r="M253" s="121"/>
      <c r="N253" s="123"/>
      <c r="O253" s="121"/>
      <c r="P253" s="121" t="s">
        <v>418</v>
      </c>
      <c r="Q253" s="121"/>
      <c r="R253" s="124">
        <v>1</v>
      </c>
      <c r="S253" s="121"/>
      <c r="T253" s="124">
        <f t="shared" si="4"/>
        <v>-278492</v>
      </c>
    </row>
    <row r="254" spans="2:20" x14ac:dyDescent="0.4">
      <c r="B254" s="121" t="s">
        <v>135</v>
      </c>
      <c r="C254" s="121"/>
      <c r="D254" s="122">
        <v>44196</v>
      </c>
      <c r="E254" s="121"/>
      <c r="F254" s="121" t="s">
        <v>164</v>
      </c>
      <c r="G254" s="121"/>
      <c r="H254" s="121" t="s">
        <v>165</v>
      </c>
      <c r="I254" s="121"/>
      <c r="J254" s="121" t="s">
        <v>453</v>
      </c>
      <c r="K254" s="121"/>
      <c r="L254" s="121"/>
      <c r="M254" s="121"/>
      <c r="N254" s="123"/>
      <c r="O254" s="121"/>
      <c r="P254" s="121" t="s">
        <v>167</v>
      </c>
      <c r="Q254" s="121"/>
      <c r="R254" s="124">
        <v>-4651</v>
      </c>
      <c r="S254" s="121"/>
      <c r="T254" s="124">
        <f t="shared" si="4"/>
        <v>-283143</v>
      </c>
    </row>
    <row r="255" spans="2:20" x14ac:dyDescent="0.4">
      <c r="B255" s="121" t="s">
        <v>135</v>
      </c>
      <c r="C255" s="121"/>
      <c r="D255" s="122">
        <v>44196</v>
      </c>
      <c r="E255" s="121"/>
      <c r="F255" s="121" t="s">
        <v>242</v>
      </c>
      <c r="G255" s="121"/>
      <c r="H255" s="121" t="s">
        <v>234</v>
      </c>
      <c r="I255" s="121"/>
      <c r="J255" s="121" t="s">
        <v>454</v>
      </c>
      <c r="K255" s="121"/>
      <c r="L255" s="121"/>
      <c r="M255" s="121"/>
      <c r="N255" s="123"/>
      <c r="O255" s="121"/>
      <c r="P255" s="121" t="s">
        <v>160</v>
      </c>
      <c r="Q255" s="121"/>
      <c r="R255" s="124">
        <v>-477</v>
      </c>
      <c r="S255" s="121"/>
      <c r="T255" s="124">
        <f t="shared" si="4"/>
        <v>-283620</v>
      </c>
    </row>
    <row r="256" spans="2:20" x14ac:dyDescent="0.4">
      <c r="B256" s="121" t="s">
        <v>135</v>
      </c>
      <c r="C256" s="121"/>
      <c r="D256" s="122">
        <v>44196</v>
      </c>
      <c r="E256" s="121"/>
      <c r="F256" s="121" t="s">
        <v>240</v>
      </c>
      <c r="G256" s="121"/>
      <c r="H256" s="121"/>
      <c r="I256" s="121"/>
      <c r="J256" s="121" t="s">
        <v>455</v>
      </c>
      <c r="K256" s="121"/>
      <c r="L256" s="121"/>
      <c r="M256" s="121"/>
      <c r="N256" s="123"/>
      <c r="O256" s="121"/>
      <c r="P256" s="121" t="s">
        <v>418</v>
      </c>
      <c r="Q256" s="121"/>
      <c r="R256" s="124">
        <v>1</v>
      </c>
      <c r="S256" s="121"/>
      <c r="T256" s="124">
        <f t="shared" si="4"/>
        <v>-283619</v>
      </c>
    </row>
    <row r="257" spans="2:20" x14ac:dyDescent="0.4">
      <c r="B257" s="121" t="s">
        <v>135</v>
      </c>
      <c r="C257" s="121"/>
      <c r="D257" s="122">
        <v>44227</v>
      </c>
      <c r="E257" s="121"/>
      <c r="F257" s="121" t="s">
        <v>164</v>
      </c>
      <c r="G257" s="121"/>
      <c r="H257" s="121" t="s">
        <v>165</v>
      </c>
      <c r="I257" s="121"/>
      <c r="J257" s="121" t="s">
        <v>456</v>
      </c>
      <c r="K257" s="121"/>
      <c r="L257" s="121"/>
      <c r="M257" s="121"/>
      <c r="N257" s="123"/>
      <c r="O257" s="121"/>
      <c r="P257" s="121" t="s">
        <v>167</v>
      </c>
      <c r="Q257" s="121"/>
      <c r="R257" s="124">
        <v>-4463</v>
      </c>
      <c r="S257" s="121"/>
      <c r="T257" s="124">
        <f t="shared" si="4"/>
        <v>-288082</v>
      </c>
    </row>
    <row r="258" spans="2:20" x14ac:dyDescent="0.4">
      <c r="B258" s="121" t="s">
        <v>135</v>
      </c>
      <c r="C258" s="121"/>
      <c r="D258" s="122">
        <v>44227</v>
      </c>
      <c r="E258" s="121"/>
      <c r="F258" s="121" t="s">
        <v>242</v>
      </c>
      <c r="G258" s="121"/>
      <c r="H258" s="121"/>
      <c r="I258" s="121"/>
      <c r="J258" s="121" t="s">
        <v>457</v>
      </c>
      <c r="K258" s="121"/>
      <c r="L258" s="121"/>
      <c r="M258" s="121"/>
      <c r="N258" s="123"/>
      <c r="O258" s="121"/>
      <c r="P258" s="121" t="s">
        <v>214</v>
      </c>
      <c r="Q258" s="121"/>
      <c r="R258" s="124">
        <v>2</v>
      </c>
      <c r="S258" s="121"/>
      <c r="T258" s="124">
        <f t="shared" si="4"/>
        <v>-288080</v>
      </c>
    </row>
    <row r="259" spans="2:20" x14ac:dyDescent="0.4">
      <c r="B259" s="121" t="s">
        <v>135</v>
      </c>
      <c r="C259" s="121"/>
      <c r="D259" s="122">
        <v>44227</v>
      </c>
      <c r="E259" s="121"/>
      <c r="F259" s="121" t="s">
        <v>240</v>
      </c>
      <c r="G259" s="121"/>
      <c r="H259" s="121" t="s">
        <v>234</v>
      </c>
      <c r="I259" s="121"/>
      <c r="J259" s="121" t="s">
        <v>458</v>
      </c>
      <c r="K259" s="121"/>
      <c r="L259" s="121"/>
      <c r="M259" s="121"/>
      <c r="N259" s="123"/>
      <c r="O259" s="121"/>
      <c r="P259" s="121" t="s">
        <v>160</v>
      </c>
      <c r="Q259" s="121"/>
      <c r="R259" s="124">
        <v>-478</v>
      </c>
      <c r="S259" s="121"/>
      <c r="T259" s="124">
        <f t="shared" si="4"/>
        <v>-288558</v>
      </c>
    </row>
    <row r="260" spans="2:20" x14ac:dyDescent="0.4">
      <c r="B260" s="121" t="s">
        <v>135</v>
      </c>
      <c r="C260" s="121"/>
      <c r="D260" s="122">
        <v>44255</v>
      </c>
      <c r="E260" s="121"/>
      <c r="F260" s="121" t="s">
        <v>164</v>
      </c>
      <c r="G260" s="121"/>
      <c r="H260" s="121" t="s">
        <v>165</v>
      </c>
      <c r="I260" s="121"/>
      <c r="J260" s="121" t="s">
        <v>459</v>
      </c>
      <c r="K260" s="121"/>
      <c r="L260" s="121"/>
      <c r="M260" s="121"/>
      <c r="N260" s="123"/>
      <c r="O260" s="121"/>
      <c r="P260" s="121" t="s">
        <v>167</v>
      </c>
      <c r="Q260" s="121"/>
      <c r="R260" s="124">
        <v>-4457</v>
      </c>
      <c r="S260" s="121"/>
      <c r="T260" s="124">
        <f t="shared" si="4"/>
        <v>-293015</v>
      </c>
    </row>
    <row r="261" spans="2:20" x14ac:dyDescent="0.4">
      <c r="B261" s="121" t="s">
        <v>135</v>
      </c>
      <c r="C261" s="121"/>
      <c r="D261" s="122">
        <v>44255</v>
      </c>
      <c r="E261" s="121"/>
      <c r="F261" s="121" t="s">
        <v>242</v>
      </c>
      <c r="G261" s="121"/>
      <c r="H261" s="121"/>
      <c r="I261" s="121"/>
      <c r="J261" s="121" t="s">
        <v>460</v>
      </c>
      <c r="K261" s="121"/>
      <c r="L261" s="121"/>
      <c r="M261" s="121"/>
      <c r="N261" s="123"/>
      <c r="O261" s="121"/>
      <c r="P261" s="121" t="s">
        <v>418</v>
      </c>
      <c r="Q261" s="121"/>
      <c r="R261" s="124">
        <v>1</v>
      </c>
      <c r="S261" s="121"/>
      <c r="T261" s="124">
        <f t="shared" si="4"/>
        <v>-293014</v>
      </c>
    </row>
    <row r="262" spans="2:20" x14ac:dyDescent="0.4">
      <c r="B262" s="121" t="s">
        <v>135</v>
      </c>
      <c r="C262" s="121"/>
      <c r="D262" s="122">
        <v>44255</v>
      </c>
      <c r="E262" s="121"/>
      <c r="F262" s="121" t="s">
        <v>240</v>
      </c>
      <c r="G262" s="121"/>
      <c r="H262" s="121" t="s">
        <v>234</v>
      </c>
      <c r="I262" s="121"/>
      <c r="J262" s="121" t="s">
        <v>461</v>
      </c>
      <c r="K262" s="121"/>
      <c r="L262" s="121"/>
      <c r="M262" s="121"/>
      <c r="N262" s="123"/>
      <c r="O262" s="121"/>
      <c r="P262" s="121" t="s">
        <v>160</v>
      </c>
      <c r="Q262" s="121"/>
      <c r="R262" s="124">
        <v>-480</v>
      </c>
      <c r="S262" s="121"/>
      <c r="T262" s="124">
        <f t="shared" si="4"/>
        <v>-293494</v>
      </c>
    </row>
    <row r="263" spans="2:20" x14ac:dyDescent="0.4">
      <c r="B263" s="121" t="s">
        <v>135</v>
      </c>
      <c r="C263" s="121"/>
      <c r="D263" s="122">
        <v>44286</v>
      </c>
      <c r="E263" s="121"/>
      <c r="F263" s="121" t="s">
        <v>164</v>
      </c>
      <c r="G263" s="121"/>
      <c r="H263" s="121" t="s">
        <v>165</v>
      </c>
      <c r="I263" s="121"/>
      <c r="J263" s="121" t="s">
        <v>462</v>
      </c>
      <c r="K263" s="121"/>
      <c r="L263" s="121"/>
      <c r="M263" s="121"/>
      <c r="N263" s="123"/>
      <c r="O263" s="121"/>
      <c r="P263" s="121" t="s">
        <v>167</v>
      </c>
      <c r="Q263" s="121"/>
      <c r="R263" s="124">
        <v>-4453</v>
      </c>
      <c r="S263" s="121"/>
      <c r="T263" s="124">
        <f t="shared" si="4"/>
        <v>-297947</v>
      </c>
    </row>
    <row r="264" spans="2:20" x14ac:dyDescent="0.4">
      <c r="B264" s="121" t="s">
        <v>135</v>
      </c>
      <c r="C264" s="121"/>
      <c r="D264" s="122">
        <v>44286</v>
      </c>
      <c r="E264" s="121"/>
      <c r="F264" s="121" t="s">
        <v>242</v>
      </c>
      <c r="G264" s="121"/>
      <c r="H264" s="121"/>
      <c r="I264" s="121"/>
      <c r="J264" s="121" t="s">
        <v>463</v>
      </c>
      <c r="K264" s="121"/>
      <c r="L264" s="121"/>
      <c r="M264" s="121"/>
      <c r="N264" s="123"/>
      <c r="O264" s="121"/>
      <c r="P264" s="121" t="s">
        <v>225</v>
      </c>
      <c r="Q264" s="121"/>
      <c r="R264" s="124">
        <v>1</v>
      </c>
      <c r="S264" s="121"/>
      <c r="T264" s="124">
        <f t="shared" si="4"/>
        <v>-297946</v>
      </c>
    </row>
    <row r="265" spans="2:20" x14ac:dyDescent="0.4">
      <c r="B265" s="121" t="s">
        <v>135</v>
      </c>
      <c r="C265" s="121"/>
      <c r="D265" s="122">
        <v>44286</v>
      </c>
      <c r="E265" s="121"/>
      <c r="F265" s="121" t="s">
        <v>233</v>
      </c>
      <c r="G265" s="121"/>
      <c r="H265" s="121" t="s">
        <v>158</v>
      </c>
      <c r="I265" s="121"/>
      <c r="J265" s="121" t="s">
        <v>464</v>
      </c>
      <c r="K265" s="121"/>
      <c r="L265" s="121"/>
      <c r="M265" s="121"/>
      <c r="N265" s="123"/>
      <c r="O265" s="121"/>
      <c r="P265" s="121" t="s">
        <v>160</v>
      </c>
      <c r="Q265" s="121"/>
      <c r="R265" s="124">
        <v>-480</v>
      </c>
      <c r="S265" s="121"/>
      <c r="T265" s="124">
        <f t="shared" si="4"/>
        <v>-298426</v>
      </c>
    </row>
    <row r="266" spans="2:20" x14ac:dyDescent="0.4">
      <c r="B266" s="121" t="s">
        <v>135</v>
      </c>
      <c r="C266" s="121"/>
      <c r="D266" s="122">
        <v>44316</v>
      </c>
      <c r="E266" s="121"/>
      <c r="F266" s="121" t="s">
        <v>164</v>
      </c>
      <c r="G266" s="121"/>
      <c r="H266" s="121" t="s">
        <v>165</v>
      </c>
      <c r="I266" s="121"/>
      <c r="J266" s="121" t="s">
        <v>465</v>
      </c>
      <c r="K266" s="121"/>
      <c r="L266" s="121"/>
      <c r="M266" s="121"/>
      <c r="N266" s="123"/>
      <c r="O266" s="121"/>
      <c r="P266" s="121" t="s">
        <v>167</v>
      </c>
      <c r="Q266" s="121"/>
      <c r="R266" s="124">
        <v>-4580</v>
      </c>
      <c r="S266" s="121"/>
      <c r="T266" s="124">
        <f t="shared" si="4"/>
        <v>-303006</v>
      </c>
    </row>
    <row r="267" spans="2:20" x14ac:dyDescent="0.4">
      <c r="B267" s="121" t="s">
        <v>135</v>
      </c>
      <c r="C267" s="121"/>
      <c r="D267" s="122">
        <v>44316</v>
      </c>
      <c r="E267" s="121"/>
      <c r="F267" s="121" t="s">
        <v>212</v>
      </c>
      <c r="G267" s="121"/>
      <c r="H267" s="121"/>
      <c r="I267" s="121"/>
      <c r="J267" s="121" t="s">
        <v>466</v>
      </c>
      <c r="K267" s="121"/>
      <c r="L267" s="121"/>
      <c r="M267" s="121"/>
      <c r="N267" s="123"/>
      <c r="O267" s="121"/>
      <c r="P267" s="121" t="s">
        <v>225</v>
      </c>
      <c r="Q267" s="121"/>
      <c r="R267" s="124">
        <v>1</v>
      </c>
      <c r="S267" s="121"/>
      <c r="T267" s="124">
        <f t="shared" si="4"/>
        <v>-303005</v>
      </c>
    </row>
    <row r="268" spans="2:20" x14ac:dyDescent="0.4">
      <c r="B268" s="121" t="s">
        <v>135</v>
      </c>
      <c r="C268" s="121"/>
      <c r="D268" s="122">
        <v>44316</v>
      </c>
      <c r="E268" s="121"/>
      <c r="F268" s="121" t="s">
        <v>240</v>
      </c>
      <c r="G268" s="121"/>
      <c r="H268" s="121" t="s">
        <v>158</v>
      </c>
      <c r="I268" s="121"/>
      <c r="J268" s="121" t="s">
        <v>467</v>
      </c>
      <c r="K268" s="121"/>
      <c r="L268" s="121"/>
      <c r="M268" s="121"/>
      <c r="N268" s="123"/>
      <c r="O268" s="121"/>
      <c r="P268" s="121" t="s">
        <v>160</v>
      </c>
      <c r="Q268" s="121"/>
      <c r="R268" s="124">
        <v>-479</v>
      </c>
      <c r="S268" s="121"/>
      <c r="T268" s="124">
        <f t="shared" si="4"/>
        <v>-303484</v>
      </c>
    </row>
    <row r="269" spans="2:20" x14ac:dyDescent="0.4">
      <c r="B269" s="121" t="s">
        <v>135</v>
      </c>
      <c r="C269" s="121"/>
      <c r="D269" s="122">
        <v>44347</v>
      </c>
      <c r="E269" s="121"/>
      <c r="F269" s="121" t="s">
        <v>164</v>
      </c>
      <c r="G269" s="121"/>
      <c r="H269" s="121" t="s">
        <v>165</v>
      </c>
      <c r="I269" s="121"/>
      <c r="J269" s="121" t="s">
        <v>468</v>
      </c>
      <c r="K269" s="121"/>
      <c r="L269" s="121"/>
      <c r="M269" s="121"/>
      <c r="N269" s="123"/>
      <c r="O269" s="121"/>
      <c r="P269" s="121" t="s">
        <v>167</v>
      </c>
      <c r="Q269" s="121"/>
      <c r="R269" s="124">
        <v>-4400</v>
      </c>
      <c r="S269" s="121"/>
      <c r="T269" s="124">
        <f t="shared" si="4"/>
        <v>-307884</v>
      </c>
    </row>
    <row r="270" spans="2:20" x14ac:dyDescent="0.4">
      <c r="B270" s="121" t="s">
        <v>135</v>
      </c>
      <c r="C270" s="121"/>
      <c r="D270" s="122">
        <v>44347</v>
      </c>
      <c r="E270" s="121"/>
      <c r="F270" s="121" t="s">
        <v>212</v>
      </c>
      <c r="G270" s="121"/>
      <c r="H270" s="121"/>
      <c r="I270" s="121"/>
      <c r="J270" s="121" t="s">
        <v>469</v>
      </c>
      <c r="K270" s="121"/>
      <c r="L270" s="121"/>
      <c r="M270" s="121"/>
      <c r="N270" s="123"/>
      <c r="O270" s="121"/>
      <c r="P270" s="121" t="s">
        <v>225</v>
      </c>
      <c r="Q270" s="121"/>
      <c r="R270" s="124">
        <v>1</v>
      </c>
      <c r="S270" s="121"/>
      <c r="T270" s="124">
        <f t="shared" si="4"/>
        <v>-307883</v>
      </c>
    </row>
    <row r="271" spans="2:20" x14ac:dyDescent="0.4">
      <c r="B271" s="121" t="s">
        <v>135</v>
      </c>
      <c r="C271" s="121"/>
      <c r="D271" s="122">
        <v>44347</v>
      </c>
      <c r="E271" s="121"/>
      <c r="F271" s="121" t="s">
        <v>212</v>
      </c>
      <c r="G271" s="121"/>
      <c r="H271" s="121"/>
      <c r="I271" s="121"/>
      <c r="J271" s="121" t="s">
        <v>469</v>
      </c>
      <c r="K271" s="121"/>
      <c r="L271" s="121"/>
      <c r="M271" s="121"/>
      <c r="N271" s="123"/>
      <c r="O271" s="121"/>
      <c r="P271" s="121" t="s">
        <v>225</v>
      </c>
      <c r="Q271" s="121"/>
      <c r="R271" s="124">
        <v>2</v>
      </c>
      <c r="S271" s="121"/>
      <c r="T271" s="124">
        <f t="shared" si="4"/>
        <v>-307881</v>
      </c>
    </row>
    <row r="272" spans="2:20" x14ac:dyDescent="0.4">
      <c r="B272" s="121" t="s">
        <v>135</v>
      </c>
      <c r="C272" s="121"/>
      <c r="D272" s="122">
        <v>44347</v>
      </c>
      <c r="E272" s="121"/>
      <c r="F272" s="121" t="s">
        <v>233</v>
      </c>
      <c r="G272" s="121"/>
      <c r="H272" s="121" t="s">
        <v>158</v>
      </c>
      <c r="I272" s="121"/>
      <c r="J272" s="121" t="s">
        <v>470</v>
      </c>
      <c r="K272" s="121"/>
      <c r="L272" s="121"/>
      <c r="M272" s="121"/>
      <c r="N272" s="123"/>
      <c r="O272" s="121"/>
      <c r="P272" s="121" t="s">
        <v>160</v>
      </c>
      <c r="Q272" s="121"/>
      <c r="R272" s="124">
        <v>-475</v>
      </c>
      <c r="S272" s="121"/>
      <c r="T272" s="124">
        <f t="shared" si="4"/>
        <v>-308356</v>
      </c>
    </row>
    <row r="273" spans="2:20" x14ac:dyDescent="0.4">
      <c r="B273" s="121" t="s">
        <v>135</v>
      </c>
      <c r="C273" s="121"/>
      <c r="D273" s="122">
        <v>44377</v>
      </c>
      <c r="E273" s="121"/>
      <c r="F273" s="121" t="s">
        <v>164</v>
      </c>
      <c r="G273" s="121"/>
      <c r="H273" s="121" t="s">
        <v>165</v>
      </c>
      <c r="I273" s="121"/>
      <c r="J273" s="121" t="s">
        <v>471</v>
      </c>
      <c r="K273" s="121"/>
      <c r="L273" s="121"/>
      <c r="M273" s="121"/>
      <c r="N273" s="123"/>
      <c r="O273" s="121"/>
      <c r="P273" s="121" t="s">
        <v>167</v>
      </c>
      <c r="Q273" s="121"/>
      <c r="R273" s="124">
        <v>-4373</v>
      </c>
      <c r="S273" s="121"/>
      <c r="T273" s="124">
        <f t="shared" si="4"/>
        <v>-312729</v>
      </c>
    </row>
    <row r="274" spans="2:20" x14ac:dyDescent="0.4">
      <c r="B274" s="121" t="s">
        <v>135</v>
      </c>
      <c r="C274" s="121"/>
      <c r="D274" s="122">
        <v>44377</v>
      </c>
      <c r="E274" s="121"/>
      <c r="F274" s="121" t="s">
        <v>212</v>
      </c>
      <c r="G274" s="121"/>
      <c r="H274" s="121"/>
      <c r="I274" s="121"/>
      <c r="J274" s="121" t="s">
        <v>472</v>
      </c>
      <c r="K274" s="121"/>
      <c r="L274" s="121"/>
      <c r="M274" s="121"/>
      <c r="N274" s="123"/>
      <c r="O274" s="121"/>
      <c r="P274" s="121"/>
      <c r="Q274" s="121"/>
      <c r="R274" s="124">
        <v>2</v>
      </c>
      <c r="S274" s="121"/>
      <c r="T274" s="124">
        <f t="shared" si="4"/>
        <v>-312727</v>
      </c>
    </row>
    <row r="275" spans="2:20" x14ac:dyDescent="0.4">
      <c r="B275" s="121" t="s">
        <v>135</v>
      </c>
      <c r="C275" s="121"/>
      <c r="D275" s="122">
        <v>44377</v>
      </c>
      <c r="E275" s="121"/>
      <c r="F275" s="121" t="s">
        <v>240</v>
      </c>
      <c r="G275" s="121"/>
      <c r="H275" s="121" t="s">
        <v>158</v>
      </c>
      <c r="I275" s="121"/>
      <c r="J275" s="121" t="s">
        <v>473</v>
      </c>
      <c r="K275" s="121"/>
      <c r="L275" s="121"/>
      <c r="M275" s="121"/>
      <c r="N275" s="123"/>
      <c r="O275" s="121"/>
      <c r="P275" s="121" t="s">
        <v>160</v>
      </c>
      <c r="Q275" s="121"/>
      <c r="R275" s="124">
        <v>-471</v>
      </c>
      <c r="S275" s="121"/>
      <c r="T275" s="124">
        <f t="shared" si="4"/>
        <v>-313198</v>
      </c>
    </row>
    <row r="276" spans="2:20" x14ac:dyDescent="0.4">
      <c r="B276" s="121" t="s">
        <v>135</v>
      </c>
      <c r="C276" s="121"/>
      <c r="D276" s="122">
        <v>44408</v>
      </c>
      <c r="E276" s="121"/>
      <c r="F276" s="121" t="s">
        <v>164</v>
      </c>
      <c r="G276" s="121"/>
      <c r="H276" s="121" t="s">
        <v>165</v>
      </c>
      <c r="I276" s="121"/>
      <c r="J276" s="121" t="s">
        <v>474</v>
      </c>
      <c r="K276" s="121"/>
      <c r="L276" s="121"/>
      <c r="M276" s="121"/>
      <c r="N276" s="123"/>
      <c r="O276" s="121"/>
      <c r="P276" s="121" t="s">
        <v>167</v>
      </c>
      <c r="Q276" s="121"/>
      <c r="R276" s="124">
        <v>-4347</v>
      </c>
      <c r="S276" s="121"/>
      <c r="T276" s="124">
        <f t="shared" si="4"/>
        <v>-317545</v>
      </c>
    </row>
    <row r="277" spans="2:20" x14ac:dyDescent="0.4">
      <c r="B277" s="121" t="s">
        <v>135</v>
      </c>
      <c r="C277" s="121"/>
      <c r="D277" s="122">
        <v>44408</v>
      </c>
      <c r="E277" s="121"/>
      <c r="F277" s="121" t="s">
        <v>212</v>
      </c>
      <c r="G277" s="121"/>
      <c r="H277" s="121"/>
      <c r="I277" s="121"/>
      <c r="J277" s="121" t="s">
        <v>475</v>
      </c>
      <c r="K277" s="121"/>
      <c r="L277" s="121"/>
      <c r="M277" s="121"/>
      <c r="N277" s="123"/>
      <c r="O277" s="121"/>
      <c r="P277" s="121" t="s">
        <v>377</v>
      </c>
      <c r="Q277" s="121"/>
      <c r="R277" s="124">
        <v>1</v>
      </c>
      <c r="S277" s="121"/>
      <c r="T277" s="124">
        <f t="shared" si="4"/>
        <v>-317544</v>
      </c>
    </row>
    <row r="278" spans="2:20" x14ac:dyDescent="0.4">
      <c r="B278" s="121" t="s">
        <v>135</v>
      </c>
      <c r="C278" s="121"/>
      <c r="D278" s="122">
        <v>44408</v>
      </c>
      <c r="E278" s="121"/>
      <c r="F278" s="121" t="s">
        <v>240</v>
      </c>
      <c r="G278" s="121"/>
      <c r="H278" s="121" t="s">
        <v>158</v>
      </c>
      <c r="I278" s="121"/>
      <c r="J278" s="121" t="s">
        <v>476</v>
      </c>
      <c r="K278" s="121"/>
      <c r="L278" s="121"/>
      <c r="M278" s="121"/>
      <c r="N278" s="123"/>
      <c r="O278" s="121"/>
      <c r="P278" s="121" t="s">
        <v>160</v>
      </c>
      <c r="Q278" s="121"/>
      <c r="R278" s="124">
        <v>-469</v>
      </c>
      <c r="S278" s="121"/>
      <c r="T278" s="124">
        <f t="shared" si="4"/>
        <v>-318013</v>
      </c>
    </row>
    <row r="279" spans="2:20" x14ac:dyDescent="0.4">
      <c r="B279" s="121" t="s">
        <v>135</v>
      </c>
      <c r="C279" s="121"/>
      <c r="D279" s="122">
        <v>44439</v>
      </c>
      <c r="E279" s="121"/>
      <c r="F279" s="121" t="s">
        <v>164</v>
      </c>
      <c r="G279" s="121"/>
      <c r="H279" s="121" t="s">
        <v>165</v>
      </c>
      <c r="I279" s="121"/>
      <c r="J279" s="121" t="s">
        <v>477</v>
      </c>
      <c r="K279" s="121"/>
      <c r="L279" s="121"/>
      <c r="M279" s="121"/>
      <c r="N279" s="123"/>
      <c r="O279" s="121"/>
      <c r="P279" s="121" t="s">
        <v>167</v>
      </c>
      <c r="Q279" s="121"/>
      <c r="R279" s="124">
        <v>-4306</v>
      </c>
      <c r="S279" s="121"/>
      <c r="T279" s="124">
        <f t="shared" si="4"/>
        <v>-322319</v>
      </c>
    </row>
    <row r="280" spans="2:20" x14ac:dyDescent="0.4">
      <c r="B280" s="121" t="s">
        <v>135</v>
      </c>
      <c r="C280" s="121"/>
      <c r="D280" s="122">
        <v>44439</v>
      </c>
      <c r="E280" s="121"/>
      <c r="F280" s="121" t="s">
        <v>212</v>
      </c>
      <c r="G280" s="121"/>
      <c r="H280" s="121"/>
      <c r="I280" s="121"/>
      <c r="J280" s="121" t="s">
        <v>478</v>
      </c>
      <c r="K280" s="121"/>
      <c r="L280" s="121"/>
      <c r="M280" s="121"/>
      <c r="N280" s="123"/>
      <c r="O280" s="121"/>
      <c r="P280" s="121" t="s">
        <v>214</v>
      </c>
      <c r="Q280" s="121"/>
      <c r="R280" s="124">
        <v>5</v>
      </c>
      <c r="S280" s="121"/>
      <c r="T280" s="124">
        <f t="shared" si="4"/>
        <v>-322314</v>
      </c>
    </row>
    <row r="281" spans="2:20" x14ac:dyDescent="0.4">
      <c r="B281" s="121" t="s">
        <v>135</v>
      </c>
      <c r="C281" s="121"/>
      <c r="D281" s="122">
        <v>44439</v>
      </c>
      <c r="E281" s="121"/>
      <c r="F281" s="121" t="s">
        <v>240</v>
      </c>
      <c r="G281" s="121"/>
      <c r="H281" s="121" t="s">
        <v>234</v>
      </c>
      <c r="I281" s="121"/>
      <c r="J281" s="121" t="s">
        <v>479</v>
      </c>
      <c r="K281" s="121"/>
      <c r="L281" s="121"/>
      <c r="M281" s="121"/>
      <c r="N281" s="123"/>
      <c r="O281" s="121"/>
      <c r="P281" s="121" t="s">
        <v>160</v>
      </c>
      <c r="Q281" s="121"/>
      <c r="R281" s="124">
        <v>-468</v>
      </c>
      <c r="S281" s="121"/>
      <c r="T281" s="124">
        <f t="shared" si="4"/>
        <v>-322782</v>
      </c>
    </row>
    <row r="282" spans="2:20" x14ac:dyDescent="0.4">
      <c r="B282" s="121" t="s">
        <v>135</v>
      </c>
      <c r="C282" s="121"/>
      <c r="D282" s="122">
        <v>44469</v>
      </c>
      <c r="E282" s="121"/>
      <c r="F282" s="121" t="s">
        <v>164</v>
      </c>
      <c r="G282" s="121"/>
      <c r="H282" s="121" t="s">
        <v>165</v>
      </c>
      <c r="I282" s="121"/>
      <c r="J282" s="121" t="s">
        <v>480</v>
      </c>
      <c r="K282" s="121"/>
      <c r="L282" s="121"/>
      <c r="M282" s="121"/>
      <c r="N282" s="123"/>
      <c r="O282" s="121"/>
      <c r="P282" s="121" t="s">
        <v>167</v>
      </c>
      <c r="Q282" s="121"/>
      <c r="R282" s="124">
        <v>-4303</v>
      </c>
      <c r="S282" s="121"/>
      <c r="T282" s="124">
        <f t="shared" si="4"/>
        <v>-327085</v>
      </c>
    </row>
    <row r="283" spans="2:20" x14ac:dyDescent="0.4">
      <c r="B283" s="121" t="s">
        <v>135</v>
      </c>
      <c r="C283" s="121"/>
      <c r="D283" s="122">
        <v>44469</v>
      </c>
      <c r="E283" s="121"/>
      <c r="F283" s="121" t="s">
        <v>212</v>
      </c>
      <c r="G283" s="121"/>
      <c r="H283" s="121"/>
      <c r="I283" s="121"/>
      <c r="J283" s="121" t="s">
        <v>481</v>
      </c>
      <c r="K283" s="121"/>
      <c r="L283" s="121"/>
      <c r="M283" s="121"/>
      <c r="N283" s="123"/>
      <c r="O283" s="121"/>
      <c r="P283" s="121" t="s">
        <v>225</v>
      </c>
      <c r="Q283" s="121"/>
      <c r="R283" s="124">
        <v>2</v>
      </c>
      <c r="S283" s="121"/>
      <c r="T283" s="124">
        <f t="shared" si="4"/>
        <v>-327083</v>
      </c>
    </row>
    <row r="284" spans="2:20" x14ac:dyDescent="0.4">
      <c r="B284" s="121" t="s">
        <v>135</v>
      </c>
      <c r="C284" s="121"/>
      <c r="D284" s="122">
        <v>44469</v>
      </c>
      <c r="E284" s="121"/>
      <c r="F284" s="121" t="s">
        <v>240</v>
      </c>
      <c r="G284" s="121"/>
      <c r="H284" s="121" t="s">
        <v>234</v>
      </c>
      <c r="I284" s="121"/>
      <c r="J284" s="121" t="s">
        <v>482</v>
      </c>
      <c r="K284" s="121"/>
      <c r="L284" s="121"/>
      <c r="M284" s="121"/>
      <c r="N284" s="123"/>
      <c r="O284" s="121"/>
      <c r="P284" s="121" t="s">
        <v>160</v>
      </c>
      <c r="Q284" s="121"/>
      <c r="R284" s="124">
        <v>-471</v>
      </c>
      <c r="S284" s="121"/>
      <c r="T284" s="124">
        <f t="shared" si="4"/>
        <v>-327554</v>
      </c>
    </row>
    <row r="285" spans="2:20" x14ac:dyDescent="0.4">
      <c r="B285" s="121" t="s">
        <v>135</v>
      </c>
      <c r="C285" s="121"/>
      <c r="D285" s="122">
        <v>44500</v>
      </c>
      <c r="E285" s="121"/>
      <c r="F285" s="121" t="s">
        <v>164</v>
      </c>
      <c r="G285" s="121"/>
      <c r="H285" s="121" t="s">
        <v>165</v>
      </c>
      <c r="I285" s="121"/>
      <c r="J285" s="121" t="s">
        <v>483</v>
      </c>
      <c r="K285" s="121"/>
      <c r="L285" s="121"/>
      <c r="M285" s="121"/>
      <c r="N285" s="123"/>
      <c r="O285" s="121"/>
      <c r="P285" s="121" t="s">
        <v>167</v>
      </c>
      <c r="Q285" s="121"/>
      <c r="R285" s="124">
        <v>-4337</v>
      </c>
      <c r="S285" s="121"/>
      <c r="T285" s="124">
        <f t="shared" si="4"/>
        <v>-331891</v>
      </c>
    </row>
    <row r="286" spans="2:20" x14ac:dyDescent="0.4">
      <c r="B286" s="121" t="s">
        <v>135</v>
      </c>
      <c r="C286" s="121"/>
      <c r="D286" s="122">
        <v>44500</v>
      </c>
      <c r="E286" s="121"/>
      <c r="F286" s="121" t="s">
        <v>212</v>
      </c>
      <c r="G286" s="121"/>
      <c r="H286" s="121"/>
      <c r="I286" s="121"/>
      <c r="J286" s="121" t="s">
        <v>484</v>
      </c>
      <c r="K286" s="121"/>
      <c r="L286" s="121"/>
      <c r="M286" s="121"/>
      <c r="N286" s="123"/>
      <c r="O286" s="121"/>
      <c r="P286" s="121" t="s">
        <v>377</v>
      </c>
      <c r="Q286" s="121"/>
      <c r="R286" s="124">
        <v>4</v>
      </c>
      <c r="S286" s="121"/>
      <c r="T286" s="124">
        <f t="shared" si="4"/>
        <v>-331887</v>
      </c>
    </row>
    <row r="287" spans="2:20" x14ac:dyDescent="0.4">
      <c r="B287" s="121" t="s">
        <v>135</v>
      </c>
      <c r="C287" s="121"/>
      <c r="D287" s="122">
        <v>44500</v>
      </c>
      <c r="E287" s="121"/>
      <c r="F287" s="121" t="s">
        <v>240</v>
      </c>
      <c r="G287" s="121"/>
      <c r="H287" s="121" t="s">
        <v>234</v>
      </c>
      <c r="I287" s="121"/>
      <c r="J287" s="121" t="s">
        <v>485</v>
      </c>
      <c r="K287" s="121"/>
      <c r="L287" s="121"/>
      <c r="M287" s="121"/>
      <c r="N287" s="123"/>
      <c r="O287" s="121"/>
      <c r="P287" s="121" t="s">
        <v>160</v>
      </c>
      <c r="Q287" s="121"/>
      <c r="R287" s="124">
        <v>-474</v>
      </c>
      <c r="S287" s="121"/>
      <c r="T287" s="124">
        <f t="shared" si="4"/>
        <v>-332361</v>
      </c>
    </row>
    <row r="288" spans="2:20" x14ac:dyDescent="0.4">
      <c r="B288" s="121" t="s">
        <v>135</v>
      </c>
      <c r="C288" s="121"/>
      <c r="D288" s="122">
        <v>44530</v>
      </c>
      <c r="E288" s="121"/>
      <c r="F288" s="121" t="s">
        <v>164</v>
      </c>
      <c r="G288" s="121"/>
      <c r="H288" s="121" t="s">
        <v>165</v>
      </c>
      <c r="I288" s="121"/>
      <c r="J288" s="121" t="s">
        <v>486</v>
      </c>
      <c r="K288" s="121"/>
      <c r="L288" s="121"/>
      <c r="M288" s="121"/>
      <c r="N288" s="123"/>
      <c r="O288" s="121"/>
      <c r="P288" s="121" t="s">
        <v>167</v>
      </c>
      <c r="Q288" s="121"/>
      <c r="R288" s="124">
        <v>-4412</v>
      </c>
      <c r="S288" s="121"/>
      <c r="T288" s="124">
        <f t="shared" ref="T288:T351" si="5">ROUND(T287+R288,5)</f>
        <v>-336773</v>
      </c>
    </row>
    <row r="289" spans="2:20" x14ac:dyDescent="0.4">
      <c r="B289" s="121" t="s">
        <v>135</v>
      </c>
      <c r="C289" s="121"/>
      <c r="D289" s="122">
        <v>44530</v>
      </c>
      <c r="E289" s="121"/>
      <c r="F289" s="121" t="s">
        <v>212</v>
      </c>
      <c r="G289" s="121"/>
      <c r="H289" s="121"/>
      <c r="I289" s="121"/>
      <c r="J289" s="121" t="s">
        <v>487</v>
      </c>
      <c r="K289" s="121"/>
      <c r="L289" s="121"/>
      <c r="M289" s="121"/>
      <c r="N289" s="123"/>
      <c r="O289" s="121"/>
      <c r="P289" s="121" t="s">
        <v>225</v>
      </c>
      <c r="Q289" s="121"/>
      <c r="R289" s="124">
        <v>5</v>
      </c>
      <c r="S289" s="121"/>
      <c r="T289" s="124">
        <f t="shared" si="5"/>
        <v>-336768</v>
      </c>
    </row>
    <row r="290" spans="2:20" x14ac:dyDescent="0.4">
      <c r="B290" s="121" t="s">
        <v>135</v>
      </c>
      <c r="C290" s="121"/>
      <c r="D290" s="122">
        <v>44530</v>
      </c>
      <c r="E290" s="121"/>
      <c r="F290" s="121" t="s">
        <v>240</v>
      </c>
      <c r="G290" s="121"/>
      <c r="H290" s="121" t="s">
        <v>234</v>
      </c>
      <c r="I290" s="121"/>
      <c r="J290" s="121" t="s">
        <v>488</v>
      </c>
      <c r="K290" s="121"/>
      <c r="L290" s="121"/>
      <c r="M290" s="121"/>
      <c r="N290" s="123"/>
      <c r="O290" s="121"/>
      <c r="P290" s="121" t="s">
        <v>160</v>
      </c>
      <c r="Q290" s="121"/>
      <c r="R290" s="124">
        <v>-479</v>
      </c>
      <c r="S290" s="121"/>
      <c r="T290" s="124">
        <f t="shared" si="5"/>
        <v>-337247</v>
      </c>
    </row>
    <row r="291" spans="2:20" x14ac:dyDescent="0.4">
      <c r="B291" s="121" t="s">
        <v>135</v>
      </c>
      <c r="C291" s="121"/>
      <c r="D291" s="122">
        <v>44561</v>
      </c>
      <c r="E291" s="121"/>
      <c r="F291" s="121" t="s">
        <v>164</v>
      </c>
      <c r="G291" s="121"/>
      <c r="H291" s="121" t="s">
        <v>165</v>
      </c>
      <c r="I291" s="121"/>
      <c r="J291" s="121" t="s">
        <v>489</v>
      </c>
      <c r="K291" s="121"/>
      <c r="L291" s="121"/>
      <c r="M291" s="121"/>
      <c r="N291" s="123"/>
      <c r="O291" s="121"/>
      <c r="P291" s="121" t="s">
        <v>167</v>
      </c>
      <c r="Q291" s="121"/>
      <c r="R291" s="124">
        <v>-4433</v>
      </c>
      <c r="S291" s="121"/>
      <c r="T291" s="124">
        <f t="shared" si="5"/>
        <v>-341680</v>
      </c>
    </row>
    <row r="292" spans="2:20" x14ac:dyDescent="0.4">
      <c r="B292" s="121" t="s">
        <v>135</v>
      </c>
      <c r="C292" s="121"/>
      <c r="D292" s="122">
        <v>44561</v>
      </c>
      <c r="E292" s="121"/>
      <c r="F292" s="121" t="s">
        <v>212</v>
      </c>
      <c r="G292" s="121"/>
      <c r="H292" s="121"/>
      <c r="I292" s="121"/>
      <c r="J292" s="121" t="s">
        <v>490</v>
      </c>
      <c r="K292" s="121"/>
      <c r="L292" s="121"/>
      <c r="M292" s="121"/>
      <c r="N292" s="123"/>
      <c r="O292" s="121"/>
      <c r="P292" s="121" t="s">
        <v>377</v>
      </c>
      <c r="Q292" s="121"/>
      <c r="R292" s="124">
        <v>3</v>
      </c>
      <c r="S292" s="121"/>
      <c r="T292" s="124">
        <f t="shared" si="5"/>
        <v>-341677</v>
      </c>
    </row>
    <row r="293" spans="2:20" x14ac:dyDescent="0.4">
      <c r="B293" s="121" t="s">
        <v>135</v>
      </c>
      <c r="C293" s="121"/>
      <c r="D293" s="122">
        <v>44561</v>
      </c>
      <c r="E293" s="121"/>
      <c r="F293" s="121" t="s">
        <v>233</v>
      </c>
      <c r="G293" s="121"/>
      <c r="H293" s="121" t="s">
        <v>234</v>
      </c>
      <c r="I293" s="121"/>
      <c r="J293" s="121" t="s">
        <v>491</v>
      </c>
      <c r="K293" s="121"/>
      <c r="L293" s="121"/>
      <c r="M293" s="121"/>
      <c r="N293" s="123"/>
      <c r="O293" s="121"/>
      <c r="P293" s="121" t="s">
        <v>160</v>
      </c>
      <c r="Q293" s="121"/>
      <c r="R293" s="124">
        <v>-481</v>
      </c>
      <c r="S293" s="121"/>
      <c r="T293" s="124">
        <f t="shared" si="5"/>
        <v>-342158</v>
      </c>
    </row>
    <row r="294" spans="2:20" x14ac:dyDescent="0.4">
      <c r="B294" s="121" t="s">
        <v>135</v>
      </c>
      <c r="C294" s="121"/>
      <c r="D294" s="122">
        <v>44561</v>
      </c>
      <c r="E294" s="121"/>
      <c r="F294" s="121" t="s">
        <v>492</v>
      </c>
      <c r="G294" s="121"/>
      <c r="H294" s="121"/>
      <c r="I294" s="121"/>
      <c r="J294" s="121" t="s">
        <v>493</v>
      </c>
      <c r="K294" s="121"/>
      <c r="L294" s="121"/>
      <c r="M294" s="121"/>
      <c r="N294" s="123"/>
      <c r="O294" s="121"/>
      <c r="P294" s="121" t="s">
        <v>494</v>
      </c>
      <c r="Q294" s="121"/>
      <c r="R294" s="124">
        <v>1</v>
      </c>
      <c r="S294" s="121"/>
      <c r="T294" s="124">
        <f t="shared" si="5"/>
        <v>-342157</v>
      </c>
    </row>
    <row r="295" spans="2:20" x14ac:dyDescent="0.4">
      <c r="B295" s="121" t="s">
        <v>135</v>
      </c>
      <c r="C295" s="121"/>
      <c r="D295" s="122">
        <v>44592</v>
      </c>
      <c r="E295" s="121"/>
      <c r="F295" s="121" t="s">
        <v>164</v>
      </c>
      <c r="G295" s="121"/>
      <c r="H295" s="121" t="s">
        <v>165</v>
      </c>
      <c r="I295" s="121"/>
      <c r="J295" s="121" t="s">
        <v>495</v>
      </c>
      <c r="K295" s="121"/>
      <c r="L295" s="121"/>
      <c r="M295" s="121"/>
      <c r="N295" s="123"/>
      <c r="O295" s="121"/>
      <c r="P295" s="121" t="s">
        <v>167</v>
      </c>
      <c r="Q295" s="121"/>
      <c r="R295" s="124">
        <v>-4406</v>
      </c>
      <c r="S295" s="121"/>
      <c r="T295" s="124">
        <f t="shared" si="5"/>
        <v>-346563</v>
      </c>
    </row>
    <row r="296" spans="2:20" x14ac:dyDescent="0.4">
      <c r="B296" s="121" t="s">
        <v>135</v>
      </c>
      <c r="C296" s="121"/>
      <c r="D296" s="122">
        <v>44592</v>
      </c>
      <c r="E296" s="121"/>
      <c r="F296" s="121" t="s">
        <v>212</v>
      </c>
      <c r="G296" s="121"/>
      <c r="H296" s="121"/>
      <c r="I296" s="121"/>
      <c r="J296" s="121" t="s">
        <v>496</v>
      </c>
      <c r="K296" s="121"/>
      <c r="L296" s="121"/>
      <c r="M296" s="121"/>
      <c r="N296" s="123"/>
      <c r="O296" s="121"/>
      <c r="P296" s="121" t="s">
        <v>497</v>
      </c>
      <c r="Q296" s="121"/>
      <c r="R296" s="124">
        <v>3</v>
      </c>
      <c r="S296" s="121"/>
      <c r="T296" s="124">
        <f t="shared" si="5"/>
        <v>-346560</v>
      </c>
    </row>
    <row r="297" spans="2:20" x14ac:dyDescent="0.4">
      <c r="B297" s="121" t="s">
        <v>135</v>
      </c>
      <c r="C297" s="121"/>
      <c r="D297" s="122">
        <v>44620</v>
      </c>
      <c r="E297" s="121"/>
      <c r="F297" s="121" t="s">
        <v>164</v>
      </c>
      <c r="G297" s="121"/>
      <c r="H297" s="121" t="s">
        <v>165</v>
      </c>
      <c r="I297" s="121"/>
      <c r="J297" s="121" t="s">
        <v>498</v>
      </c>
      <c r="K297" s="121"/>
      <c r="L297" s="121"/>
      <c r="M297" s="121"/>
      <c r="N297" s="123"/>
      <c r="O297" s="121"/>
      <c r="P297" s="121" t="s">
        <v>167</v>
      </c>
      <c r="Q297" s="121"/>
      <c r="R297" s="124">
        <v>-4417</v>
      </c>
      <c r="S297" s="121"/>
      <c r="T297" s="124">
        <f t="shared" si="5"/>
        <v>-350977</v>
      </c>
    </row>
    <row r="298" spans="2:20" x14ac:dyDescent="0.4">
      <c r="B298" s="121" t="s">
        <v>135</v>
      </c>
      <c r="C298" s="121"/>
      <c r="D298" s="122">
        <v>44620</v>
      </c>
      <c r="E298" s="121"/>
      <c r="F298" s="121" t="s">
        <v>212</v>
      </c>
      <c r="G298" s="121"/>
      <c r="H298" s="121"/>
      <c r="I298" s="121"/>
      <c r="J298" s="121" t="s">
        <v>499</v>
      </c>
      <c r="K298" s="121"/>
      <c r="L298" s="121"/>
      <c r="M298" s="121"/>
      <c r="N298" s="123"/>
      <c r="O298" s="121"/>
      <c r="P298" s="121" t="s">
        <v>225</v>
      </c>
      <c r="Q298" s="121"/>
      <c r="R298" s="124">
        <v>4</v>
      </c>
      <c r="S298" s="121"/>
      <c r="T298" s="124">
        <f t="shared" si="5"/>
        <v>-350973</v>
      </c>
    </row>
    <row r="299" spans="2:20" x14ac:dyDescent="0.4">
      <c r="B299" s="121" t="s">
        <v>135</v>
      </c>
      <c r="C299" s="121"/>
      <c r="D299" s="122">
        <v>44651</v>
      </c>
      <c r="E299" s="121"/>
      <c r="F299" s="121" t="s">
        <v>164</v>
      </c>
      <c r="G299" s="121"/>
      <c r="H299" s="121" t="s">
        <v>165</v>
      </c>
      <c r="I299" s="121"/>
      <c r="J299" s="121" t="s">
        <v>500</v>
      </c>
      <c r="K299" s="121"/>
      <c r="L299" s="121"/>
      <c r="M299" s="121"/>
      <c r="N299" s="123"/>
      <c r="O299" s="121"/>
      <c r="P299" s="121" t="s">
        <v>167</v>
      </c>
      <c r="Q299" s="121"/>
      <c r="R299" s="124">
        <v>-4416</v>
      </c>
      <c r="S299" s="121"/>
      <c r="T299" s="124">
        <f t="shared" si="5"/>
        <v>-355389</v>
      </c>
    </row>
    <row r="300" spans="2:20" x14ac:dyDescent="0.4">
      <c r="B300" s="121" t="s">
        <v>135</v>
      </c>
      <c r="C300" s="121"/>
      <c r="D300" s="122">
        <v>44651</v>
      </c>
      <c r="E300" s="121"/>
      <c r="F300" s="121" t="s">
        <v>212</v>
      </c>
      <c r="G300" s="121"/>
      <c r="H300" s="121"/>
      <c r="I300" s="121"/>
      <c r="J300" s="121" t="s">
        <v>501</v>
      </c>
      <c r="K300" s="121"/>
      <c r="L300" s="121"/>
      <c r="M300" s="121"/>
      <c r="N300" s="123"/>
      <c r="O300" s="121"/>
      <c r="P300" s="121" t="s">
        <v>225</v>
      </c>
      <c r="Q300" s="121"/>
      <c r="R300" s="124">
        <v>1</v>
      </c>
      <c r="S300" s="121"/>
      <c r="T300" s="124">
        <f t="shared" si="5"/>
        <v>-355388</v>
      </c>
    </row>
    <row r="301" spans="2:20" x14ac:dyDescent="0.4">
      <c r="B301" s="121" t="s">
        <v>135</v>
      </c>
      <c r="C301" s="121"/>
      <c r="D301" s="122">
        <v>44681</v>
      </c>
      <c r="E301" s="121"/>
      <c r="F301" s="121" t="s">
        <v>164</v>
      </c>
      <c r="G301" s="121"/>
      <c r="H301" s="121" t="s">
        <v>165</v>
      </c>
      <c r="I301" s="121"/>
      <c r="J301" s="121" t="s">
        <v>502</v>
      </c>
      <c r="K301" s="121"/>
      <c r="L301" s="121"/>
      <c r="M301" s="121"/>
      <c r="N301" s="123"/>
      <c r="O301" s="121"/>
      <c r="P301" s="121" t="s">
        <v>167</v>
      </c>
      <c r="Q301" s="121"/>
      <c r="R301" s="124">
        <v>-4397</v>
      </c>
      <c r="S301" s="121"/>
      <c r="T301" s="124">
        <f t="shared" si="5"/>
        <v>-359785</v>
      </c>
    </row>
    <row r="302" spans="2:20" x14ac:dyDescent="0.4">
      <c r="B302" s="121" t="s">
        <v>135</v>
      </c>
      <c r="C302" s="121"/>
      <c r="D302" s="122">
        <v>44681</v>
      </c>
      <c r="E302" s="121"/>
      <c r="F302" s="121" t="s">
        <v>212</v>
      </c>
      <c r="G302" s="121"/>
      <c r="H302" s="121"/>
      <c r="I302" s="121"/>
      <c r="J302" s="121" t="s">
        <v>503</v>
      </c>
      <c r="K302" s="121"/>
      <c r="L302" s="121"/>
      <c r="M302" s="121"/>
      <c r="N302" s="123"/>
      <c r="O302" s="121"/>
      <c r="P302" s="121" t="s">
        <v>225</v>
      </c>
      <c r="Q302" s="121"/>
      <c r="R302" s="124">
        <v>1</v>
      </c>
      <c r="S302" s="121"/>
      <c r="T302" s="124">
        <f t="shared" si="5"/>
        <v>-359784</v>
      </c>
    </row>
    <row r="303" spans="2:20" x14ac:dyDescent="0.4">
      <c r="B303" s="121" t="s">
        <v>135</v>
      </c>
      <c r="C303" s="121"/>
      <c r="D303" s="122">
        <v>44712</v>
      </c>
      <c r="E303" s="121"/>
      <c r="F303" s="121" t="s">
        <v>164</v>
      </c>
      <c r="G303" s="121"/>
      <c r="H303" s="121" t="s">
        <v>165</v>
      </c>
      <c r="I303" s="121"/>
      <c r="J303" s="121" t="s">
        <v>504</v>
      </c>
      <c r="K303" s="121"/>
      <c r="L303" s="121"/>
      <c r="M303" s="121"/>
      <c r="N303" s="123"/>
      <c r="O303" s="121"/>
      <c r="P303" s="121" t="s">
        <v>167</v>
      </c>
      <c r="Q303" s="121"/>
      <c r="R303" s="124">
        <v>-4361</v>
      </c>
      <c r="S303" s="121"/>
      <c r="T303" s="124">
        <f t="shared" si="5"/>
        <v>-364145</v>
      </c>
    </row>
    <row r="304" spans="2:20" x14ac:dyDescent="0.4">
      <c r="B304" s="121" t="s">
        <v>135</v>
      </c>
      <c r="C304" s="121"/>
      <c r="D304" s="122">
        <v>44742</v>
      </c>
      <c r="E304" s="121"/>
      <c r="F304" s="121" t="s">
        <v>164</v>
      </c>
      <c r="G304" s="121"/>
      <c r="H304" s="121" t="s">
        <v>165</v>
      </c>
      <c r="I304" s="121"/>
      <c r="J304" s="121" t="s">
        <v>505</v>
      </c>
      <c r="K304" s="121"/>
      <c r="L304" s="121"/>
      <c r="M304" s="121"/>
      <c r="N304" s="123"/>
      <c r="O304" s="121"/>
      <c r="P304" s="121" t="s">
        <v>167</v>
      </c>
      <c r="Q304" s="121"/>
      <c r="R304" s="124">
        <v>-4292</v>
      </c>
      <c r="S304" s="121"/>
      <c r="T304" s="124">
        <f t="shared" si="5"/>
        <v>-368437</v>
      </c>
    </row>
    <row r="305" spans="2:20" x14ac:dyDescent="0.4">
      <c r="B305" s="121" t="s">
        <v>135</v>
      </c>
      <c r="C305" s="121"/>
      <c r="D305" s="122">
        <v>44742</v>
      </c>
      <c r="E305" s="121"/>
      <c r="F305" s="121" t="s">
        <v>212</v>
      </c>
      <c r="G305" s="121"/>
      <c r="H305" s="121"/>
      <c r="I305" s="121"/>
      <c r="J305" s="121" t="s">
        <v>506</v>
      </c>
      <c r="K305" s="121"/>
      <c r="L305" s="121"/>
      <c r="M305" s="121"/>
      <c r="N305" s="123"/>
      <c r="O305" s="121"/>
      <c r="P305" s="121" t="s">
        <v>225</v>
      </c>
      <c r="Q305" s="121"/>
      <c r="R305" s="124">
        <v>6</v>
      </c>
      <c r="S305" s="121"/>
      <c r="T305" s="124">
        <f t="shared" si="5"/>
        <v>-368431</v>
      </c>
    </row>
    <row r="306" spans="2:20" x14ac:dyDescent="0.4">
      <c r="B306" s="121" t="s">
        <v>135</v>
      </c>
      <c r="C306" s="121"/>
      <c r="D306" s="122">
        <v>44773</v>
      </c>
      <c r="E306" s="121"/>
      <c r="F306" s="121" t="s">
        <v>164</v>
      </c>
      <c r="G306" s="121"/>
      <c r="H306" s="121" t="s">
        <v>165</v>
      </c>
      <c r="I306" s="121"/>
      <c r="J306" s="121" t="s">
        <v>507</v>
      </c>
      <c r="K306" s="121"/>
      <c r="L306" s="121"/>
      <c r="M306" s="121"/>
      <c r="N306" s="123"/>
      <c r="O306" s="121"/>
      <c r="P306" s="121" t="s">
        <v>167</v>
      </c>
      <c r="Q306" s="121"/>
      <c r="R306" s="124">
        <v>-4259</v>
      </c>
      <c r="S306" s="121"/>
      <c r="T306" s="124">
        <f t="shared" si="5"/>
        <v>-372690</v>
      </c>
    </row>
    <row r="307" spans="2:20" x14ac:dyDescent="0.4">
      <c r="B307" s="121" t="s">
        <v>135</v>
      </c>
      <c r="C307" s="121"/>
      <c r="D307" s="122">
        <v>44804</v>
      </c>
      <c r="E307" s="121"/>
      <c r="F307" s="121" t="s">
        <v>164</v>
      </c>
      <c r="G307" s="121"/>
      <c r="H307" s="121" t="s">
        <v>165</v>
      </c>
      <c r="I307" s="121"/>
      <c r="J307" s="121" t="s">
        <v>508</v>
      </c>
      <c r="K307" s="121"/>
      <c r="L307" s="121"/>
      <c r="M307" s="121"/>
      <c r="N307" s="123"/>
      <c r="O307" s="121"/>
      <c r="P307" s="121" t="s">
        <v>167</v>
      </c>
      <c r="Q307" s="121"/>
      <c r="R307" s="124">
        <v>-4191</v>
      </c>
      <c r="S307" s="121"/>
      <c r="T307" s="124">
        <f t="shared" si="5"/>
        <v>-376881</v>
      </c>
    </row>
    <row r="308" spans="2:20" x14ac:dyDescent="0.4">
      <c r="B308" s="121" t="s">
        <v>135</v>
      </c>
      <c r="C308" s="121"/>
      <c r="D308" s="122">
        <v>44834</v>
      </c>
      <c r="E308" s="121"/>
      <c r="F308" s="121" t="s">
        <v>164</v>
      </c>
      <c r="G308" s="121"/>
      <c r="H308" s="121" t="s">
        <v>165</v>
      </c>
      <c r="I308" s="121"/>
      <c r="J308" s="121" t="s">
        <v>509</v>
      </c>
      <c r="K308" s="121"/>
      <c r="L308" s="121"/>
      <c r="M308" s="121"/>
      <c r="N308" s="123"/>
      <c r="O308" s="121"/>
      <c r="P308" s="121" t="s">
        <v>167</v>
      </c>
      <c r="Q308" s="121"/>
      <c r="R308" s="124">
        <v>-4186</v>
      </c>
      <c r="S308" s="121"/>
      <c r="T308" s="124">
        <f t="shared" si="5"/>
        <v>-381067</v>
      </c>
    </row>
    <row r="309" spans="2:20" x14ac:dyDescent="0.4">
      <c r="B309" s="121" t="s">
        <v>135</v>
      </c>
      <c r="C309" s="121"/>
      <c r="D309" s="122">
        <v>44834</v>
      </c>
      <c r="E309" s="121"/>
      <c r="F309" s="121" t="s">
        <v>212</v>
      </c>
      <c r="G309" s="121"/>
      <c r="H309" s="121"/>
      <c r="I309" s="121"/>
      <c r="J309" s="121" t="s">
        <v>510</v>
      </c>
      <c r="K309" s="121"/>
      <c r="L309" s="121"/>
      <c r="M309" s="121"/>
      <c r="N309" s="123"/>
      <c r="O309" s="121"/>
      <c r="P309" s="121" t="s">
        <v>225</v>
      </c>
      <c r="Q309" s="121"/>
      <c r="R309" s="124">
        <v>4</v>
      </c>
      <c r="S309" s="121"/>
      <c r="T309" s="124">
        <f t="shared" si="5"/>
        <v>-381063</v>
      </c>
    </row>
    <row r="310" spans="2:20" x14ac:dyDescent="0.4">
      <c r="B310" s="121" t="s">
        <v>135</v>
      </c>
      <c r="C310" s="121"/>
      <c r="D310" s="122">
        <v>44865</v>
      </c>
      <c r="E310" s="121"/>
      <c r="F310" s="121" t="s">
        <v>164</v>
      </c>
      <c r="G310" s="121"/>
      <c r="H310" s="121" t="s">
        <v>165</v>
      </c>
      <c r="I310" s="121"/>
      <c r="J310" s="121" t="s">
        <v>511</v>
      </c>
      <c r="K310" s="121"/>
      <c r="L310" s="121"/>
      <c r="M310" s="121"/>
      <c r="N310" s="123"/>
      <c r="O310" s="121"/>
      <c r="P310" s="121" t="s">
        <v>167</v>
      </c>
      <c r="Q310" s="121"/>
      <c r="R310" s="124">
        <v>-4286</v>
      </c>
      <c r="S310" s="121"/>
      <c r="T310" s="124">
        <f t="shared" si="5"/>
        <v>-385349</v>
      </c>
    </row>
    <row r="311" spans="2:20" x14ac:dyDescent="0.4">
      <c r="B311" s="121" t="s">
        <v>135</v>
      </c>
      <c r="C311" s="121"/>
      <c r="D311" s="122">
        <v>44895</v>
      </c>
      <c r="E311" s="121"/>
      <c r="F311" s="121" t="s">
        <v>164</v>
      </c>
      <c r="G311" s="121"/>
      <c r="H311" s="121" t="s">
        <v>165</v>
      </c>
      <c r="I311" s="121"/>
      <c r="J311" s="121" t="s">
        <v>512</v>
      </c>
      <c r="K311" s="121"/>
      <c r="L311" s="121"/>
      <c r="M311" s="121"/>
      <c r="N311" s="123"/>
      <c r="O311" s="121"/>
      <c r="P311" s="121" t="s">
        <v>167</v>
      </c>
      <c r="Q311" s="121"/>
      <c r="R311" s="124">
        <v>-4332</v>
      </c>
      <c r="S311" s="121"/>
      <c r="T311" s="124">
        <f t="shared" si="5"/>
        <v>-389681</v>
      </c>
    </row>
    <row r="312" spans="2:20" x14ac:dyDescent="0.4">
      <c r="B312" s="121" t="s">
        <v>135</v>
      </c>
      <c r="C312" s="121"/>
      <c r="D312" s="122">
        <v>44895</v>
      </c>
      <c r="E312" s="121"/>
      <c r="F312" s="121" t="s">
        <v>212</v>
      </c>
      <c r="G312" s="121"/>
      <c r="H312" s="121"/>
      <c r="I312" s="121"/>
      <c r="J312" s="121" t="s">
        <v>513</v>
      </c>
      <c r="K312" s="121"/>
      <c r="L312" s="121"/>
      <c r="M312" s="121"/>
      <c r="N312" s="123"/>
      <c r="O312" s="121"/>
      <c r="P312" s="121" t="s">
        <v>225</v>
      </c>
      <c r="Q312" s="121"/>
      <c r="R312" s="124">
        <v>5</v>
      </c>
      <c r="S312" s="121"/>
      <c r="T312" s="124">
        <f t="shared" si="5"/>
        <v>-389676</v>
      </c>
    </row>
    <row r="313" spans="2:20" x14ac:dyDescent="0.4">
      <c r="B313" s="121" t="s">
        <v>135</v>
      </c>
      <c r="C313" s="121"/>
      <c r="D313" s="122">
        <v>44926</v>
      </c>
      <c r="E313" s="121"/>
      <c r="F313" s="121" t="s">
        <v>212</v>
      </c>
      <c r="G313" s="121"/>
      <c r="H313" s="121"/>
      <c r="I313" s="121"/>
      <c r="J313" s="121" t="s">
        <v>514</v>
      </c>
      <c r="K313" s="121"/>
      <c r="L313" s="121"/>
      <c r="M313" s="121"/>
      <c r="N313" s="123"/>
      <c r="O313" s="121"/>
      <c r="P313" s="121" t="s">
        <v>214</v>
      </c>
      <c r="Q313" s="121"/>
      <c r="R313" s="124">
        <v>3</v>
      </c>
      <c r="S313" s="121"/>
      <c r="T313" s="124">
        <f t="shared" si="5"/>
        <v>-389673</v>
      </c>
    </row>
    <row r="314" spans="2:20" x14ac:dyDescent="0.4">
      <c r="B314" s="121" t="s">
        <v>135</v>
      </c>
      <c r="C314" s="121"/>
      <c r="D314" s="122">
        <v>44926</v>
      </c>
      <c r="E314" s="121"/>
      <c r="F314" s="121" t="s">
        <v>222</v>
      </c>
      <c r="G314" s="121"/>
      <c r="H314" s="121" t="s">
        <v>234</v>
      </c>
      <c r="I314" s="121"/>
      <c r="J314" s="121" t="s">
        <v>515</v>
      </c>
      <c r="K314" s="121"/>
      <c r="L314" s="121"/>
      <c r="M314" s="121"/>
      <c r="N314" s="123"/>
      <c r="O314" s="121"/>
      <c r="P314" s="121" t="s">
        <v>160</v>
      </c>
      <c r="Q314" s="121"/>
      <c r="R314" s="124">
        <v>-5778</v>
      </c>
      <c r="S314" s="121"/>
      <c r="T314" s="124">
        <f t="shared" si="5"/>
        <v>-395451</v>
      </c>
    </row>
    <row r="315" spans="2:20" x14ac:dyDescent="0.4">
      <c r="B315" s="121" t="s">
        <v>135</v>
      </c>
      <c r="C315" s="121"/>
      <c r="D315" s="122">
        <v>44926</v>
      </c>
      <c r="E315" s="121"/>
      <c r="F315" s="121" t="s">
        <v>164</v>
      </c>
      <c r="G315" s="121"/>
      <c r="H315" s="121" t="s">
        <v>165</v>
      </c>
      <c r="I315" s="121"/>
      <c r="J315" s="121" t="s">
        <v>516</v>
      </c>
      <c r="K315" s="121"/>
      <c r="L315" s="121"/>
      <c r="M315" s="121"/>
      <c r="N315" s="123"/>
      <c r="O315" s="121"/>
      <c r="P315" s="121" t="s">
        <v>167</v>
      </c>
      <c r="Q315" s="121"/>
      <c r="R315" s="124">
        <v>-4370</v>
      </c>
      <c r="S315" s="121"/>
      <c r="T315" s="124">
        <f t="shared" si="5"/>
        <v>-399821</v>
      </c>
    </row>
    <row r="316" spans="2:20" x14ac:dyDescent="0.4">
      <c r="B316" s="121" t="s">
        <v>135</v>
      </c>
      <c r="C316" s="121"/>
      <c r="D316" s="122">
        <v>44957</v>
      </c>
      <c r="E316" s="121"/>
      <c r="F316" s="121" t="s">
        <v>164</v>
      </c>
      <c r="G316" s="121"/>
      <c r="H316" s="121" t="s">
        <v>165</v>
      </c>
      <c r="I316" s="121"/>
      <c r="J316" s="121" t="s">
        <v>517</v>
      </c>
      <c r="K316" s="121"/>
      <c r="L316" s="121"/>
      <c r="M316" s="121"/>
      <c r="N316" s="123"/>
      <c r="O316" s="121"/>
      <c r="P316" s="121" t="s">
        <v>167</v>
      </c>
      <c r="Q316" s="121"/>
      <c r="R316" s="124">
        <v>-4347</v>
      </c>
      <c r="S316" s="121"/>
      <c r="T316" s="124">
        <f t="shared" si="5"/>
        <v>-404168</v>
      </c>
    </row>
    <row r="317" spans="2:20" x14ac:dyDescent="0.4">
      <c r="B317" s="121" t="s">
        <v>135</v>
      </c>
      <c r="C317" s="121"/>
      <c r="D317" s="122">
        <v>44957</v>
      </c>
      <c r="E317" s="121"/>
      <c r="F317" s="121" t="s">
        <v>212</v>
      </c>
      <c r="G317" s="121"/>
      <c r="H317" s="121"/>
      <c r="I317" s="121"/>
      <c r="J317" s="121" t="s">
        <v>518</v>
      </c>
      <c r="K317" s="121"/>
      <c r="L317" s="121"/>
      <c r="M317" s="121"/>
      <c r="N317" s="123"/>
      <c r="O317" s="121"/>
      <c r="P317" s="121" t="s">
        <v>225</v>
      </c>
      <c r="Q317" s="121"/>
      <c r="R317" s="124">
        <v>4</v>
      </c>
      <c r="S317" s="121"/>
      <c r="T317" s="124">
        <f t="shared" si="5"/>
        <v>-404164</v>
      </c>
    </row>
    <row r="318" spans="2:20" x14ac:dyDescent="0.4">
      <c r="B318" s="121" t="s">
        <v>135</v>
      </c>
      <c r="C318" s="121"/>
      <c r="D318" s="122">
        <v>44985</v>
      </c>
      <c r="E318" s="121"/>
      <c r="F318" s="121" t="s">
        <v>164</v>
      </c>
      <c r="G318" s="121"/>
      <c r="H318" s="121" t="s">
        <v>165</v>
      </c>
      <c r="I318" s="121"/>
      <c r="J318" s="121" t="s">
        <v>519</v>
      </c>
      <c r="K318" s="121"/>
      <c r="L318" s="121"/>
      <c r="M318" s="121"/>
      <c r="N318" s="123"/>
      <c r="O318" s="121"/>
      <c r="P318" s="121" t="s">
        <v>167</v>
      </c>
      <c r="Q318" s="121"/>
      <c r="R318" s="124">
        <v>-4351</v>
      </c>
      <c r="S318" s="121"/>
      <c r="T318" s="124">
        <f t="shared" si="5"/>
        <v>-408515</v>
      </c>
    </row>
    <row r="319" spans="2:20" x14ac:dyDescent="0.4">
      <c r="B319" s="121" t="s">
        <v>135</v>
      </c>
      <c r="C319" s="121"/>
      <c r="D319" s="122">
        <v>44985</v>
      </c>
      <c r="E319" s="121"/>
      <c r="F319" s="121" t="s">
        <v>212</v>
      </c>
      <c r="G319" s="121"/>
      <c r="H319" s="121"/>
      <c r="I319" s="121"/>
      <c r="J319" s="121" t="s">
        <v>520</v>
      </c>
      <c r="K319" s="121"/>
      <c r="L319" s="121"/>
      <c r="M319" s="121"/>
      <c r="N319" s="123"/>
      <c r="O319" s="121"/>
      <c r="P319" s="121" t="s">
        <v>225</v>
      </c>
      <c r="Q319" s="121"/>
      <c r="R319" s="124">
        <v>1</v>
      </c>
      <c r="S319" s="121"/>
      <c r="T319" s="124">
        <f t="shared" si="5"/>
        <v>-408514</v>
      </c>
    </row>
    <row r="320" spans="2:20" x14ac:dyDescent="0.4">
      <c r="B320" s="121" t="s">
        <v>135</v>
      </c>
      <c r="C320" s="121"/>
      <c r="D320" s="122">
        <v>45016</v>
      </c>
      <c r="E320" s="121"/>
      <c r="F320" s="121" t="s">
        <v>164</v>
      </c>
      <c r="G320" s="121"/>
      <c r="H320" s="121" t="s">
        <v>165</v>
      </c>
      <c r="I320" s="121"/>
      <c r="J320" s="121" t="s">
        <v>521</v>
      </c>
      <c r="K320" s="121"/>
      <c r="L320" s="121"/>
      <c r="M320" s="121"/>
      <c r="N320" s="123"/>
      <c r="O320" s="121"/>
      <c r="P320" s="121" t="s">
        <v>167</v>
      </c>
      <c r="Q320" s="121"/>
      <c r="R320" s="124">
        <v>-4348</v>
      </c>
      <c r="S320" s="121"/>
      <c r="T320" s="124">
        <f t="shared" si="5"/>
        <v>-412862</v>
      </c>
    </row>
    <row r="321" spans="2:20" x14ac:dyDescent="0.4">
      <c r="B321" s="121" t="s">
        <v>135</v>
      </c>
      <c r="C321" s="121"/>
      <c r="D321" s="122">
        <v>45016</v>
      </c>
      <c r="E321" s="121"/>
      <c r="F321" s="121" t="s">
        <v>212</v>
      </c>
      <c r="G321" s="121"/>
      <c r="H321" s="121"/>
      <c r="I321" s="121"/>
      <c r="J321" s="121" t="s">
        <v>522</v>
      </c>
      <c r="K321" s="121"/>
      <c r="L321" s="121"/>
      <c r="M321" s="121"/>
      <c r="N321" s="123"/>
      <c r="O321" s="121"/>
      <c r="P321" s="121" t="s">
        <v>225</v>
      </c>
      <c r="Q321" s="121"/>
      <c r="R321" s="124">
        <v>1</v>
      </c>
      <c r="S321" s="121"/>
      <c r="T321" s="124">
        <f t="shared" si="5"/>
        <v>-412861</v>
      </c>
    </row>
    <row r="322" spans="2:20" x14ac:dyDescent="0.4">
      <c r="B322" s="121" t="s">
        <v>135</v>
      </c>
      <c r="C322" s="121"/>
      <c r="D322" s="122">
        <v>45046</v>
      </c>
      <c r="E322" s="121"/>
      <c r="F322" s="121" t="s">
        <v>164</v>
      </c>
      <c r="G322" s="121"/>
      <c r="H322" s="121" t="s">
        <v>165</v>
      </c>
      <c r="I322" s="121"/>
      <c r="J322" s="121" t="s">
        <v>523</v>
      </c>
      <c r="K322" s="121"/>
      <c r="L322" s="121"/>
      <c r="M322" s="121"/>
      <c r="N322" s="123"/>
      <c r="O322" s="121"/>
      <c r="P322" s="121" t="s">
        <v>167</v>
      </c>
      <c r="Q322" s="121"/>
      <c r="R322" s="124">
        <v>-4316</v>
      </c>
      <c r="S322" s="121"/>
      <c r="T322" s="124">
        <f t="shared" si="5"/>
        <v>-417177</v>
      </c>
    </row>
    <row r="323" spans="2:20" x14ac:dyDescent="0.4">
      <c r="B323" s="121" t="s">
        <v>135</v>
      </c>
      <c r="C323" s="121"/>
      <c r="D323" s="122">
        <v>45077</v>
      </c>
      <c r="E323" s="121"/>
      <c r="F323" s="121" t="s">
        <v>164</v>
      </c>
      <c r="G323" s="121"/>
      <c r="H323" s="121" t="s">
        <v>165</v>
      </c>
      <c r="I323" s="121"/>
      <c r="J323" s="121" t="s">
        <v>524</v>
      </c>
      <c r="K323" s="121"/>
      <c r="L323" s="121"/>
      <c r="M323" s="121"/>
      <c r="N323" s="123"/>
      <c r="O323" s="121"/>
      <c r="P323" s="121" t="s">
        <v>167</v>
      </c>
      <c r="Q323" s="121"/>
      <c r="R323" s="124">
        <v>-4268</v>
      </c>
      <c r="S323" s="121"/>
      <c r="T323" s="124">
        <f t="shared" si="5"/>
        <v>-421445</v>
      </c>
    </row>
    <row r="324" spans="2:20" x14ac:dyDescent="0.4">
      <c r="B324" s="121" t="s">
        <v>135</v>
      </c>
      <c r="C324" s="121"/>
      <c r="D324" s="122">
        <v>45107</v>
      </c>
      <c r="E324" s="121"/>
      <c r="F324" s="121" t="s">
        <v>164</v>
      </c>
      <c r="G324" s="121"/>
      <c r="H324" s="121" t="s">
        <v>165</v>
      </c>
      <c r="I324" s="121"/>
      <c r="J324" s="121" t="s">
        <v>525</v>
      </c>
      <c r="K324" s="121"/>
      <c r="L324" s="121"/>
      <c r="M324" s="121"/>
      <c r="N324" s="123"/>
      <c r="O324" s="121"/>
      <c r="P324" s="121" t="s">
        <v>167</v>
      </c>
      <c r="Q324" s="121"/>
      <c r="R324" s="124">
        <v>-4220</v>
      </c>
      <c r="S324" s="121"/>
      <c r="T324" s="124">
        <f t="shared" si="5"/>
        <v>-425665</v>
      </c>
    </row>
    <row r="325" spans="2:20" x14ac:dyDescent="0.4">
      <c r="B325" s="121" t="s">
        <v>135</v>
      </c>
      <c r="C325" s="121"/>
      <c r="D325" s="122">
        <v>45107</v>
      </c>
      <c r="E325" s="121"/>
      <c r="F325" s="121" t="s">
        <v>212</v>
      </c>
      <c r="G325" s="121"/>
      <c r="H325" s="121"/>
      <c r="I325" s="121"/>
      <c r="J325" s="121" t="s">
        <v>526</v>
      </c>
      <c r="K325" s="121"/>
      <c r="L325" s="121"/>
      <c r="M325" s="121"/>
      <c r="N325" s="123"/>
      <c r="O325" s="121"/>
      <c r="P325" s="121" t="s">
        <v>527</v>
      </c>
      <c r="Q325" s="121"/>
      <c r="R325" s="124">
        <v>1</v>
      </c>
      <c r="S325" s="121"/>
      <c r="T325" s="124">
        <f t="shared" si="5"/>
        <v>-425664</v>
      </c>
    </row>
    <row r="326" spans="2:20" x14ac:dyDescent="0.4">
      <c r="B326" s="121" t="s">
        <v>135</v>
      </c>
      <c r="C326" s="121"/>
      <c r="D326" s="122">
        <v>45138</v>
      </c>
      <c r="E326" s="121"/>
      <c r="F326" s="121" t="s">
        <v>164</v>
      </c>
      <c r="G326" s="121"/>
      <c r="H326" s="121" t="s">
        <v>165</v>
      </c>
      <c r="I326" s="121"/>
      <c r="J326" s="121" t="s">
        <v>528</v>
      </c>
      <c r="K326" s="121"/>
      <c r="L326" s="121"/>
      <c r="M326" s="121"/>
      <c r="N326" s="123"/>
      <c r="O326" s="121"/>
      <c r="P326" s="121" t="s">
        <v>167</v>
      </c>
      <c r="Q326" s="121"/>
      <c r="R326" s="124">
        <v>-4182</v>
      </c>
      <c r="S326" s="121"/>
      <c r="T326" s="124">
        <f t="shared" si="5"/>
        <v>-429846</v>
      </c>
    </row>
    <row r="327" spans="2:20" x14ac:dyDescent="0.4">
      <c r="B327" s="121" t="s">
        <v>135</v>
      </c>
      <c r="C327" s="121"/>
      <c r="D327" s="122">
        <v>45169</v>
      </c>
      <c r="E327" s="121"/>
      <c r="F327" s="121" t="s">
        <v>164</v>
      </c>
      <c r="G327" s="121"/>
      <c r="H327" s="121" t="s">
        <v>165</v>
      </c>
      <c r="I327" s="121"/>
      <c r="J327" s="121" t="s">
        <v>529</v>
      </c>
      <c r="K327" s="121"/>
      <c r="L327" s="121"/>
      <c r="M327" s="121"/>
      <c r="N327" s="123"/>
      <c r="O327" s="121"/>
      <c r="P327" s="121" t="s">
        <v>167</v>
      </c>
      <c r="Q327" s="121"/>
      <c r="R327" s="124">
        <v>-4175</v>
      </c>
      <c r="S327" s="121"/>
      <c r="T327" s="124">
        <f t="shared" si="5"/>
        <v>-434021</v>
      </c>
    </row>
    <row r="328" spans="2:20" x14ac:dyDescent="0.4">
      <c r="B328" s="121" t="s">
        <v>135</v>
      </c>
      <c r="C328" s="121"/>
      <c r="D328" s="122">
        <v>45169</v>
      </c>
      <c r="E328" s="121"/>
      <c r="F328" s="121" t="s">
        <v>212</v>
      </c>
      <c r="G328" s="121"/>
      <c r="H328" s="121"/>
      <c r="I328" s="121"/>
      <c r="J328" s="121" t="s">
        <v>530</v>
      </c>
      <c r="K328" s="121"/>
      <c r="L328" s="121"/>
      <c r="M328" s="121"/>
      <c r="N328" s="123"/>
      <c r="O328" s="121"/>
      <c r="P328" s="121" t="s">
        <v>418</v>
      </c>
      <c r="Q328" s="121"/>
      <c r="R328" s="124">
        <v>1</v>
      </c>
      <c r="S328" s="121"/>
      <c r="T328" s="124">
        <f t="shared" si="5"/>
        <v>-434020</v>
      </c>
    </row>
    <row r="329" spans="2:20" x14ac:dyDescent="0.4">
      <c r="B329" s="121" t="s">
        <v>135</v>
      </c>
      <c r="C329" s="121"/>
      <c r="D329" s="122">
        <v>45199</v>
      </c>
      <c r="E329" s="121"/>
      <c r="F329" s="121" t="s">
        <v>164</v>
      </c>
      <c r="G329" s="121"/>
      <c r="H329" s="121" t="s">
        <v>165</v>
      </c>
      <c r="I329" s="121"/>
      <c r="J329" s="121" t="s">
        <v>531</v>
      </c>
      <c r="K329" s="121"/>
      <c r="L329" s="121"/>
      <c r="M329" s="121"/>
      <c r="N329" s="123"/>
      <c r="O329" s="121"/>
      <c r="P329" s="121" t="s">
        <v>167</v>
      </c>
      <c r="Q329" s="121"/>
      <c r="R329" s="124">
        <v>-4175</v>
      </c>
      <c r="S329" s="121"/>
      <c r="T329" s="124">
        <f t="shared" si="5"/>
        <v>-438195</v>
      </c>
    </row>
    <row r="330" spans="2:20" x14ac:dyDescent="0.4">
      <c r="B330" s="121" t="s">
        <v>135</v>
      </c>
      <c r="C330" s="121"/>
      <c r="D330" s="122">
        <v>45199</v>
      </c>
      <c r="E330" s="121"/>
      <c r="F330" s="121" t="s">
        <v>240</v>
      </c>
      <c r="G330" s="121"/>
      <c r="H330" s="121" t="s">
        <v>234</v>
      </c>
      <c r="I330" s="121"/>
      <c r="J330" s="121" t="s">
        <v>532</v>
      </c>
      <c r="K330" s="121"/>
      <c r="L330" s="121"/>
      <c r="M330" s="121"/>
      <c r="N330" s="123"/>
      <c r="O330" s="121"/>
      <c r="P330" s="121" t="s">
        <v>160</v>
      </c>
      <c r="Q330" s="121"/>
      <c r="R330" s="124">
        <v>-4316</v>
      </c>
      <c r="S330" s="121"/>
      <c r="T330" s="124">
        <f t="shared" si="5"/>
        <v>-442511</v>
      </c>
    </row>
    <row r="331" spans="2:20" x14ac:dyDescent="0.4">
      <c r="B331" s="121" t="s">
        <v>135</v>
      </c>
      <c r="C331" s="121"/>
      <c r="D331" s="122">
        <v>45230</v>
      </c>
      <c r="E331" s="121"/>
      <c r="F331" s="121" t="s">
        <v>164</v>
      </c>
      <c r="G331" s="121"/>
      <c r="H331" s="121" t="s">
        <v>165</v>
      </c>
      <c r="I331" s="121"/>
      <c r="J331" s="121" t="s">
        <v>533</v>
      </c>
      <c r="K331" s="121"/>
      <c r="L331" s="121"/>
      <c r="M331" s="121"/>
      <c r="N331" s="123"/>
      <c r="O331" s="121"/>
      <c r="P331" s="121" t="s">
        <v>167</v>
      </c>
      <c r="Q331" s="121"/>
      <c r="R331" s="124">
        <v>-4231</v>
      </c>
      <c r="S331" s="121"/>
      <c r="T331" s="124">
        <f t="shared" si="5"/>
        <v>-446742</v>
      </c>
    </row>
    <row r="332" spans="2:20" x14ac:dyDescent="0.4">
      <c r="B332" s="121" t="s">
        <v>135</v>
      </c>
      <c r="C332" s="121"/>
      <c r="D332" s="122">
        <v>45230</v>
      </c>
      <c r="E332" s="121"/>
      <c r="F332" s="121" t="s">
        <v>212</v>
      </c>
      <c r="G332" s="121"/>
      <c r="H332" s="121"/>
      <c r="I332" s="121"/>
      <c r="J332" s="121" t="s">
        <v>534</v>
      </c>
      <c r="K332" s="121"/>
      <c r="L332" s="121"/>
      <c r="M332" s="121"/>
      <c r="N332" s="123"/>
      <c r="O332" s="121"/>
      <c r="P332" s="121" t="s">
        <v>225</v>
      </c>
      <c r="Q332" s="121"/>
      <c r="R332" s="124">
        <v>6</v>
      </c>
      <c r="S332" s="121"/>
      <c r="T332" s="124">
        <f t="shared" si="5"/>
        <v>-446736</v>
      </c>
    </row>
    <row r="333" spans="2:20" x14ac:dyDescent="0.4">
      <c r="B333" s="121" t="s">
        <v>135</v>
      </c>
      <c r="C333" s="121"/>
      <c r="D333" s="122">
        <v>45260</v>
      </c>
      <c r="E333" s="121"/>
      <c r="F333" s="121" t="s">
        <v>164</v>
      </c>
      <c r="G333" s="121"/>
      <c r="H333" s="121" t="s">
        <v>165</v>
      </c>
      <c r="I333" s="121"/>
      <c r="J333" s="121" t="s">
        <v>535</v>
      </c>
      <c r="K333" s="121"/>
      <c r="L333" s="121"/>
      <c r="M333" s="121"/>
      <c r="N333" s="123"/>
      <c r="O333" s="121"/>
      <c r="P333" s="121" t="s">
        <v>167</v>
      </c>
      <c r="Q333" s="121"/>
      <c r="R333" s="124">
        <v>-4436</v>
      </c>
      <c r="S333" s="121"/>
      <c r="T333" s="124">
        <f t="shared" si="5"/>
        <v>-451172</v>
      </c>
    </row>
    <row r="334" spans="2:20" x14ac:dyDescent="0.4">
      <c r="B334" s="121" t="s">
        <v>135</v>
      </c>
      <c r="C334" s="121"/>
      <c r="D334" s="122">
        <v>45260</v>
      </c>
      <c r="E334" s="121"/>
      <c r="F334" s="121" t="s">
        <v>212</v>
      </c>
      <c r="G334" s="121"/>
      <c r="H334" s="121"/>
      <c r="I334" s="121"/>
      <c r="J334" s="121" t="s">
        <v>536</v>
      </c>
      <c r="K334" s="121"/>
      <c r="L334" s="121"/>
      <c r="M334" s="121"/>
      <c r="N334" s="123"/>
      <c r="O334" s="121"/>
      <c r="P334" s="121" t="s">
        <v>418</v>
      </c>
      <c r="Q334" s="121"/>
      <c r="R334" s="124">
        <v>2</v>
      </c>
      <c r="S334" s="121"/>
      <c r="T334" s="124">
        <f t="shared" si="5"/>
        <v>-451170</v>
      </c>
    </row>
    <row r="335" spans="2:20" x14ac:dyDescent="0.4">
      <c r="B335" s="121" t="s">
        <v>135</v>
      </c>
      <c r="C335" s="121"/>
      <c r="D335" s="122">
        <v>45291</v>
      </c>
      <c r="E335" s="121"/>
      <c r="F335" s="121" t="s">
        <v>164</v>
      </c>
      <c r="G335" s="121"/>
      <c r="H335" s="121" t="s">
        <v>165</v>
      </c>
      <c r="I335" s="121"/>
      <c r="J335" s="121" t="s">
        <v>537</v>
      </c>
      <c r="K335" s="121"/>
      <c r="L335" s="121"/>
      <c r="M335" s="121"/>
      <c r="N335" s="123"/>
      <c r="O335" s="121"/>
      <c r="P335" s="121" t="s">
        <v>167</v>
      </c>
      <c r="Q335" s="121"/>
      <c r="R335" s="124">
        <v>-4323</v>
      </c>
      <c r="S335" s="121"/>
      <c r="T335" s="124">
        <f t="shared" si="5"/>
        <v>-455493</v>
      </c>
    </row>
    <row r="336" spans="2:20" x14ac:dyDescent="0.4">
      <c r="B336" s="121" t="s">
        <v>135</v>
      </c>
      <c r="C336" s="121"/>
      <c r="D336" s="122">
        <v>45291</v>
      </c>
      <c r="E336" s="121"/>
      <c r="F336" s="121" t="s">
        <v>212</v>
      </c>
      <c r="G336" s="121"/>
      <c r="H336" s="121"/>
      <c r="I336" s="121"/>
      <c r="J336" s="121" t="s">
        <v>538</v>
      </c>
      <c r="K336" s="121"/>
      <c r="L336" s="121"/>
      <c r="M336" s="121"/>
      <c r="N336" s="123"/>
      <c r="O336" s="121"/>
      <c r="P336" s="121" t="s">
        <v>225</v>
      </c>
      <c r="Q336" s="121"/>
      <c r="R336" s="124">
        <v>7</v>
      </c>
      <c r="S336" s="121"/>
      <c r="T336" s="124">
        <f t="shared" si="5"/>
        <v>-455486</v>
      </c>
    </row>
    <row r="337" spans="2:23" x14ac:dyDescent="0.4">
      <c r="B337" s="121" t="s">
        <v>135</v>
      </c>
      <c r="C337" s="121"/>
      <c r="D337" s="122">
        <v>45291</v>
      </c>
      <c r="E337" s="121"/>
      <c r="F337" s="121" t="s">
        <v>539</v>
      </c>
      <c r="G337" s="121"/>
      <c r="H337" s="121" t="s">
        <v>234</v>
      </c>
      <c r="I337" s="121"/>
      <c r="J337" s="121" t="s">
        <v>540</v>
      </c>
      <c r="K337" s="121"/>
      <c r="L337" s="121"/>
      <c r="M337" s="121"/>
      <c r="N337" s="123"/>
      <c r="O337" s="121"/>
      <c r="P337" s="121" t="s">
        <v>160</v>
      </c>
      <c r="Q337" s="121"/>
      <c r="R337" s="124">
        <v>-1449</v>
      </c>
      <c r="S337" s="121"/>
      <c r="T337" s="124">
        <f t="shared" si="5"/>
        <v>-456935</v>
      </c>
    </row>
    <row r="338" spans="2:23" x14ac:dyDescent="0.4">
      <c r="B338" s="121" t="s">
        <v>135</v>
      </c>
      <c r="C338" s="121"/>
      <c r="D338" s="122">
        <v>45322</v>
      </c>
      <c r="E338" s="121"/>
      <c r="F338" s="121" t="s">
        <v>164</v>
      </c>
      <c r="G338" s="121"/>
      <c r="H338" s="121" t="s">
        <v>165</v>
      </c>
      <c r="I338" s="121"/>
      <c r="J338" s="121" t="s">
        <v>541</v>
      </c>
      <c r="K338" s="121"/>
      <c r="L338" s="121"/>
      <c r="M338" s="121"/>
      <c r="N338" s="123"/>
      <c r="O338" s="121"/>
      <c r="P338" s="121" t="s">
        <v>167</v>
      </c>
      <c r="Q338" s="121"/>
      <c r="R338" s="124">
        <v>-4308</v>
      </c>
      <c r="S338" s="121"/>
      <c r="T338" s="124">
        <f t="shared" si="5"/>
        <v>-461243</v>
      </c>
    </row>
    <row r="339" spans="2:23" x14ac:dyDescent="0.4">
      <c r="B339" s="121" t="s">
        <v>135</v>
      </c>
      <c r="C339" s="121"/>
      <c r="D339" s="122">
        <v>45351</v>
      </c>
      <c r="E339" s="121"/>
      <c r="F339" s="121" t="s">
        <v>164</v>
      </c>
      <c r="G339" s="121"/>
      <c r="H339" s="121" t="s">
        <v>165</v>
      </c>
      <c r="I339" s="121"/>
      <c r="J339" s="121" t="s">
        <v>542</v>
      </c>
      <c r="K339" s="121"/>
      <c r="L339" s="121"/>
      <c r="M339" s="121"/>
      <c r="N339" s="123"/>
      <c r="O339" s="121"/>
      <c r="P339" s="121" t="s">
        <v>167</v>
      </c>
      <c r="Q339" s="121"/>
      <c r="R339" s="124">
        <v>-4313</v>
      </c>
      <c r="S339" s="121"/>
      <c r="T339" s="124">
        <f t="shared" si="5"/>
        <v>-465556</v>
      </c>
      <c r="W339" s="132"/>
    </row>
    <row r="340" spans="2:23" x14ac:dyDescent="0.4">
      <c r="B340" s="121" t="s">
        <v>135</v>
      </c>
      <c r="C340" s="121"/>
      <c r="D340" s="122">
        <v>45382</v>
      </c>
      <c r="E340" s="121"/>
      <c r="F340" s="121" t="s">
        <v>164</v>
      </c>
      <c r="G340" s="121"/>
      <c r="H340" s="121" t="s">
        <v>165</v>
      </c>
      <c r="I340" s="121"/>
      <c r="J340" s="121" t="s">
        <v>543</v>
      </c>
      <c r="K340" s="121"/>
      <c r="L340" s="121"/>
      <c r="M340" s="121"/>
      <c r="N340" s="123"/>
      <c r="O340" s="121"/>
      <c r="P340" s="121" t="s">
        <v>167</v>
      </c>
      <c r="Q340" s="121"/>
      <c r="R340" s="124">
        <v>-4310</v>
      </c>
      <c r="S340" s="121"/>
      <c r="T340" s="124">
        <f t="shared" si="5"/>
        <v>-469866</v>
      </c>
    </row>
    <row r="341" spans="2:23" x14ac:dyDescent="0.4">
      <c r="B341" s="121" t="s">
        <v>135</v>
      </c>
      <c r="C341" s="121"/>
      <c r="D341" s="122">
        <v>45412</v>
      </c>
      <c r="E341" s="121"/>
      <c r="F341" s="121" t="s">
        <v>164</v>
      </c>
      <c r="G341" s="121"/>
      <c r="H341" s="121" t="s">
        <v>165</v>
      </c>
      <c r="I341" s="121"/>
      <c r="J341" s="121" t="s">
        <v>544</v>
      </c>
      <c r="K341" s="121"/>
      <c r="L341" s="121"/>
      <c r="M341" s="121"/>
      <c r="N341" s="123"/>
      <c r="O341" s="121"/>
      <c r="P341" s="121" t="s">
        <v>167</v>
      </c>
      <c r="Q341" s="121"/>
      <c r="R341" s="124">
        <v>-4284</v>
      </c>
      <c r="S341" s="121"/>
      <c r="T341" s="124">
        <f t="shared" si="5"/>
        <v>-474150</v>
      </c>
    </row>
    <row r="342" spans="2:23" x14ac:dyDescent="0.4">
      <c r="B342" s="121" t="s">
        <v>135</v>
      </c>
      <c r="C342" s="121"/>
      <c r="D342" s="122">
        <v>45443</v>
      </c>
      <c r="E342" s="121"/>
      <c r="F342" s="121" t="s">
        <v>164</v>
      </c>
      <c r="G342" s="121"/>
      <c r="H342" s="121" t="s">
        <v>165</v>
      </c>
      <c r="I342" s="121"/>
      <c r="J342" s="121" t="s">
        <v>545</v>
      </c>
      <c r="K342" s="121"/>
      <c r="L342" s="121"/>
      <c r="M342" s="121"/>
      <c r="N342" s="123"/>
      <c r="O342" s="121"/>
      <c r="P342" s="121" t="s">
        <v>167</v>
      </c>
      <c r="Q342" s="121"/>
      <c r="R342" s="124">
        <v>-4245</v>
      </c>
      <c r="S342" s="121"/>
      <c r="T342" s="124">
        <f t="shared" si="5"/>
        <v>-478395</v>
      </c>
    </row>
    <row r="343" spans="2:23" x14ac:dyDescent="0.4">
      <c r="B343" s="121" t="s">
        <v>135</v>
      </c>
      <c r="C343" s="121"/>
      <c r="D343" s="122">
        <v>45473</v>
      </c>
      <c r="E343" s="121"/>
      <c r="F343" s="121" t="s">
        <v>164</v>
      </c>
      <c r="G343" s="121"/>
      <c r="H343" s="121" t="s">
        <v>165</v>
      </c>
      <c r="I343" s="121"/>
      <c r="J343" s="121" t="s">
        <v>546</v>
      </c>
      <c r="K343" s="121"/>
      <c r="L343" s="121"/>
      <c r="M343" s="121"/>
      <c r="N343" s="123"/>
      <c r="O343" s="121"/>
      <c r="P343" s="121" t="s">
        <v>167</v>
      </c>
      <c r="Q343" s="121"/>
      <c r="R343" s="124">
        <v>-4197</v>
      </c>
      <c r="S343" s="121"/>
      <c r="T343" s="124">
        <f t="shared" si="5"/>
        <v>-482592</v>
      </c>
    </row>
    <row r="344" spans="2:23" x14ac:dyDescent="0.4">
      <c r="B344" s="121" t="s">
        <v>135</v>
      </c>
      <c r="C344" s="121"/>
      <c r="D344" s="122">
        <v>45473</v>
      </c>
      <c r="E344" s="121"/>
      <c r="F344" s="121" t="s">
        <v>242</v>
      </c>
      <c r="G344" s="121"/>
      <c r="H344" s="121"/>
      <c r="I344" s="121"/>
      <c r="J344" s="121" t="s">
        <v>547</v>
      </c>
      <c r="K344" s="121"/>
      <c r="L344" s="121"/>
      <c r="M344" s="121"/>
      <c r="N344" s="123"/>
      <c r="O344" s="121"/>
      <c r="P344" s="121" t="s">
        <v>418</v>
      </c>
      <c r="Q344" s="121"/>
      <c r="R344" s="124">
        <v>2</v>
      </c>
      <c r="S344" s="121"/>
      <c r="T344" s="124">
        <f t="shared" si="5"/>
        <v>-482590</v>
      </c>
    </row>
    <row r="345" spans="2:23" x14ac:dyDescent="0.4">
      <c r="B345" s="121" t="s">
        <v>135</v>
      </c>
      <c r="C345" s="121"/>
      <c r="D345" s="122">
        <v>45504</v>
      </c>
      <c r="E345" s="121"/>
      <c r="F345" s="121" t="s">
        <v>164</v>
      </c>
      <c r="G345" s="121"/>
      <c r="H345" s="121" t="s">
        <v>165</v>
      </c>
      <c r="I345" s="121"/>
      <c r="J345" s="121" t="s">
        <v>548</v>
      </c>
      <c r="K345" s="121"/>
      <c r="L345" s="121"/>
      <c r="M345" s="121"/>
      <c r="N345" s="123"/>
      <c r="O345" s="121"/>
      <c r="P345" s="121" t="s">
        <v>167</v>
      </c>
      <c r="Q345" s="121"/>
      <c r="R345" s="124">
        <v>-4181</v>
      </c>
      <c r="S345" s="121"/>
      <c r="T345" s="124">
        <f t="shared" si="5"/>
        <v>-486771</v>
      </c>
    </row>
    <row r="346" spans="2:23" x14ac:dyDescent="0.4">
      <c r="B346" s="121" t="s">
        <v>135</v>
      </c>
      <c r="C346" s="121"/>
      <c r="D346" s="122">
        <v>45535</v>
      </c>
      <c r="E346" s="121"/>
      <c r="F346" s="121" t="s">
        <v>164</v>
      </c>
      <c r="G346" s="121"/>
      <c r="H346" s="121" t="s">
        <v>165</v>
      </c>
      <c r="I346" s="121"/>
      <c r="J346" s="121" t="s">
        <v>549</v>
      </c>
      <c r="K346" s="121"/>
      <c r="L346" s="121"/>
      <c r="M346" s="121"/>
      <c r="N346" s="123"/>
      <c r="O346" s="121"/>
      <c r="P346" s="121" t="s">
        <v>167</v>
      </c>
      <c r="Q346" s="121"/>
      <c r="R346" s="124">
        <v>-4157</v>
      </c>
      <c r="S346" s="121"/>
      <c r="T346" s="124">
        <f t="shared" si="5"/>
        <v>-490928</v>
      </c>
    </row>
    <row r="347" spans="2:23" x14ac:dyDescent="0.4">
      <c r="B347" s="121" t="s">
        <v>135</v>
      </c>
      <c r="C347" s="121"/>
      <c r="D347" s="122">
        <v>45535</v>
      </c>
      <c r="E347" s="121"/>
      <c r="F347" s="121" t="s">
        <v>233</v>
      </c>
      <c r="G347" s="121"/>
      <c r="H347" s="121" t="s">
        <v>234</v>
      </c>
      <c r="I347" s="121"/>
      <c r="J347" s="121" t="s">
        <v>550</v>
      </c>
      <c r="K347" s="121"/>
      <c r="L347" s="121"/>
      <c r="M347" s="121"/>
      <c r="N347" s="123"/>
      <c r="O347" s="121"/>
      <c r="P347" s="121" t="s">
        <v>160</v>
      </c>
      <c r="Q347" s="121"/>
      <c r="R347" s="124">
        <v>-3897</v>
      </c>
      <c r="S347" s="121"/>
      <c r="T347" s="124">
        <f t="shared" si="5"/>
        <v>-494825</v>
      </c>
    </row>
    <row r="348" spans="2:23" x14ac:dyDescent="0.4">
      <c r="B348" s="121" t="s">
        <v>135</v>
      </c>
      <c r="C348" s="121"/>
      <c r="D348" s="122">
        <v>45565</v>
      </c>
      <c r="E348" s="121"/>
      <c r="F348" s="121" t="s">
        <v>164</v>
      </c>
      <c r="G348" s="121"/>
      <c r="H348" s="121" t="s">
        <v>165</v>
      </c>
      <c r="I348" s="121"/>
      <c r="J348" s="121" t="s">
        <v>551</v>
      </c>
      <c r="K348" s="121"/>
      <c r="L348" s="121"/>
      <c r="M348" s="121"/>
      <c r="N348" s="123"/>
      <c r="O348" s="121"/>
      <c r="P348" s="121" t="s">
        <v>167</v>
      </c>
      <c r="Q348" s="121"/>
      <c r="R348" s="124">
        <v>-4169</v>
      </c>
      <c r="S348" s="121"/>
      <c r="T348" s="124">
        <f t="shared" si="5"/>
        <v>-498994</v>
      </c>
    </row>
    <row r="349" spans="2:23" x14ac:dyDescent="0.4">
      <c r="B349" s="121" t="s">
        <v>135</v>
      </c>
      <c r="C349" s="121"/>
      <c r="D349" s="122">
        <v>45596</v>
      </c>
      <c r="E349" s="121"/>
      <c r="F349" s="121" t="s">
        <v>164</v>
      </c>
      <c r="G349" s="121"/>
      <c r="H349" s="121" t="s">
        <v>165</v>
      </c>
      <c r="I349" s="121"/>
      <c r="J349" s="121" t="s">
        <v>552</v>
      </c>
      <c r="K349" s="121"/>
      <c r="L349" s="121"/>
      <c r="M349" s="121"/>
      <c r="N349" s="123"/>
      <c r="O349" s="121"/>
      <c r="P349" s="121" t="s">
        <v>167</v>
      </c>
      <c r="Q349" s="121"/>
      <c r="R349" s="124">
        <v>-4208</v>
      </c>
      <c r="S349" s="121"/>
      <c r="T349" s="124">
        <f t="shared" si="5"/>
        <v>-503202</v>
      </c>
    </row>
    <row r="350" spans="2:23" x14ac:dyDescent="0.4">
      <c r="B350" s="121" t="s">
        <v>135</v>
      </c>
      <c r="C350" s="121"/>
      <c r="D350" s="122">
        <v>45626</v>
      </c>
      <c r="E350" s="121"/>
      <c r="F350" s="121" t="s">
        <v>164</v>
      </c>
      <c r="G350" s="121"/>
      <c r="H350" s="121" t="s">
        <v>165</v>
      </c>
      <c r="I350" s="121"/>
      <c r="J350" s="121" t="s">
        <v>553</v>
      </c>
      <c r="K350" s="121"/>
      <c r="L350" s="121"/>
      <c r="M350" s="121"/>
      <c r="N350" s="123"/>
      <c r="O350" s="121"/>
      <c r="P350" s="121" t="s">
        <v>167</v>
      </c>
      <c r="Q350" s="121"/>
      <c r="R350" s="124">
        <v>-4234</v>
      </c>
      <c r="S350" s="121"/>
      <c r="T350" s="124">
        <f t="shared" si="5"/>
        <v>-507436</v>
      </c>
    </row>
    <row r="351" spans="2:23" x14ac:dyDescent="0.4">
      <c r="B351" s="121" t="s">
        <v>135</v>
      </c>
      <c r="C351" s="121"/>
      <c r="D351" s="122">
        <v>45626</v>
      </c>
      <c r="E351" s="121"/>
      <c r="F351" s="121" t="s">
        <v>242</v>
      </c>
      <c r="G351" s="121"/>
      <c r="H351" s="121"/>
      <c r="I351" s="121"/>
      <c r="J351" s="121" t="s">
        <v>554</v>
      </c>
      <c r="K351" s="121"/>
      <c r="L351" s="121"/>
      <c r="M351" s="121"/>
      <c r="N351" s="123"/>
      <c r="O351" s="121"/>
      <c r="P351" s="121" t="s">
        <v>377</v>
      </c>
      <c r="Q351" s="121"/>
      <c r="R351" s="124">
        <v>2</v>
      </c>
      <c r="S351" s="121"/>
      <c r="T351" s="124">
        <f t="shared" si="5"/>
        <v>-507434</v>
      </c>
    </row>
    <row r="352" spans="2:23" x14ac:dyDescent="0.4">
      <c r="B352" s="121" t="s">
        <v>135</v>
      </c>
      <c r="C352" s="121"/>
      <c r="D352" s="122">
        <v>45626</v>
      </c>
      <c r="E352" s="121"/>
      <c r="F352" s="121" t="s">
        <v>240</v>
      </c>
      <c r="G352" s="121"/>
      <c r="H352" s="121" t="s">
        <v>234</v>
      </c>
      <c r="I352" s="121"/>
      <c r="J352" s="121" t="s">
        <v>555</v>
      </c>
      <c r="K352" s="121"/>
      <c r="L352" s="121"/>
      <c r="M352" s="121"/>
      <c r="N352" s="123"/>
      <c r="O352" s="121"/>
      <c r="P352" s="121" t="s">
        <v>160</v>
      </c>
      <c r="Q352" s="121"/>
      <c r="R352" s="124">
        <v>-1456</v>
      </c>
      <c r="S352" s="121"/>
      <c r="T352" s="124">
        <f t="shared" ref="T352:T385" si="6">ROUND(T351+R352,5)</f>
        <v>-508890</v>
      </c>
    </row>
    <row r="353" spans="2:20" x14ac:dyDescent="0.4">
      <c r="B353" s="121" t="s">
        <v>135</v>
      </c>
      <c r="C353" s="121"/>
      <c r="D353" s="122">
        <v>45657</v>
      </c>
      <c r="E353" s="121"/>
      <c r="F353" s="121" t="s">
        <v>164</v>
      </c>
      <c r="G353" s="121"/>
      <c r="H353" s="121" t="s">
        <v>165</v>
      </c>
      <c r="I353" s="121"/>
      <c r="J353" s="121" t="s">
        <v>556</v>
      </c>
      <c r="K353" s="121"/>
      <c r="L353" s="121"/>
      <c r="M353" s="121"/>
      <c r="N353" s="123"/>
      <c r="O353" s="121"/>
      <c r="P353" s="121" t="s">
        <v>167</v>
      </c>
      <c r="Q353" s="121"/>
      <c r="R353" s="124">
        <v>-4254</v>
      </c>
      <c r="S353" s="121"/>
      <c r="T353" s="124">
        <f t="shared" si="6"/>
        <v>-513144</v>
      </c>
    </row>
    <row r="354" spans="2:20" x14ac:dyDescent="0.4">
      <c r="B354" s="121" t="s">
        <v>135</v>
      </c>
      <c r="C354" s="121"/>
      <c r="D354" s="122">
        <v>45657</v>
      </c>
      <c r="E354" s="121"/>
      <c r="F354" s="121" t="s">
        <v>242</v>
      </c>
      <c r="G354" s="121"/>
      <c r="H354" s="121"/>
      <c r="I354" s="121"/>
      <c r="J354" s="121" t="s">
        <v>557</v>
      </c>
      <c r="K354" s="121"/>
      <c r="L354" s="121"/>
      <c r="M354" s="121"/>
      <c r="N354" s="123"/>
      <c r="O354" s="121"/>
      <c r="P354" s="121" t="s">
        <v>225</v>
      </c>
      <c r="Q354" s="121"/>
      <c r="R354" s="124">
        <v>1</v>
      </c>
      <c r="S354" s="121"/>
      <c r="T354" s="124">
        <f t="shared" si="6"/>
        <v>-513143</v>
      </c>
    </row>
    <row r="355" spans="2:20" x14ac:dyDescent="0.4">
      <c r="B355" s="121" t="s">
        <v>135</v>
      </c>
      <c r="C355" s="121"/>
      <c r="D355" s="122">
        <v>45657</v>
      </c>
      <c r="E355" s="121"/>
      <c r="F355" s="121" t="s">
        <v>240</v>
      </c>
      <c r="G355" s="121"/>
      <c r="H355" s="121" t="s">
        <v>234</v>
      </c>
      <c r="I355" s="121"/>
      <c r="J355" s="121" t="s">
        <v>558</v>
      </c>
      <c r="K355" s="121"/>
      <c r="L355" s="121"/>
      <c r="M355" s="121"/>
      <c r="N355" s="123"/>
      <c r="O355" s="121"/>
      <c r="P355" s="121" t="s">
        <v>160</v>
      </c>
      <c r="Q355" s="121"/>
      <c r="R355" s="124">
        <v>-490</v>
      </c>
      <c r="S355" s="121"/>
      <c r="T355" s="124">
        <f t="shared" si="6"/>
        <v>-513633</v>
      </c>
    </row>
    <row r="356" spans="2:20" x14ac:dyDescent="0.4">
      <c r="B356" s="121" t="s">
        <v>135</v>
      </c>
      <c r="C356" s="121"/>
      <c r="D356" s="122">
        <v>45688</v>
      </c>
      <c r="E356" s="121"/>
      <c r="F356" s="121" t="s">
        <v>164</v>
      </c>
      <c r="G356" s="121"/>
      <c r="H356" s="121" t="s">
        <v>165</v>
      </c>
      <c r="I356" s="121"/>
      <c r="J356" s="121" t="s">
        <v>559</v>
      </c>
      <c r="K356" s="121"/>
      <c r="L356" s="121"/>
      <c r="M356" s="121"/>
      <c r="N356" s="123"/>
      <c r="O356" s="121"/>
      <c r="P356" s="121" t="s">
        <v>167</v>
      </c>
      <c r="Q356" s="121"/>
      <c r="R356" s="124">
        <v>-4249</v>
      </c>
      <c r="S356" s="121"/>
      <c r="T356" s="124">
        <f t="shared" si="6"/>
        <v>-517882</v>
      </c>
    </row>
    <row r="357" spans="2:20" x14ac:dyDescent="0.4">
      <c r="B357" s="121" t="s">
        <v>135</v>
      </c>
      <c r="C357" s="121"/>
      <c r="D357" s="122">
        <v>45688</v>
      </c>
      <c r="E357" s="121"/>
      <c r="F357" s="121" t="s">
        <v>242</v>
      </c>
      <c r="G357" s="121"/>
      <c r="H357" s="121"/>
      <c r="I357" s="121"/>
      <c r="J357" s="121" t="s">
        <v>560</v>
      </c>
      <c r="K357" s="121"/>
      <c r="L357" s="121"/>
      <c r="M357" s="121"/>
      <c r="N357" s="123"/>
      <c r="O357" s="121"/>
      <c r="P357" s="121" t="s">
        <v>561</v>
      </c>
      <c r="Q357" s="121"/>
      <c r="R357" s="124">
        <v>1</v>
      </c>
      <c r="S357" s="121"/>
      <c r="T357" s="124">
        <f t="shared" si="6"/>
        <v>-517881</v>
      </c>
    </row>
    <row r="358" spans="2:20" x14ac:dyDescent="0.4">
      <c r="B358" s="121" t="s">
        <v>135</v>
      </c>
      <c r="C358" s="121"/>
      <c r="D358" s="122">
        <v>45688</v>
      </c>
      <c r="E358" s="121"/>
      <c r="F358" s="121" t="s">
        <v>240</v>
      </c>
      <c r="G358" s="121"/>
      <c r="H358" s="121" t="s">
        <v>234</v>
      </c>
      <c r="I358" s="121"/>
      <c r="J358" s="121" t="s">
        <v>562</v>
      </c>
      <c r="K358" s="121"/>
      <c r="L358" s="121"/>
      <c r="M358" s="121"/>
      <c r="N358" s="123"/>
      <c r="O358" s="121"/>
      <c r="P358" s="121" t="s">
        <v>160</v>
      </c>
      <c r="Q358" s="121"/>
      <c r="R358" s="124">
        <v>-496</v>
      </c>
      <c r="S358" s="121"/>
      <c r="T358" s="124">
        <f t="shared" si="6"/>
        <v>-518377</v>
      </c>
    </row>
    <row r="359" spans="2:20" x14ac:dyDescent="0.4">
      <c r="B359" s="121" t="s">
        <v>135</v>
      </c>
      <c r="C359" s="121"/>
      <c r="D359" s="122">
        <v>45716</v>
      </c>
      <c r="E359" s="121"/>
      <c r="F359" s="121" t="s">
        <v>164</v>
      </c>
      <c r="G359" s="121"/>
      <c r="H359" s="121" t="s">
        <v>165</v>
      </c>
      <c r="I359" s="121"/>
      <c r="J359" s="121" t="s">
        <v>563</v>
      </c>
      <c r="K359" s="121"/>
      <c r="L359" s="121"/>
      <c r="M359" s="121"/>
      <c r="N359" s="123"/>
      <c r="O359" s="121"/>
      <c r="P359" s="121" t="s">
        <v>167</v>
      </c>
      <c r="Q359" s="121"/>
      <c r="R359" s="124">
        <v>-4243</v>
      </c>
      <c r="S359" s="121"/>
      <c r="T359" s="124">
        <f t="shared" si="6"/>
        <v>-522620</v>
      </c>
    </row>
    <row r="360" spans="2:20" x14ac:dyDescent="0.4">
      <c r="B360" s="121" t="s">
        <v>135</v>
      </c>
      <c r="C360" s="121"/>
      <c r="D360" s="122">
        <v>45716</v>
      </c>
      <c r="E360" s="121"/>
      <c r="F360" s="121" t="s">
        <v>242</v>
      </c>
      <c r="G360" s="121"/>
      <c r="H360" s="121"/>
      <c r="I360" s="121"/>
      <c r="J360" s="121" t="s">
        <v>564</v>
      </c>
      <c r="K360" s="121"/>
      <c r="L360" s="121"/>
      <c r="M360" s="121"/>
      <c r="N360" s="123"/>
      <c r="O360" s="121"/>
      <c r="P360" s="121" t="s">
        <v>561</v>
      </c>
      <c r="Q360" s="121"/>
      <c r="R360" s="124">
        <v>1</v>
      </c>
      <c r="S360" s="121"/>
      <c r="T360" s="124">
        <f t="shared" si="6"/>
        <v>-522619</v>
      </c>
    </row>
    <row r="361" spans="2:20" x14ac:dyDescent="0.4">
      <c r="B361" s="121" t="s">
        <v>135</v>
      </c>
      <c r="C361" s="121"/>
      <c r="D361" s="122">
        <v>45716</v>
      </c>
      <c r="E361" s="121"/>
      <c r="F361" s="121" t="s">
        <v>240</v>
      </c>
      <c r="G361" s="121"/>
      <c r="H361" s="121" t="s">
        <v>234</v>
      </c>
      <c r="I361" s="121"/>
      <c r="J361" s="121" t="s">
        <v>565</v>
      </c>
      <c r="K361" s="121"/>
      <c r="L361" s="121"/>
      <c r="M361" s="121"/>
      <c r="N361" s="123"/>
      <c r="O361" s="121"/>
      <c r="P361" s="121" t="s">
        <v>160</v>
      </c>
      <c r="Q361" s="121"/>
      <c r="R361" s="124">
        <v>-494</v>
      </c>
      <c r="S361" s="121"/>
      <c r="T361" s="124">
        <f t="shared" si="6"/>
        <v>-523113</v>
      </c>
    </row>
    <row r="362" spans="2:20" x14ac:dyDescent="0.4">
      <c r="B362" s="121" t="s">
        <v>135</v>
      </c>
      <c r="C362" s="121"/>
      <c r="D362" s="122">
        <v>45747</v>
      </c>
      <c r="E362" s="121"/>
      <c r="F362" s="121" t="s">
        <v>164</v>
      </c>
      <c r="G362" s="121"/>
      <c r="H362" s="121" t="s">
        <v>165</v>
      </c>
      <c r="I362" s="121"/>
      <c r="J362" s="121" t="s">
        <v>566</v>
      </c>
      <c r="K362" s="121"/>
      <c r="L362" s="121"/>
      <c r="M362" s="121"/>
      <c r="N362" s="123"/>
      <c r="O362" s="121"/>
      <c r="P362" s="121" t="s">
        <v>167</v>
      </c>
      <c r="Q362" s="121"/>
      <c r="R362" s="124">
        <v>-4233</v>
      </c>
      <c r="S362" s="121"/>
      <c r="T362" s="124">
        <f t="shared" si="6"/>
        <v>-527346</v>
      </c>
    </row>
    <row r="363" spans="2:20" x14ac:dyDescent="0.4">
      <c r="B363" s="121" t="s">
        <v>135</v>
      </c>
      <c r="C363" s="121"/>
      <c r="D363" s="122">
        <v>45747</v>
      </c>
      <c r="E363" s="121"/>
      <c r="F363" s="121" t="s">
        <v>242</v>
      </c>
      <c r="G363" s="121"/>
      <c r="H363" s="121"/>
      <c r="I363" s="121"/>
      <c r="J363" s="121" t="s">
        <v>567</v>
      </c>
      <c r="K363" s="121"/>
      <c r="L363" s="121"/>
      <c r="M363" s="121"/>
      <c r="N363" s="123"/>
      <c r="O363" s="121"/>
      <c r="P363" s="121" t="s">
        <v>225</v>
      </c>
      <c r="Q363" s="121"/>
      <c r="R363" s="124">
        <v>3</v>
      </c>
      <c r="S363" s="121"/>
      <c r="T363" s="124">
        <f t="shared" si="6"/>
        <v>-527343</v>
      </c>
    </row>
    <row r="364" spans="2:20" x14ac:dyDescent="0.4">
      <c r="B364" s="121" t="s">
        <v>135</v>
      </c>
      <c r="C364" s="121"/>
      <c r="D364" s="122">
        <v>45747</v>
      </c>
      <c r="E364" s="121"/>
      <c r="F364" s="121" t="s">
        <v>240</v>
      </c>
      <c r="G364" s="121"/>
      <c r="H364" s="121" t="s">
        <v>234</v>
      </c>
      <c r="I364" s="121"/>
      <c r="J364" s="121" t="s">
        <v>568</v>
      </c>
      <c r="K364" s="121"/>
      <c r="L364" s="121"/>
      <c r="M364" s="121"/>
      <c r="N364" s="123"/>
      <c r="O364" s="121"/>
      <c r="P364" s="121" t="s">
        <v>160</v>
      </c>
      <c r="Q364" s="121"/>
      <c r="R364" s="124">
        <v>-491</v>
      </c>
      <c r="S364" s="121"/>
      <c r="T364" s="124">
        <f t="shared" si="6"/>
        <v>-527834</v>
      </c>
    </row>
    <row r="365" spans="2:20" x14ac:dyDescent="0.4">
      <c r="B365" s="121" t="s">
        <v>135</v>
      </c>
      <c r="C365" s="121"/>
      <c r="D365" s="122">
        <v>45777</v>
      </c>
      <c r="E365" s="121"/>
      <c r="F365" s="121" t="s">
        <v>164</v>
      </c>
      <c r="G365" s="121"/>
      <c r="H365" s="121" t="s">
        <v>165</v>
      </c>
      <c r="I365" s="121"/>
      <c r="J365" s="121" t="s">
        <v>569</v>
      </c>
      <c r="K365" s="121"/>
      <c r="L365" s="121"/>
      <c r="M365" s="121"/>
      <c r="N365" s="123"/>
      <c r="O365" s="121"/>
      <c r="P365" s="121" t="s">
        <v>167</v>
      </c>
      <c r="Q365" s="121"/>
      <c r="R365" s="124">
        <v>-4210</v>
      </c>
      <c r="S365" s="121"/>
      <c r="T365" s="124">
        <f t="shared" si="6"/>
        <v>-532044</v>
      </c>
    </row>
    <row r="366" spans="2:20" x14ac:dyDescent="0.4">
      <c r="B366" s="121" t="s">
        <v>135</v>
      </c>
      <c r="C366" s="121"/>
      <c r="D366" s="122">
        <v>45777</v>
      </c>
      <c r="E366" s="121"/>
      <c r="F366" s="121" t="s">
        <v>240</v>
      </c>
      <c r="G366" s="121"/>
      <c r="H366" s="121" t="s">
        <v>234</v>
      </c>
      <c r="I366" s="121"/>
      <c r="J366" s="121" t="s">
        <v>570</v>
      </c>
      <c r="K366" s="121"/>
      <c r="L366" s="121"/>
      <c r="M366" s="121"/>
      <c r="N366" s="123"/>
      <c r="O366" s="121"/>
      <c r="P366" s="121" t="s">
        <v>160</v>
      </c>
      <c r="Q366" s="121"/>
      <c r="R366" s="124">
        <v>-489</v>
      </c>
      <c r="S366" s="121"/>
      <c r="T366" s="124">
        <f t="shared" si="6"/>
        <v>-532533</v>
      </c>
    </row>
    <row r="367" spans="2:20" x14ac:dyDescent="0.4">
      <c r="B367" s="121" t="s">
        <v>135</v>
      </c>
      <c r="C367" s="121"/>
      <c r="D367" s="122">
        <v>45808</v>
      </c>
      <c r="E367" s="121"/>
      <c r="F367" s="121" t="s">
        <v>164</v>
      </c>
      <c r="G367" s="121"/>
      <c r="H367" s="121" t="s">
        <v>165</v>
      </c>
      <c r="I367" s="121"/>
      <c r="J367" s="121" t="s">
        <v>571</v>
      </c>
      <c r="K367" s="121"/>
      <c r="L367" s="121"/>
      <c r="M367" s="121"/>
      <c r="N367" s="123"/>
      <c r="O367" s="121"/>
      <c r="P367" s="121" t="s">
        <v>167</v>
      </c>
      <c r="Q367" s="121"/>
      <c r="R367" s="124">
        <v>-4181</v>
      </c>
      <c r="S367" s="121"/>
      <c r="T367" s="124">
        <f t="shared" si="6"/>
        <v>-536714</v>
      </c>
    </row>
    <row r="368" spans="2:20" x14ac:dyDescent="0.4">
      <c r="B368" s="121" t="s">
        <v>135</v>
      </c>
      <c r="C368" s="121"/>
      <c r="D368" s="122">
        <v>45808</v>
      </c>
      <c r="E368" s="121"/>
      <c r="F368" s="121" t="s">
        <v>240</v>
      </c>
      <c r="G368" s="121"/>
      <c r="H368" s="121" t="s">
        <v>234</v>
      </c>
      <c r="I368" s="121"/>
      <c r="J368" s="121" t="s">
        <v>572</v>
      </c>
      <c r="K368" s="121"/>
      <c r="L368" s="121"/>
      <c r="M368" s="121"/>
      <c r="N368" s="123"/>
      <c r="O368" s="121"/>
      <c r="P368" s="121" t="s">
        <v>160</v>
      </c>
      <c r="Q368" s="121"/>
      <c r="R368" s="124">
        <v>-484</v>
      </c>
      <c r="S368" s="121"/>
      <c r="T368" s="124">
        <f t="shared" si="6"/>
        <v>-537198</v>
      </c>
    </row>
    <row r="369" spans="2:20" x14ac:dyDescent="0.4">
      <c r="B369" s="121" t="s">
        <v>135</v>
      </c>
      <c r="C369" s="121"/>
      <c r="D369" s="122">
        <v>45838</v>
      </c>
      <c r="E369" s="121"/>
      <c r="F369" s="121" t="s">
        <v>164</v>
      </c>
      <c r="G369" s="121"/>
      <c r="H369" s="121" t="s">
        <v>165</v>
      </c>
      <c r="I369" s="121"/>
      <c r="J369" s="121" t="s">
        <v>573</v>
      </c>
      <c r="K369" s="121"/>
      <c r="L369" s="121"/>
      <c r="M369" s="121"/>
      <c r="N369" s="123"/>
      <c r="O369" s="121"/>
      <c r="P369" s="121" t="s">
        <v>167</v>
      </c>
      <c r="Q369" s="121"/>
      <c r="R369" s="124">
        <v>-4148</v>
      </c>
      <c r="S369" s="121"/>
      <c r="T369" s="124">
        <f t="shared" si="6"/>
        <v>-541346</v>
      </c>
    </row>
    <row r="370" spans="2:20" x14ac:dyDescent="0.4">
      <c r="B370" s="121" t="s">
        <v>135</v>
      </c>
      <c r="C370" s="121"/>
      <c r="D370" s="122">
        <v>45838</v>
      </c>
      <c r="E370" s="121"/>
      <c r="F370" s="121" t="s">
        <v>242</v>
      </c>
      <c r="G370" s="121"/>
      <c r="H370" s="121"/>
      <c r="I370" s="121"/>
      <c r="J370" s="121" t="s">
        <v>574</v>
      </c>
      <c r="K370" s="121"/>
      <c r="L370" s="121"/>
      <c r="M370" s="121"/>
      <c r="N370" s="123"/>
      <c r="O370" s="121"/>
      <c r="P370" s="121" t="s">
        <v>418</v>
      </c>
      <c r="Q370" s="121"/>
      <c r="R370" s="124">
        <v>1</v>
      </c>
      <c r="S370" s="121"/>
      <c r="T370" s="124">
        <f t="shared" si="6"/>
        <v>-541345</v>
      </c>
    </row>
    <row r="371" spans="2:20" x14ac:dyDescent="0.4">
      <c r="B371" s="121" t="s">
        <v>135</v>
      </c>
      <c r="C371" s="121"/>
      <c r="D371" s="122">
        <v>45838</v>
      </c>
      <c r="E371" s="121"/>
      <c r="F371" s="121" t="s">
        <v>240</v>
      </c>
      <c r="G371" s="121"/>
      <c r="H371" s="121" t="s">
        <v>234</v>
      </c>
      <c r="I371" s="121"/>
      <c r="J371" s="121" t="s">
        <v>575</v>
      </c>
      <c r="K371" s="121"/>
      <c r="L371" s="121"/>
      <c r="M371" s="121"/>
      <c r="N371" s="123"/>
      <c r="O371" s="121"/>
      <c r="P371" s="121" t="s">
        <v>160</v>
      </c>
      <c r="Q371" s="121"/>
      <c r="R371" s="124">
        <v>-474</v>
      </c>
      <c r="S371" s="121"/>
      <c r="T371" s="124">
        <f t="shared" si="6"/>
        <v>-541819</v>
      </c>
    </row>
    <row r="372" spans="2:20" x14ac:dyDescent="0.4">
      <c r="B372" s="121" t="s">
        <v>135</v>
      </c>
      <c r="C372" s="121"/>
      <c r="D372" s="122">
        <v>45869</v>
      </c>
      <c r="E372" s="121"/>
      <c r="F372" s="121" t="s">
        <v>164</v>
      </c>
      <c r="G372" s="121"/>
      <c r="H372" s="121" t="s">
        <v>165</v>
      </c>
      <c r="I372" s="121"/>
      <c r="J372" s="121" t="s">
        <v>576</v>
      </c>
      <c r="K372" s="121"/>
      <c r="L372" s="121"/>
      <c r="M372" s="121"/>
      <c r="N372" s="123"/>
      <c r="O372" s="121"/>
      <c r="P372" s="121" t="s">
        <v>167</v>
      </c>
      <c r="Q372" s="121"/>
      <c r="R372" s="124">
        <v>-4106</v>
      </c>
      <c r="S372" s="121"/>
      <c r="T372" s="124">
        <f t="shared" si="6"/>
        <v>-545925</v>
      </c>
    </row>
    <row r="373" spans="2:20" x14ac:dyDescent="0.4">
      <c r="B373" s="121" t="s">
        <v>135</v>
      </c>
      <c r="C373" s="121"/>
      <c r="D373" s="122">
        <v>45869</v>
      </c>
      <c r="E373" s="121"/>
      <c r="F373" s="121" t="s">
        <v>240</v>
      </c>
      <c r="G373" s="121"/>
      <c r="H373" s="121" t="s">
        <v>234</v>
      </c>
      <c r="I373" s="121"/>
      <c r="J373" s="121" t="s">
        <v>577</v>
      </c>
      <c r="K373" s="121"/>
      <c r="L373" s="121"/>
      <c r="M373" s="121"/>
      <c r="N373" s="123"/>
      <c r="O373" s="121"/>
      <c r="P373" s="121" t="s">
        <v>160</v>
      </c>
      <c r="Q373" s="121"/>
      <c r="R373" s="124">
        <v>-478</v>
      </c>
      <c r="S373" s="121"/>
      <c r="T373" s="124">
        <f t="shared" si="6"/>
        <v>-546403</v>
      </c>
    </row>
    <row r="374" spans="2:20" x14ac:dyDescent="0.4">
      <c r="B374" s="121" t="s">
        <v>135</v>
      </c>
      <c r="C374" s="121"/>
      <c r="D374" s="122">
        <v>45900</v>
      </c>
      <c r="E374" s="121"/>
      <c r="F374" s="121" t="s">
        <v>164</v>
      </c>
      <c r="G374" s="121"/>
      <c r="H374" s="121" t="s">
        <v>165</v>
      </c>
      <c r="I374" s="121"/>
      <c r="J374" s="121" t="s">
        <v>578</v>
      </c>
      <c r="K374" s="121"/>
      <c r="L374" s="121"/>
      <c r="M374" s="121"/>
      <c r="N374" s="123"/>
      <c r="O374" s="121"/>
      <c r="P374" s="121" t="s">
        <v>167</v>
      </c>
      <c r="Q374" s="121"/>
      <c r="R374" s="124">
        <v>-4081</v>
      </c>
      <c r="S374" s="121"/>
      <c r="T374" s="124">
        <f t="shared" si="6"/>
        <v>-550484</v>
      </c>
    </row>
    <row r="375" spans="2:20" x14ac:dyDescent="0.4">
      <c r="B375" s="121" t="s">
        <v>135</v>
      </c>
      <c r="C375" s="121"/>
      <c r="D375" s="122">
        <v>45900</v>
      </c>
      <c r="E375" s="121"/>
      <c r="F375" s="121" t="s">
        <v>240</v>
      </c>
      <c r="G375" s="121"/>
      <c r="H375" s="121" t="s">
        <v>234</v>
      </c>
      <c r="I375" s="121"/>
      <c r="J375" s="121" t="s">
        <v>579</v>
      </c>
      <c r="K375" s="121"/>
      <c r="L375" s="121"/>
      <c r="M375" s="121"/>
      <c r="N375" s="123"/>
      <c r="O375" s="121"/>
      <c r="P375" s="121" t="s">
        <v>160</v>
      </c>
      <c r="Q375" s="121"/>
      <c r="R375" s="124">
        <v>-478</v>
      </c>
      <c r="S375" s="121"/>
      <c r="T375" s="124">
        <f t="shared" si="6"/>
        <v>-550962</v>
      </c>
    </row>
    <row r="376" spans="2:20" x14ac:dyDescent="0.4">
      <c r="B376" s="121" t="s">
        <v>135</v>
      </c>
      <c r="C376" s="121"/>
      <c r="D376" s="122">
        <v>45930</v>
      </c>
      <c r="E376" s="121"/>
      <c r="F376" s="121" t="s">
        <v>164</v>
      </c>
      <c r="G376" s="121"/>
      <c r="H376" s="121" t="s">
        <v>165</v>
      </c>
      <c r="I376" s="121"/>
      <c r="J376" s="121" t="s">
        <v>580</v>
      </c>
      <c r="K376" s="121"/>
      <c r="L376" s="121"/>
      <c r="M376" s="121"/>
      <c r="N376" s="123"/>
      <c r="O376" s="121"/>
      <c r="P376" s="121" t="s">
        <v>167</v>
      </c>
      <c r="Q376" s="121"/>
      <c r="R376" s="124">
        <v>-4078</v>
      </c>
      <c r="S376" s="121"/>
      <c r="T376" s="124">
        <f t="shared" si="6"/>
        <v>-555040</v>
      </c>
    </row>
    <row r="377" spans="2:20" x14ac:dyDescent="0.4">
      <c r="B377" s="121" t="s">
        <v>135</v>
      </c>
      <c r="C377" s="121"/>
      <c r="D377" s="122">
        <v>45930</v>
      </c>
      <c r="E377" s="121"/>
      <c r="F377" s="121" t="s">
        <v>240</v>
      </c>
      <c r="G377" s="121"/>
      <c r="H377" s="121" t="s">
        <v>234</v>
      </c>
      <c r="I377" s="121"/>
      <c r="J377" s="121" t="s">
        <v>581</v>
      </c>
      <c r="K377" s="121"/>
      <c r="L377" s="121"/>
      <c r="M377" s="121"/>
      <c r="N377" s="123"/>
      <c r="O377" s="121"/>
      <c r="P377" s="121" t="s">
        <v>160</v>
      </c>
      <c r="Q377" s="121"/>
      <c r="R377" s="124">
        <v>-479</v>
      </c>
      <c r="S377" s="121"/>
      <c r="T377" s="124">
        <f t="shared" si="6"/>
        <v>-555519</v>
      </c>
    </row>
    <row r="378" spans="2:20" x14ac:dyDescent="0.4">
      <c r="B378" s="121" t="s">
        <v>135</v>
      </c>
      <c r="C378" s="121"/>
      <c r="D378" s="122">
        <v>45961</v>
      </c>
      <c r="E378" s="121"/>
      <c r="F378" s="121" t="s">
        <v>164</v>
      </c>
      <c r="G378" s="121"/>
      <c r="H378" s="121" t="s">
        <v>165</v>
      </c>
      <c r="I378" s="121"/>
      <c r="J378" s="121" t="s">
        <v>582</v>
      </c>
      <c r="K378" s="121"/>
      <c r="L378" s="121"/>
      <c r="M378" s="121"/>
      <c r="N378" s="123"/>
      <c r="O378" s="121"/>
      <c r="P378" s="121" t="s">
        <v>167</v>
      </c>
      <c r="Q378" s="121"/>
      <c r="R378" s="124">
        <v>-4127</v>
      </c>
      <c r="S378" s="121"/>
      <c r="T378" s="124">
        <f t="shared" si="6"/>
        <v>-559646</v>
      </c>
    </row>
    <row r="379" spans="2:20" x14ac:dyDescent="0.4">
      <c r="B379" s="121" t="s">
        <v>135</v>
      </c>
      <c r="C379" s="121"/>
      <c r="D379" s="122">
        <v>45961</v>
      </c>
      <c r="E379" s="121"/>
      <c r="F379" s="121" t="s">
        <v>242</v>
      </c>
      <c r="G379" s="121"/>
      <c r="H379" s="121"/>
      <c r="I379" s="121"/>
      <c r="J379" s="121" t="s">
        <v>583</v>
      </c>
      <c r="K379" s="121"/>
      <c r="L379" s="121"/>
      <c r="M379" s="121"/>
      <c r="N379" s="123"/>
      <c r="O379" s="121"/>
      <c r="P379" s="121" t="s">
        <v>225</v>
      </c>
      <c r="Q379" s="121"/>
      <c r="R379" s="124">
        <v>5.0599999999999996</v>
      </c>
      <c r="S379" s="121"/>
      <c r="T379" s="124">
        <f t="shared" si="6"/>
        <v>-559640.93999999994</v>
      </c>
    </row>
    <row r="380" spans="2:20" x14ac:dyDescent="0.4">
      <c r="B380" s="121" t="s">
        <v>135</v>
      </c>
      <c r="C380" s="121"/>
      <c r="D380" s="122">
        <v>45961</v>
      </c>
      <c r="E380" s="121"/>
      <c r="F380" s="121" t="s">
        <v>240</v>
      </c>
      <c r="G380" s="121"/>
      <c r="H380" s="121" t="s">
        <v>234</v>
      </c>
      <c r="I380" s="121"/>
      <c r="J380" s="121" t="s">
        <v>584</v>
      </c>
      <c r="K380" s="121"/>
      <c r="L380" s="121"/>
      <c r="M380" s="121"/>
      <c r="N380" s="123"/>
      <c r="O380" s="121"/>
      <c r="P380" s="121" t="s">
        <v>160</v>
      </c>
      <c r="Q380" s="121"/>
      <c r="R380" s="124">
        <v>-485</v>
      </c>
      <c r="S380" s="121"/>
      <c r="T380" s="124">
        <f t="shared" si="6"/>
        <v>-560125.93999999994</v>
      </c>
    </row>
    <row r="381" spans="2:20" x14ac:dyDescent="0.4">
      <c r="B381" s="121" t="s">
        <v>135</v>
      </c>
      <c r="C381" s="121"/>
      <c r="D381" s="122">
        <v>45991</v>
      </c>
      <c r="E381" s="121"/>
      <c r="F381" s="121" t="s">
        <v>164</v>
      </c>
      <c r="G381" s="121"/>
      <c r="H381" s="121" t="s">
        <v>165</v>
      </c>
      <c r="I381" s="121"/>
      <c r="J381" s="121" t="s">
        <v>585</v>
      </c>
      <c r="K381" s="121"/>
      <c r="L381" s="121"/>
      <c r="M381" s="121"/>
      <c r="N381" s="123"/>
      <c r="O381" s="121"/>
      <c r="P381" s="121" t="s">
        <v>167</v>
      </c>
      <c r="Q381" s="121"/>
      <c r="R381" s="124">
        <v>-4174</v>
      </c>
      <c r="S381" s="121"/>
      <c r="T381" s="124">
        <f t="shared" si="6"/>
        <v>-564299.93999999994</v>
      </c>
    </row>
    <row r="382" spans="2:20" x14ac:dyDescent="0.4">
      <c r="B382" s="121" t="s">
        <v>135</v>
      </c>
      <c r="C382" s="121"/>
      <c r="D382" s="122">
        <v>45991</v>
      </c>
      <c r="E382" s="121"/>
      <c r="F382" s="121" t="s">
        <v>242</v>
      </c>
      <c r="G382" s="121"/>
      <c r="H382" s="121"/>
      <c r="I382" s="121"/>
      <c r="J382" s="121" t="s">
        <v>586</v>
      </c>
      <c r="K382" s="121"/>
      <c r="L382" s="121"/>
      <c r="M382" s="121"/>
      <c r="N382" s="123"/>
      <c r="O382" s="121"/>
      <c r="P382" s="121" t="s">
        <v>225</v>
      </c>
      <c r="Q382" s="121"/>
      <c r="R382" s="124">
        <v>4</v>
      </c>
      <c r="S382" s="121"/>
      <c r="T382" s="124">
        <f t="shared" si="6"/>
        <v>-564295.93999999994</v>
      </c>
    </row>
    <row r="383" spans="2:20" x14ac:dyDescent="0.4">
      <c r="B383" s="121" t="s">
        <v>135</v>
      </c>
      <c r="C383" s="121"/>
      <c r="D383" s="122">
        <v>45991</v>
      </c>
      <c r="E383" s="121"/>
      <c r="F383" s="121" t="s">
        <v>240</v>
      </c>
      <c r="G383" s="121"/>
      <c r="H383" s="121" t="s">
        <v>234</v>
      </c>
      <c r="I383" s="121"/>
      <c r="J383" s="121" t="s">
        <v>587</v>
      </c>
      <c r="K383" s="121"/>
      <c r="L383" s="121"/>
      <c r="M383" s="121"/>
      <c r="N383" s="123"/>
      <c r="O383" s="121"/>
      <c r="P383" s="121" t="s">
        <v>160</v>
      </c>
      <c r="Q383" s="121"/>
      <c r="R383" s="124">
        <v>-491</v>
      </c>
      <c r="S383" s="121"/>
      <c r="T383" s="124">
        <f t="shared" si="6"/>
        <v>-564786.93999999994</v>
      </c>
    </row>
    <row r="384" spans="2:20" x14ac:dyDescent="0.4">
      <c r="B384" s="121" t="s">
        <v>135</v>
      </c>
      <c r="C384" s="121"/>
      <c r="D384" s="122">
        <v>46022</v>
      </c>
      <c r="E384" s="121"/>
      <c r="F384" s="121" t="s">
        <v>164</v>
      </c>
      <c r="G384" s="121"/>
      <c r="H384" s="121" t="s">
        <v>165</v>
      </c>
      <c r="I384" s="121"/>
      <c r="J384" s="121" t="s">
        <v>588</v>
      </c>
      <c r="K384" s="121"/>
      <c r="L384" s="121"/>
      <c r="M384" s="121"/>
      <c r="N384" s="123"/>
      <c r="O384" s="121"/>
      <c r="P384" s="121" t="s">
        <v>167</v>
      </c>
      <c r="Q384" s="121"/>
      <c r="R384" s="124">
        <v>-4196</v>
      </c>
      <c r="S384" s="121"/>
      <c r="T384" s="124">
        <f t="shared" si="6"/>
        <v>-568982.93999999994</v>
      </c>
    </row>
    <row r="385" spans="2:20" ht="15" thickBot="1" x14ac:dyDescent="0.45">
      <c r="B385" s="121" t="s">
        <v>135</v>
      </c>
      <c r="C385" s="121"/>
      <c r="D385" s="122">
        <v>46022</v>
      </c>
      <c r="E385" s="121"/>
      <c r="F385" s="121" t="s">
        <v>242</v>
      </c>
      <c r="G385" s="121"/>
      <c r="H385" s="121"/>
      <c r="I385" s="121"/>
      <c r="J385" s="121" t="s">
        <v>589</v>
      </c>
      <c r="K385" s="121"/>
      <c r="L385" s="121"/>
      <c r="M385" s="121"/>
      <c r="N385" s="123"/>
      <c r="O385" s="121"/>
      <c r="P385" s="121" t="s">
        <v>418</v>
      </c>
      <c r="Q385" s="121"/>
      <c r="R385" s="124">
        <v>2</v>
      </c>
      <c r="S385" s="121"/>
      <c r="T385" s="124">
        <f t="shared" si="6"/>
        <v>-568980.93999999994</v>
      </c>
    </row>
    <row r="386" spans="2:20" ht="15" thickBot="1" x14ac:dyDescent="0.45">
      <c r="B386" s="121"/>
      <c r="C386" s="121"/>
      <c r="D386" s="121"/>
      <c r="E386" s="121"/>
      <c r="F386" s="121" t="s">
        <v>590</v>
      </c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5">
        <f>ROUND(SUM(R159:R385),5)</f>
        <v>-568980.93999999994</v>
      </c>
      <c r="S386" s="121"/>
      <c r="T386" s="125">
        <f>T385</f>
        <v>-568980.93999999994</v>
      </c>
    </row>
    <row r="387" spans="2:20" ht="15" thickBot="1" x14ac:dyDescent="0.45">
      <c r="B387" s="121"/>
      <c r="C387" s="121"/>
      <c r="D387" s="121"/>
      <c r="E387" s="121" t="s">
        <v>351</v>
      </c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5">
        <f>R386</f>
        <v>-568980.93999999994</v>
      </c>
      <c r="S387" s="121"/>
      <c r="T387" s="125">
        <f>T386</f>
        <v>-568980.93999999994</v>
      </c>
    </row>
    <row r="388" spans="2:20" ht="15" thickBot="1" x14ac:dyDescent="0.45">
      <c r="B388" s="121"/>
      <c r="C388" s="121"/>
      <c r="D388" s="121" t="s">
        <v>352</v>
      </c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5">
        <f>R387</f>
        <v>-568980.93999999994</v>
      </c>
      <c r="S388" s="121"/>
      <c r="T388" s="125">
        <f>T387</f>
        <v>-568980.93999999994</v>
      </c>
    </row>
    <row r="389" spans="2:20" ht="15" thickBot="1" x14ac:dyDescent="0.45">
      <c r="B389" s="121"/>
      <c r="C389" s="121" t="s">
        <v>353</v>
      </c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5">
        <f>R388</f>
        <v>-568980.93999999994</v>
      </c>
      <c r="S389" s="121"/>
      <c r="T389" s="125">
        <f>T388</f>
        <v>-568980.93999999994</v>
      </c>
    </row>
    <row r="390" spans="2:20" ht="15" thickBot="1" x14ac:dyDescent="0.45">
      <c r="B390" s="117" t="s">
        <v>33</v>
      </c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26">
        <f>R389</f>
        <v>-568980.93999999994</v>
      </c>
      <c r="S390" s="117"/>
      <c r="T390" s="126">
        <f>T389</f>
        <v>-568980.93999999994</v>
      </c>
    </row>
    <row r="391" spans="2:20" ht="15" thickTop="1" x14ac:dyDescent="0.4"/>
    <row r="394" spans="2:20" ht="15.45" x14ac:dyDescent="0.4">
      <c r="B394" s="110" t="s">
        <v>92</v>
      </c>
      <c r="C394" s="109"/>
      <c r="D394" s="109"/>
      <c r="E394" s="109"/>
      <c r="F394" s="109"/>
      <c r="G394" s="109"/>
      <c r="H394" s="134" t="s">
        <v>591</v>
      </c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11" t="s">
        <v>592</v>
      </c>
    </row>
    <row r="395" spans="2:20" ht="17.600000000000001" x14ac:dyDescent="0.4">
      <c r="B395" s="112" t="s">
        <v>95</v>
      </c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13">
        <v>46065</v>
      </c>
    </row>
    <row r="396" spans="2:20" x14ac:dyDescent="0.4">
      <c r="B396" s="114" t="s">
        <v>96</v>
      </c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11" t="s">
        <v>97</v>
      </c>
    </row>
    <row r="397" spans="2:20" ht="15" thickBot="1" x14ac:dyDescent="0.45">
      <c r="B397" s="116" t="s">
        <v>98</v>
      </c>
      <c r="C397" s="115"/>
      <c r="D397" s="116" t="s">
        <v>99</v>
      </c>
      <c r="E397" s="115"/>
      <c r="F397" s="116" t="s">
        <v>100</v>
      </c>
      <c r="G397" s="115"/>
      <c r="H397" s="116" t="s">
        <v>101</v>
      </c>
      <c r="I397" s="115"/>
      <c r="J397" s="116" t="s">
        <v>102</v>
      </c>
      <c r="K397" s="115"/>
      <c r="L397" s="116" t="s">
        <v>103</v>
      </c>
      <c r="M397" s="115"/>
      <c r="N397" s="116" t="s">
        <v>104</v>
      </c>
      <c r="O397" s="115"/>
      <c r="P397" s="116" t="s">
        <v>105</v>
      </c>
      <c r="Q397" s="115"/>
      <c r="R397" s="116" t="s">
        <v>106</v>
      </c>
      <c r="S397" s="115"/>
      <c r="T397" s="116" t="s">
        <v>107</v>
      </c>
    </row>
    <row r="398" spans="2:20" ht="15" thickTop="1" x14ac:dyDescent="0.4">
      <c r="B398" s="117"/>
      <c r="C398" s="117" t="s">
        <v>593</v>
      </c>
      <c r="D398" s="117"/>
      <c r="E398" s="117"/>
      <c r="F398" s="117"/>
      <c r="G398" s="117"/>
      <c r="H398" s="117"/>
      <c r="I398" s="117"/>
      <c r="J398" s="118"/>
      <c r="K398" s="117"/>
      <c r="L398" s="117"/>
      <c r="M398" s="117"/>
      <c r="N398" s="117"/>
      <c r="O398" s="117"/>
      <c r="P398" s="117"/>
      <c r="Q398" s="117"/>
      <c r="R398" s="117"/>
      <c r="S398" s="117"/>
      <c r="T398" s="119">
        <v>0</v>
      </c>
    </row>
    <row r="399" spans="2:20" x14ac:dyDescent="0.4">
      <c r="B399" s="117"/>
      <c r="C399" s="117"/>
      <c r="D399" s="117" t="s">
        <v>594</v>
      </c>
      <c r="E399" s="117"/>
      <c r="F399" s="117"/>
      <c r="G399" s="117"/>
      <c r="H399" s="117"/>
      <c r="I399" s="117"/>
      <c r="J399" s="118"/>
      <c r="K399" s="117"/>
      <c r="L399" s="117"/>
      <c r="M399" s="117"/>
      <c r="N399" s="117"/>
      <c r="O399" s="117"/>
      <c r="P399" s="117"/>
      <c r="Q399" s="117"/>
      <c r="R399" s="117"/>
      <c r="S399" s="117"/>
      <c r="T399" s="119">
        <v>0</v>
      </c>
    </row>
    <row r="400" spans="2:20" x14ac:dyDescent="0.4">
      <c r="B400" s="117"/>
      <c r="C400" s="117"/>
      <c r="D400" s="117"/>
      <c r="E400" s="117" t="s">
        <v>595</v>
      </c>
      <c r="F400" s="117"/>
      <c r="G400" s="117"/>
      <c r="H400" s="117"/>
      <c r="I400" s="117"/>
      <c r="J400" s="118"/>
      <c r="K400" s="117"/>
      <c r="L400" s="117"/>
      <c r="M400" s="117"/>
      <c r="N400" s="117"/>
      <c r="O400" s="117"/>
      <c r="P400" s="117"/>
      <c r="Q400" s="117"/>
      <c r="R400" s="117"/>
      <c r="S400" s="117"/>
      <c r="T400" s="119">
        <v>0</v>
      </c>
    </row>
    <row r="401" spans="2:20" x14ac:dyDescent="0.4">
      <c r="B401" s="121" t="s">
        <v>108</v>
      </c>
      <c r="C401" s="121"/>
      <c r="D401" s="122">
        <v>40987</v>
      </c>
      <c r="E401" s="121"/>
      <c r="F401" s="121" t="s">
        <v>596</v>
      </c>
      <c r="G401" s="121"/>
      <c r="H401" s="121" t="s">
        <v>597</v>
      </c>
      <c r="I401" s="121"/>
      <c r="J401" s="121"/>
      <c r="K401" s="121"/>
      <c r="L401" s="121" t="s">
        <v>112</v>
      </c>
      <c r="M401" s="121"/>
      <c r="N401" s="123"/>
      <c r="O401" s="121"/>
      <c r="P401" s="121" t="s">
        <v>113</v>
      </c>
      <c r="Q401" s="121"/>
      <c r="R401" s="124">
        <v>941.49</v>
      </c>
      <c r="S401" s="121"/>
      <c r="T401" s="124">
        <f>ROUND(T400+R401,5)</f>
        <v>941.49</v>
      </c>
    </row>
    <row r="402" spans="2:20" x14ac:dyDescent="0.4">
      <c r="B402" s="121" t="s">
        <v>135</v>
      </c>
      <c r="C402" s="121"/>
      <c r="D402" s="122">
        <v>41640</v>
      </c>
      <c r="E402" s="121"/>
      <c r="F402" s="121" t="s">
        <v>242</v>
      </c>
      <c r="G402" s="121"/>
      <c r="H402" s="121"/>
      <c r="I402" s="121"/>
      <c r="J402" s="121" t="s">
        <v>598</v>
      </c>
      <c r="K402" s="121"/>
      <c r="L402" s="121"/>
      <c r="M402" s="121"/>
      <c r="N402" s="123"/>
      <c r="O402" s="121"/>
      <c r="P402" s="121" t="s">
        <v>599</v>
      </c>
      <c r="Q402" s="121"/>
      <c r="R402" s="124">
        <v>15000</v>
      </c>
      <c r="S402" s="121"/>
      <c r="T402" s="124">
        <f t="shared" ref="T402:T443" si="7">ROUND(T401+R402,5)</f>
        <v>15941.49</v>
      </c>
    </row>
    <row r="403" spans="2:20" x14ac:dyDescent="0.4">
      <c r="B403" s="121" t="s">
        <v>108</v>
      </c>
      <c r="C403" s="121"/>
      <c r="D403" s="122">
        <v>41691</v>
      </c>
      <c r="E403" s="121"/>
      <c r="F403" s="121" t="s">
        <v>600</v>
      </c>
      <c r="G403" s="121"/>
      <c r="H403" s="121" t="s">
        <v>601</v>
      </c>
      <c r="I403" s="121"/>
      <c r="J403" s="121" t="s">
        <v>602</v>
      </c>
      <c r="K403" s="121"/>
      <c r="L403" s="121"/>
      <c r="M403" s="121"/>
      <c r="N403" s="123"/>
      <c r="O403" s="121"/>
      <c r="P403" s="121" t="s">
        <v>113</v>
      </c>
      <c r="Q403" s="121"/>
      <c r="R403" s="124">
        <v>6291.8</v>
      </c>
      <c r="S403" s="121"/>
      <c r="T403" s="124">
        <f t="shared" si="7"/>
        <v>22233.29</v>
      </c>
    </row>
    <row r="404" spans="2:20" x14ac:dyDescent="0.4">
      <c r="B404" s="121" t="s">
        <v>108</v>
      </c>
      <c r="C404" s="121"/>
      <c r="D404" s="122">
        <v>41845</v>
      </c>
      <c r="E404" s="121"/>
      <c r="F404" s="121" t="s">
        <v>603</v>
      </c>
      <c r="G404" s="121"/>
      <c r="H404" s="121" t="s">
        <v>601</v>
      </c>
      <c r="I404" s="121"/>
      <c r="J404" s="121" t="s">
        <v>603</v>
      </c>
      <c r="K404" s="121"/>
      <c r="L404" s="121"/>
      <c r="M404" s="121"/>
      <c r="N404" s="123"/>
      <c r="O404" s="121"/>
      <c r="P404" s="121" t="s">
        <v>113</v>
      </c>
      <c r="Q404" s="121"/>
      <c r="R404" s="124">
        <v>4477.83</v>
      </c>
      <c r="S404" s="121"/>
      <c r="T404" s="124">
        <f t="shared" si="7"/>
        <v>26711.119999999999</v>
      </c>
    </row>
    <row r="405" spans="2:20" x14ac:dyDescent="0.4">
      <c r="B405" s="121" t="s">
        <v>108</v>
      </c>
      <c r="C405" s="121"/>
      <c r="D405" s="122">
        <v>41976</v>
      </c>
      <c r="E405" s="121"/>
      <c r="F405" s="121" t="s">
        <v>604</v>
      </c>
      <c r="G405" s="121"/>
      <c r="H405" s="121" t="s">
        <v>601</v>
      </c>
      <c r="I405" s="121"/>
      <c r="J405" s="121" t="s">
        <v>605</v>
      </c>
      <c r="K405" s="121"/>
      <c r="L405" s="121"/>
      <c r="M405" s="121"/>
      <c r="N405" s="123"/>
      <c r="O405" s="121"/>
      <c r="P405" s="121" t="s">
        <v>113</v>
      </c>
      <c r="Q405" s="121"/>
      <c r="R405" s="124">
        <v>6054.07</v>
      </c>
      <c r="S405" s="121"/>
      <c r="T405" s="124">
        <f t="shared" si="7"/>
        <v>32765.19</v>
      </c>
    </row>
    <row r="406" spans="2:20" x14ac:dyDescent="0.4">
      <c r="B406" s="121" t="s">
        <v>108</v>
      </c>
      <c r="C406" s="121"/>
      <c r="D406" s="122">
        <v>42095</v>
      </c>
      <c r="E406" s="121"/>
      <c r="F406" s="121" t="s">
        <v>606</v>
      </c>
      <c r="G406" s="121"/>
      <c r="H406" s="121" t="s">
        <v>601</v>
      </c>
      <c r="I406" s="121"/>
      <c r="J406" s="121" t="s">
        <v>606</v>
      </c>
      <c r="K406" s="121"/>
      <c r="L406" s="121"/>
      <c r="M406" s="121"/>
      <c r="N406" s="123"/>
      <c r="O406" s="121"/>
      <c r="P406" s="121" t="s">
        <v>113</v>
      </c>
      <c r="Q406" s="121"/>
      <c r="R406" s="124">
        <v>6285.19</v>
      </c>
      <c r="S406" s="121"/>
      <c r="T406" s="124">
        <f t="shared" si="7"/>
        <v>39050.379999999997</v>
      </c>
    </row>
    <row r="407" spans="2:20" x14ac:dyDescent="0.4">
      <c r="B407" s="121" t="s">
        <v>108</v>
      </c>
      <c r="C407" s="121"/>
      <c r="D407" s="122">
        <v>42272</v>
      </c>
      <c r="E407" s="121"/>
      <c r="F407" s="121" t="s">
        <v>607</v>
      </c>
      <c r="G407" s="121"/>
      <c r="H407" s="121" t="s">
        <v>608</v>
      </c>
      <c r="I407" s="121"/>
      <c r="J407" s="121" t="s">
        <v>607</v>
      </c>
      <c r="K407" s="121"/>
      <c r="L407" s="121"/>
      <c r="M407" s="121"/>
      <c r="N407" s="123"/>
      <c r="O407" s="121"/>
      <c r="P407" s="121" t="s">
        <v>113</v>
      </c>
      <c r="Q407" s="121"/>
      <c r="R407" s="124">
        <v>5339</v>
      </c>
      <c r="S407" s="121"/>
      <c r="T407" s="124">
        <f t="shared" si="7"/>
        <v>44389.38</v>
      </c>
    </row>
    <row r="408" spans="2:20" x14ac:dyDescent="0.4">
      <c r="B408" s="121" t="s">
        <v>108</v>
      </c>
      <c r="C408" s="121"/>
      <c r="D408" s="122">
        <v>42366</v>
      </c>
      <c r="E408" s="121"/>
      <c r="F408" s="121" t="s">
        <v>609</v>
      </c>
      <c r="G408" s="121"/>
      <c r="H408" s="121" t="s">
        <v>601</v>
      </c>
      <c r="I408" s="121"/>
      <c r="J408" s="121" t="s">
        <v>609</v>
      </c>
      <c r="K408" s="121"/>
      <c r="L408" s="121"/>
      <c r="M408" s="121"/>
      <c r="N408" s="123"/>
      <c r="O408" s="121"/>
      <c r="P408" s="121" t="s">
        <v>113</v>
      </c>
      <c r="Q408" s="121"/>
      <c r="R408" s="124">
        <v>7966.27</v>
      </c>
      <c r="S408" s="121"/>
      <c r="T408" s="124">
        <f t="shared" si="7"/>
        <v>52355.65</v>
      </c>
    </row>
    <row r="409" spans="2:20" x14ac:dyDescent="0.4">
      <c r="B409" s="121" t="s">
        <v>108</v>
      </c>
      <c r="C409" s="121"/>
      <c r="D409" s="122">
        <v>42480</v>
      </c>
      <c r="E409" s="121"/>
      <c r="F409" s="121" t="s">
        <v>610</v>
      </c>
      <c r="G409" s="121"/>
      <c r="H409" s="121" t="s">
        <v>601</v>
      </c>
      <c r="I409" s="121"/>
      <c r="J409" s="121" t="s">
        <v>610</v>
      </c>
      <c r="K409" s="121"/>
      <c r="L409" s="121"/>
      <c r="M409" s="121"/>
      <c r="N409" s="123"/>
      <c r="O409" s="121"/>
      <c r="P409" s="121" t="s">
        <v>113</v>
      </c>
      <c r="Q409" s="121"/>
      <c r="R409" s="124">
        <v>4931.0600000000004</v>
      </c>
      <c r="S409" s="121"/>
      <c r="T409" s="124">
        <f t="shared" si="7"/>
        <v>57286.71</v>
      </c>
    </row>
    <row r="410" spans="2:20" x14ac:dyDescent="0.4">
      <c r="B410" s="121" t="s">
        <v>108</v>
      </c>
      <c r="C410" s="121"/>
      <c r="D410" s="122">
        <v>42499</v>
      </c>
      <c r="E410" s="121"/>
      <c r="F410" s="121" t="s">
        <v>611</v>
      </c>
      <c r="G410" s="121"/>
      <c r="H410" s="121" t="s">
        <v>601</v>
      </c>
      <c r="I410" s="121"/>
      <c r="J410" s="121" t="s">
        <v>611</v>
      </c>
      <c r="K410" s="121"/>
      <c r="L410" s="121"/>
      <c r="M410" s="121"/>
      <c r="N410" s="123"/>
      <c r="O410" s="121"/>
      <c r="P410" s="121" t="s">
        <v>113</v>
      </c>
      <c r="Q410" s="121"/>
      <c r="R410" s="124">
        <v>4980.88</v>
      </c>
      <c r="S410" s="121"/>
      <c r="T410" s="124">
        <f t="shared" si="7"/>
        <v>62267.59</v>
      </c>
    </row>
    <row r="411" spans="2:20" x14ac:dyDescent="0.4">
      <c r="B411" s="121" t="s">
        <v>108</v>
      </c>
      <c r="C411" s="121"/>
      <c r="D411" s="122">
        <v>42513</v>
      </c>
      <c r="E411" s="121"/>
      <c r="F411" s="121" t="s">
        <v>612</v>
      </c>
      <c r="G411" s="121"/>
      <c r="H411" s="121" t="s">
        <v>601</v>
      </c>
      <c r="I411" s="121"/>
      <c r="J411" s="121" t="s">
        <v>612</v>
      </c>
      <c r="K411" s="121"/>
      <c r="L411" s="121"/>
      <c r="M411" s="121"/>
      <c r="N411" s="123"/>
      <c r="O411" s="121"/>
      <c r="P411" s="121" t="s">
        <v>113</v>
      </c>
      <c r="Q411" s="121"/>
      <c r="R411" s="124">
        <v>3125.68</v>
      </c>
      <c r="S411" s="121"/>
      <c r="T411" s="124">
        <f t="shared" si="7"/>
        <v>65393.27</v>
      </c>
    </row>
    <row r="412" spans="2:20" x14ac:dyDescent="0.4">
      <c r="B412" s="121" t="s">
        <v>135</v>
      </c>
      <c r="C412" s="121"/>
      <c r="D412" s="122">
        <v>42735</v>
      </c>
      <c r="E412" s="121"/>
      <c r="F412" s="121" t="s">
        <v>613</v>
      </c>
      <c r="G412" s="121"/>
      <c r="H412" s="121"/>
      <c r="I412" s="121"/>
      <c r="J412" s="121" t="s">
        <v>614</v>
      </c>
      <c r="K412" s="121"/>
      <c r="L412" s="121"/>
      <c r="M412" s="121"/>
      <c r="N412" s="123"/>
      <c r="O412" s="121"/>
      <c r="P412" s="121" t="s">
        <v>615</v>
      </c>
      <c r="Q412" s="121"/>
      <c r="R412" s="124">
        <v>-3825</v>
      </c>
      <c r="S412" s="121"/>
      <c r="T412" s="124">
        <f t="shared" si="7"/>
        <v>61568.27</v>
      </c>
    </row>
    <row r="413" spans="2:20" x14ac:dyDescent="0.4">
      <c r="B413" s="121" t="s">
        <v>108</v>
      </c>
      <c r="C413" s="121"/>
      <c r="D413" s="122">
        <v>42780</v>
      </c>
      <c r="E413" s="121"/>
      <c r="F413" s="121" t="s">
        <v>616</v>
      </c>
      <c r="G413" s="121"/>
      <c r="H413" s="121" t="s">
        <v>601</v>
      </c>
      <c r="I413" s="121"/>
      <c r="J413" s="121" t="s">
        <v>617</v>
      </c>
      <c r="K413" s="121"/>
      <c r="L413" s="121"/>
      <c r="M413" s="121"/>
      <c r="N413" s="123"/>
      <c r="O413" s="121"/>
      <c r="P413" s="121" t="s">
        <v>113</v>
      </c>
      <c r="Q413" s="121"/>
      <c r="R413" s="124">
        <v>6200</v>
      </c>
      <c r="S413" s="121"/>
      <c r="T413" s="124">
        <f t="shared" si="7"/>
        <v>67768.27</v>
      </c>
    </row>
    <row r="414" spans="2:20" x14ac:dyDescent="0.4">
      <c r="B414" s="121" t="s">
        <v>108</v>
      </c>
      <c r="C414" s="121"/>
      <c r="D414" s="122">
        <v>43130</v>
      </c>
      <c r="E414" s="121"/>
      <c r="F414" s="121" t="s">
        <v>618</v>
      </c>
      <c r="G414" s="121"/>
      <c r="H414" s="121" t="s">
        <v>601</v>
      </c>
      <c r="I414" s="121"/>
      <c r="J414" s="121" t="s">
        <v>618</v>
      </c>
      <c r="K414" s="121"/>
      <c r="L414" s="121"/>
      <c r="M414" s="121"/>
      <c r="N414" s="123"/>
      <c r="O414" s="121"/>
      <c r="P414" s="121" t="s">
        <v>113</v>
      </c>
      <c r="Q414" s="121"/>
      <c r="R414" s="124">
        <v>2897.75</v>
      </c>
      <c r="S414" s="121"/>
      <c r="T414" s="124">
        <f t="shared" si="7"/>
        <v>70666.02</v>
      </c>
    </row>
    <row r="415" spans="2:20" x14ac:dyDescent="0.4">
      <c r="B415" s="121" t="s">
        <v>108</v>
      </c>
      <c r="C415" s="121"/>
      <c r="D415" s="122">
        <v>43165</v>
      </c>
      <c r="E415" s="121"/>
      <c r="F415" s="121" t="s">
        <v>619</v>
      </c>
      <c r="G415" s="121"/>
      <c r="H415" s="121" t="s">
        <v>601</v>
      </c>
      <c r="I415" s="121"/>
      <c r="J415" s="121" t="s">
        <v>620</v>
      </c>
      <c r="K415" s="121"/>
      <c r="L415" s="121"/>
      <c r="M415" s="121"/>
      <c r="N415" s="123"/>
      <c r="O415" s="121"/>
      <c r="P415" s="121" t="s">
        <v>113</v>
      </c>
      <c r="Q415" s="121"/>
      <c r="R415" s="124">
        <v>6320</v>
      </c>
      <c r="S415" s="121"/>
      <c r="T415" s="124">
        <f t="shared" si="7"/>
        <v>76986.02</v>
      </c>
    </row>
    <row r="416" spans="2:20" x14ac:dyDescent="0.4">
      <c r="B416" s="121" t="s">
        <v>108</v>
      </c>
      <c r="C416" s="121"/>
      <c r="D416" s="122">
        <v>43266</v>
      </c>
      <c r="E416" s="121"/>
      <c r="F416" s="121" t="s">
        <v>621</v>
      </c>
      <c r="G416" s="121"/>
      <c r="H416" s="121" t="s">
        <v>601</v>
      </c>
      <c r="I416" s="121"/>
      <c r="J416" s="121" t="s">
        <v>621</v>
      </c>
      <c r="K416" s="121"/>
      <c r="L416" s="121"/>
      <c r="M416" s="121"/>
      <c r="N416" s="123"/>
      <c r="O416" s="121"/>
      <c r="P416" s="121" t="s">
        <v>113</v>
      </c>
      <c r="Q416" s="121"/>
      <c r="R416" s="124">
        <v>3675</v>
      </c>
      <c r="S416" s="121"/>
      <c r="T416" s="124">
        <f t="shared" si="7"/>
        <v>80661.02</v>
      </c>
    </row>
    <row r="417" spans="2:20" x14ac:dyDescent="0.4">
      <c r="B417" s="121" t="s">
        <v>108</v>
      </c>
      <c r="C417" s="121"/>
      <c r="D417" s="122">
        <v>43508</v>
      </c>
      <c r="E417" s="121"/>
      <c r="F417" s="121" t="s">
        <v>622</v>
      </c>
      <c r="G417" s="121"/>
      <c r="H417" s="121" t="s">
        <v>623</v>
      </c>
      <c r="I417" s="121"/>
      <c r="J417" s="121" t="s">
        <v>624</v>
      </c>
      <c r="K417" s="121"/>
      <c r="L417" s="121"/>
      <c r="M417" s="121"/>
      <c r="N417" s="123"/>
      <c r="O417" s="121"/>
      <c r="P417" s="121" t="s">
        <v>113</v>
      </c>
      <c r="Q417" s="121"/>
      <c r="R417" s="124">
        <v>15799.3</v>
      </c>
      <c r="S417" s="121"/>
      <c r="T417" s="124">
        <f t="shared" si="7"/>
        <v>96460.32</v>
      </c>
    </row>
    <row r="418" spans="2:20" x14ac:dyDescent="0.4">
      <c r="B418" s="121" t="s">
        <v>108</v>
      </c>
      <c r="C418" s="121"/>
      <c r="D418" s="122">
        <v>43698</v>
      </c>
      <c r="E418" s="121"/>
      <c r="F418" s="121" t="s">
        <v>625</v>
      </c>
      <c r="G418" s="121"/>
      <c r="H418" s="121" t="s">
        <v>623</v>
      </c>
      <c r="I418" s="121"/>
      <c r="J418" s="121" t="s">
        <v>626</v>
      </c>
      <c r="K418" s="121"/>
      <c r="L418" s="121"/>
      <c r="M418" s="121"/>
      <c r="N418" s="123"/>
      <c r="O418" s="121"/>
      <c r="P418" s="121" t="s">
        <v>113</v>
      </c>
      <c r="Q418" s="121"/>
      <c r="R418" s="124">
        <v>5825.64</v>
      </c>
      <c r="S418" s="121"/>
      <c r="T418" s="124">
        <f t="shared" si="7"/>
        <v>102285.96</v>
      </c>
    </row>
    <row r="419" spans="2:20" x14ac:dyDescent="0.4">
      <c r="B419" s="121" t="s">
        <v>108</v>
      </c>
      <c r="C419" s="121"/>
      <c r="D419" s="122">
        <v>43745</v>
      </c>
      <c r="E419" s="121"/>
      <c r="F419" s="121" t="s">
        <v>627</v>
      </c>
      <c r="G419" s="121"/>
      <c r="H419" s="121" t="s">
        <v>623</v>
      </c>
      <c r="I419" s="121"/>
      <c r="J419" s="121" t="s">
        <v>627</v>
      </c>
      <c r="K419" s="121"/>
      <c r="L419" s="121"/>
      <c r="M419" s="121"/>
      <c r="N419" s="123"/>
      <c r="O419" s="121"/>
      <c r="P419" s="121" t="s">
        <v>113</v>
      </c>
      <c r="Q419" s="121"/>
      <c r="R419" s="124">
        <v>5753.48</v>
      </c>
      <c r="S419" s="121"/>
      <c r="T419" s="124">
        <f t="shared" si="7"/>
        <v>108039.44</v>
      </c>
    </row>
    <row r="420" spans="2:20" x14ac:dyDescent="0.4">
      <c r="B420" s="121" t="s">
        <v>108</v>
      </c>
      <c r="C420" s="121"/>
      <c r="D420" s="122">
        <v>43889</v>
      </c>
      <c r="E420" s="121"/>
      <c r="F420" s="121" t="s">
        <v>628</v>
      </c>
      <c r="G420" s="121"/>
      <c r="H420" s="121" t="s">
        <v>623</v>
      </c>
      <c r="I420" s="121"/>
      <c r="J420" s="121" t="s">
        <v>628</v>
      </c>
      <c r="K420" s="121"/>
      <c r="L420" s="121"/>
      <c r="M420" s="121"/>
      <c r="N420" s="123"/>
      <c r="O420" s="121"/>
      <c r="P420" s="121" t="s">
        <v>113</v>
      </c>
      <c r="Q420" s="121"/>
      <c r="R420" s="124">
        <v>26353.19</v>
      </c>
      <c r="S420" s="121"/>
      <c r="T420" s="124">
        <f t="shared" si="7"/>
        <v>134392.63</v>
      </c>
    </row>
    <row r="421" spans="2:20" x14ac:dyDescent="0.4">
      <c r="B421" s="121" t="s">
        <v>108</v>
      </c>
      <c r="C421" s="121"/>
      <c r="D421" s="122">
        <v>44151</v>
      </c>
      <c r="E421" s="121"/>
      <c r="F421" s="121" t="s">
        <v>629</v>
      </c>
      <c r="G421" s="121"/>
      <c r="H421" s="121" t="s">
        <v>623</v>
      </c>
      <c r="I421" s="121"/>
      <c r="J421" s="121" t="s">
        <v>629</v>
      </c>
      <c r="K421" s="121"/>
      <c r="L421" s="121"/>
      <c r="M421" s="121"/>
      <c r="N421" s="123"/>
      <c r="O421" s="121"/>
      <c r="P421" s="121" t="s">
        <v>113</v>
      </c>
      <c r="Q421" s="121"/>
      <c r="R421" s="124">
        <v>11807.23</v>
      </c>
      <c r="S421" s="121"/>
      <c r="T421" s="124">
        <f t="shared" si="7"/>
        <v>146199.85999999999</v>
      </c>
    </row>
    <row r="422" spans="2:20" x14ac:dyDescent="0.4">
      <c r="B422" s="121" t="s">
        <v>108</v>
      </c>
      <c r="C422" s="121"/>
      <c r="D422" s="122">
        <v>44196</v>
      </c>
      <c r="E422" s="121"/>
      <c r="F422" s="121" t="s">
        <v>630</v>
      </c>
      <c r="G422" s="121"/>
      <c r="H422" s="121" t="s">
        <v>631</v>
      </c>
      <c r="I422" s="121"/>
      <c r="J422" s="121" t="s">
        <v>632</v>
      </c>
      <c r="K422" s="121"/>
      <c r="L422" s="121"/>
      <c r="M422" s="121"/>
      <c r="N422" s="123"/>
      <c r="O422" s="121"/>
      <c r="P422" s="121" t="s">
        <v>113</v>
      </c>
      <c r="Q422" s="121"/>
      <c r="R422" s="124">
        <v>318</v>
      </c>
      <c r="S422" s="121"/>
      <c r="T422" s="124">
        <f t="shared" si="7"/>
        <v>146517.85999999999</v>
      </c>
    </row>
    <row r="423" spans="2:20" x14ac:dyDescent="0.4">
      <c r="B423" s="121" t="s">
        <v>108</v>
      </c>
      <c r="C423" s="121"/>
      <c r="D423" s="122">
        <v>44201</v>
      </c>
      <c r="E423" s="121"/>
      <c r="F423" s="121" t="s">
        <v>633</v>
      </c>
      <c r="G423" s="121"/>
      <c r="H423" s="121" t="s">
        <v>110</v>
      </c>
      <c r="I423" s="121"/>
      <c r="J423" s="121" t="s">
        <v>634</v>
      </c>
      <c r="K423" s="121"/>
      <c r="L423" s="121"/>
      <c r="M423" s="121"/>
      <c r="N423" s="123"/>
      <c r="O423" s="121"/>
      <c r="P423" s="121" t="s">
        <v>113</v>
      </c>
      <c r="Q423" s="121"/>
      <c r="R423" s="124">
        <v>1420.02</v>
      </c>
      <c r="S423" s="121"/>
      <c r="T423" s="124">
        <f t="shared" si="7"/>
        <v>147937.88</v>
      </c>
    </row>
    <row r="424" spans="2:20" x14ac:dyDescent="0.4">
      <c r="B424" s="121" t="s">
        <v>108</v>
      </c>
      <c r="C424" s="121"/>
      <c r="D424" s="122">
        <v>44201</v>
      </c>
      <c r="E424" s="121"/>
      <c r="F424" s="121" t="s">
        <v>633</v>
      </c>
      <c r="G424" s="121"/>
      <c r="H424" s="121" t="s">
        <v>110</v>
      </c>
      <c r="I424" s="121"/>
      <c r="J424" s="121" t="s">
        <v>635</v>
      </c>
      <c r="K424" s="121"/>
      <c r="L424" s="121"/>
      <c r="M424" s="121"/>
      <c r="N424" s="123"/>
      <c r="O424" s="121"/>
      <c r="P424" s="121" t="s">
        <v>113</v>
      </c>
      <c r="Q424" s="121"/>
      <c r="R424" s="124">
        <v>1657.72</v>
      </c>
      <c r="S424" s="121"/>
      <c r="T424" s="124">
        <f t="shared" si="7"/>
        <v>149595.6</v>
      </c>
    </row>
    <row r="425" spans="2:20" x14ac:dyDescent="0.4">
      <c r="B425" s="121" t="s">
        <v>108</v>
      </c>
      <c r="C425" s="121"/>
      <c r="D425" s="122">
        <v>44448</v>
      </c>
      <c r="E425" s="121"/>
      <c r="F425" s="121" t="s">
        <v>636</v>
      </c>
      <c r="G425" s="121"/>
      <c r="H425" s="121" t="s">
        <v>623</v>
      </c>
      <c r="I425" s="121"/>
      <c r="J425" s="121" t="s">
        <v>636</v>
      </c>
      <c r="K425" s="121"/>
      <c r="L425" s="121"/>
      <c r="M425" s="121"/>
      <c r="N425" s="123"/>
      <c r="O425" s="121"/>
      <c r="P425" s="121" t="s">
        <v>113</v>
      </c>
      <c r="Q425" s="121"/>
      <c r="R425" s="124">
        <v>8327.0499999999993</v>
      </c>
      <c r="S425" s="121"/>
      <c r="T425" s="124">
        <f t="shared" si="7"/>
        <v>157922.65</v>
      </c>
    </row>
    <row r="426" spans="2:20" x14ac:dyDescent="0.4">
      <c r="B426" s="121" t="s">
        <v>332</v>
      </c>
      <c r="C426" s="121"/>
      <c r="D426" s="122">
        <v>44491</v>
      </c>
      <c r="E426" s="121"/>
      <c r="F426" s="121"/>
      <c r="G426" s="121"/>
      <c r="H426" s="121"/>
      <c r="I426" s="121"/>
      <c r="J426" s="121" t="s">
        <v>313</v>
      </c>
      <c r="K426" s="121"/>
      <c r="L426" s="121"/>
      <c r="M426" s="121"/>
      <c r="N426" s="123"/>
      <c r="O426" s="121"/>
      <c r="P426" s="121" t="s">
        <v>205</v>
      </c>
      <c r="Q426" s="121"/>
      <c r="R426" s="124">
        <v>-5770</v>
      </c>
      <c r="S426" s="121"/>
      <c r="T426" s="124">
        <f t="shared" si="7"/>
        <v>152152.65</v>
      </c>
    </row>
    <row r="427" spans="2:20" x14ac:dyDescent="0.4">
      <c r="B427" s="121" t="s">
        <v>108</v>
      </c>
      <c r="C427" s="121"/>
      <c r="D427" s="122">
        <v>44501</v>
      </c>
      <c r="E427" s="121"/>
      <c r="F427" s="121" t="s">
        <v>637</v>
      </c>
      <c r="G427" s="121"/>
      <c r="H427" s="121" t="s">
        <v>623</v>
      </c>
      <c r="I427" s="121"/>
      <c r="J427" s="121" t="s">
        <v>637</v>
      </c>
      <c r="K427" s="121"/>
      <c r="L427" s="121"/>
      <c r="M427" s="121"/>
      <c r="N427" s="123"/>
      <c r="O427" s="121"/>
      <c r="P427" s="121" t="s">
        <v>113</v>
      </c>
      <c r="Q427" s="121"/>
      <c r="R427" s="124">
        <v>8331.61</v>
      </c>
      <c r="S427" s="121"/>
      <c r="T427" s="124">
        <f t="shared" si="7"/>
        <v>160484.26</v>
      </c>
    </row>
    <row r="428" spans="2:20" x14ac:dyDescent="0.4">
      <c r="B428" s="121" t="s">
        <v>135</v>
      </c>
      <c r="C428" s="121"/>
      <c r="D428" s="122">
        <v>44651</v>
      </c>
      <c r="E428" s="121"/>
      <c r="F428" s="121" t="s">
        <v>164</v>
      </c>
      <c r="G428" s="121"/>
      <c r="H428" s="121" t="s">
        <v>165</v>
      </c>
      <c r="I428" s="121"/>
      <c r="J428" s="121" t="s">
        <v>500</v>
      </c>
      <c r="K428" s="121"/>
      <c r="L428" s="121"/>
      <c r="M428" s="121"/>
      <c r="N428" s="123"/>
      <c r="O428" s="121"/>
      <c r="P428" s="121" t="s">
        <v>167</v>
      </c>
      <c r="Q428" s="121"/>
      <c r="R428" s="124">
        <v>-200</v>
      </c>
      <c r="S428" s="121"/>
      <c r="T428" s="124">
        <f t="shared" si="7"/>
        <v>160284.26</v>
      </c>
    </row>
    <row r="429" spans="2:20" x14ac:dyDescent="0.4">
      <c r="B429" s="121" t="s">
        <v>108</v>
      </c>
      <c r="C429" s="121"/>
      <c r="D429" s="122">
        <v>44790</v>
      </c>
      <c r="E429" s="121"/>
      <c r="F429" s="121" t="s">
        <v>638</v>
      </c>
      <c r="G429" s="121"/>
      <c r="H429" s="121" t="s">
        <v>623</v>
      </c>
      <c r="I429" s="121"/>
      <c r="J429" s="121" t="s">
        <v>639</v>
      </c>
      <c r="K429" s="121"/>
      <c r="L429" s="121"/>
      <c r="M429" s="121"/>
      <c r="N429" s="123"/>
      <c r="O429" s="121"/>
      <c r="P429" s="121" t="s">
        <v>113</v>
      </c>
      <c r="Q429" s="121"/>
      <c r="R429" s="124">
        <v>15930.95</v>
      </c>
      <c r="S429" s="121"/>
      <c r="T429" s="124">
        <f t="shared" si="7"/>
        <v>176215.21</v>
      </c>
    </row>
    <row r="430" spans="2:20" x14ac:dyDescent="0.4">
      <c r="B430" s="121" t="s">
        <v>108</v>
      </c>
      <c r="C430" s="121"/>
      <c r="D430" s="122">
        <v>44904</v>
      </c>
      <c r="E430" s="121"/>
      <c r="F430" s="121" t="s">
        <v>640</v>
      </c>
      <c r="G430" s="121"/>
      <c r="H430" s="121" t="s">
        <v>623</v>
      </c>
      <c r="I430" s="121"/>
      <c r="J430" s="121" t="s">
        <v>641</v>
      </c>
      <c r="K430" s="121"/>
      <c r="L430" s="121"/>
      <c r="M430" s="121"/>
      <c r="N430" s="123"/>
      <c r="O430" s="121"/>
      <c r="P430" s="121" t="s">
        <v>113</v>
      </c>
      <c r="Q430" s="121"/>
      <c r="R430" s="124">
        <v>16974.349999999999</v>
      </c>
      <c r="S430" s="121"/>
      <c r="T430" s="124">
        <f t="shared" si="7"/>
        <v>193189.56</v>
      </c>
    </row>
    <row r="431" spans="2:20" x14ac:dyDescent="0.4">
      <c r="B431" s="121" t="s">
        <v>135</v>
      </c>
      <c r="C431" s="121"/>
      <c r="D431" s="122">
        <v>44926</v>
      </c>
      <c r="E431" s="121"/>
      <c r="F431" s="121" t="s">
        <v>315</v>
      </c>
      <c r="G431" s="121"/>
      <c r="H431" s="121"/>
      <c r="I431" s="121"/>
      <c r="J431" s="121" t="s">
        <v>316</v>
      </c>
      <c r="K431" s="121"/>
      <c r="L431" s="121"/>
      <c r="M431" s="121"/>
      <c r="N431" s="123"/>
      <c r="O431" s="121"/>
      <c r="P431" s="121" t="s">
        <v>356</v>
      </c>
      <c r="Q431" s="121"/>
      <c r="R431" s="124">
        <v>-7400</v>
      </c>
      <c r="S431" s="121"/>
      <c r="T431" s="124">
        <f t="shared" si="7"/>
        <v>185789.56</v>
      </c>
    </row>
    <row r="432" spans="2:20" x14ac:dyDescent="0.4">
      <c r="B432" s="121" t="s">
        <v>135</v>
      </c>
      <c r="C432" s="121"/>
      <c r="D432" s="122">
        <v>44926</v>
      </c>
      <c r="E432" s="121"/>
      <c r="F432" s="121" t="s">
        <v>642</v>
      </c>
      <c r="G432" s="121"/>
      <c r="H432" s="121"/>
      <c r="I432" s="121"/>
      <c r="J432" s="121" t="s">
        <v>643</v>
      </c>
      <c r="K432" s="121"/>
      <c r="L432" s="121"/>
      <c r="M432" s="121"/>
      <c r="N432" s="123"/>
      <c r="O432" s="121"/>
      <c r="P432" s="121" t="s">
        <v>644</v>
      </c>
      <c r="Q432" s="121"/>
      <c r="R432" s="124">
        <v>2</v>
      </c>
      <c r="S432" s="121"/>
      <c r="T432" s="124">
        <f t="shared" si="7"/>
        <v>185791.56</v>
      </c>
    </row>
    <row r="433" spans="2:20" x14ac:dyDescent="0.4">
      <c r="B433" s="121" t="s">
        <v>108</v>
      </c>
      <c r="C433" s="121"/>
      <c r="D433" s="122">
        <v>44949</v>
      </c>
      <c r="E433" s="121"/>
      <c r="F433" s="121" t="s">
        <v>645</v>
      </c>
      <c r="G433" s="121"/>
      <c r="H433" s="121" t="s">
        <v>646</v>
      </c>
      <c r="I433" s="121"/>
      <c r="J433" s="121" t="s">
        <v>647</v>
      </c>
      <c r="K433" s="121"/>
      <c r="L433" s="121"/>
      <c r="M433" s="121"/>
      <c r="N433" s="123"/>
      <c r="O433" s="121"/>
      <c r="P433" s="121" t="s">
        <v>113</v>
      </c>
      <c r="Q433" s="121"/>
      <c r="R433" s="124">
        <v>5859.02</v>
      </c>
      <c r="S433" s="121"/>
      <c r="T433" s="124">
        <f t="shared" si="7"/>
        <v>191650.58</v>
      </c>
    </row>
    <row r="434" spans="2:20" x14ac:dyDescent="0.4">
      <c r="B434" s="121" t="s">
        <v>108</v>
      </c>
      <c r="C434" s="121"/>
      <c r="D434" s="122">
        <v>45208</v>
      </c>
      <c r="E434" s="121"/>
      <c r="F434" s="121" t="s">
        <v>648</v>
      </c>
      <c r="G434" s="121"/>
      <c r="H434" s="121" t="s">
        <v>649</v>
      </c>
      <c r="I434" s="121"/>
      <c r="J434" s="121" t="s">
        <v>650</v>
      </c>
      <c r="K434" s="121"/>
      <c r="L434" s="121"/>
      <c r="M434" s="121"/>
      <c r="N434" s="123"/>
      <c r="O434" s="121"/>
      <c r="P434" s="121" t="s">
        <v>113</v>
      </c>
      <c r="Q434" s="121"/>
      <c r="R434" s="124">
        <v>800</v>
      </c>
      <c r="S434" s="121"/>
      <c r="T434" s="124">
        <f t="shared" si="7"/>
        <v>192450.58</v>
      </c>
    </row>
    <row r="435" spans="2:20" x14ac:dyDescent="0.4">
      <c r="B435" s="121" t="s">
        <v>108</v>
      </c>
      <c r="C435" s="121"/>
      <c r="D435" s="122">
        <v>45208</v>
      </c>
      <c r="E435" s="121"/>
      <c r="F435" s="121" t="s">
        <v>325</v>
      </c>
      <c r="G435" s="121"/>
      <c r="H435" s="121" t="s">
        <v>305</v>
      </c>
      <c r="I435" s="121"/>
      <c r="J435" s="121" t="s">
        <v>651</v>
      </c>
      <c r="K435" s="121"/>
      <c r="L435" s="121"/>
      <c r="M435" s="121"/>
      <c r="N435" s="123"/>
      <c r="O435" s="121"/>
      <c r="P435" s="121" t="s">
        <v>113</v>
      </c>
      <c r="Q435" s="121"/>
      <c r="R435" s="124">
        <v>6219.83</v>
      </c>
      <c r="S435" s="121"/>
      <c r="T435" s="124">
        <f t="shared" si="7"/>
        <v>198670.41</v>
      </c>
    </row>
    <row r="436" spans="2:20" x14ac:dyDescent="0.4">
      <c r="B436" s="121" t="s">
        <v>108</v>
      </c>
      <c r="C436" s="121"/>
      <c r="D436" s="122">
        <v>45309</v>
      </c>
      <c r="E436" s="121"/>
      <c r="F436" s="121" t="s">
        <v>652</v>
      </c>
      <c r="G436" s="121"/>
      <c r="H436" s="121" t="s">
        <v>653</v>
      </c>
      <c r="I436" s="121"/>
      <c r="J436" s="121" t="s">
        <v>654</v>
      </c>
      <c r="K436" s="121"/>
      <c r="L436" s="121"/>
      <c r="M436" s="121"/>
      <c r="N436" s="123"/>
      <c r="O436" s="121"/>
      <c r="P436" s="121" t="s">
        <v>113</v>
      </c>
      <c r="Q436" s="121"/>
      <c r="R436" s="124">
        <v>3016.6</v>
      </c>
      <c r="S436" s="121"/>
      <c r="T436" s="124">
        <f t="shared" si="7"/>
        <v>201687.01</v>
      </c>
    </row>
    <row r="437" spans="2:20" x14ac:dyDescent="0.4">
      <c r="B437" s="121" t="s">
        <v>135</v>
      </c>
      <c r="C437" s="121"/>
      <c r="D437" s="122">
        <v>45351</v>
      </c>
      <c r="E437" s="121"/>
      <c r="F437" s="121" t="s">
        <v>164</v>
      </c>
      <c r="G437" s="121"/>
      <c r="H437" s="121" t="s">
        <v>165</v>
      </c>
      <c r="I437" s="121"/>
      <c r="J437" s="121" t="s">
        <v>542</v>
      </c>
      <c r="K437" s="121"/>
      <c r="L437" s="121"/>
      <c r="M437" s="121"/>
      <c r="N437" s="123"/>
      <c r="O437" s="121"/>
      <c r="P437" s="121" t="s">
        <v>167</v>
      </c>
      <c r="Q437" s="121"/>
      <c r="R437" s="124">
        <v>-165</v>
      </c>
      <c r="S437" s="121"/>
      <c r="T437" s="124">
        <f t="shared" si="7"/>
        <v>201522.01</v>
      </c>
    </row>
    <row r="438" spans="2:20" x14ac:dyDescent="0.4">
      <c r="B438" s="121" t="s">
        <v>108</v>
      </c>
      <c r="C438" s="121"/>
      <c r="D438" s="122">
        <v>45418</v>
      </c>
      <c r="E438" s="121"/>
      <c r="F438" s="121" t="s">
        <v>655</v>
      </c>
      <c r="G438" s="121"/>
      <c r="H438" s="121" t="s">
        <v>649</v>
      </c>
      <c r="I438" s="121"/>
      <c r="J438" s="121" t="s">
        <v>656</v>
      </c>
      <c r="K438" s="121"/>
      <c r="L438" s="121"/>
      <c r="M438" s="121"/>
      <c r="N438" s="123"/>
      <c r="O438" s="121"/>
      <c r="P438" s="121" t="s">
        <v>113</v>
      </c>
      <c r="Q438" s="121"/>
      <c r="R438" s="124">
        <v>19845.29</v>
      </c>
      <c r="S438" s="121"/>
      <c r="T438" s="124">
        <f t="shared" si="7"/>
        <v>221367.3</v>
      </c>
    </row>
    <row r="439" spans="2:20" x14ac:dyDescent="0.4">
      <c r="B439" s="121" t="s">
        <v>108</v>
      </c>
      <c r="C439" s="121"/>
      <c r="D439" s="122">
        <v>45856</v>
      </c>
      <c r="E439" s="121"/>
      <c r="F439" s="121" t="s">
        <v>657</v>
      </c>
      <c r="G439" s="121"/>
      <c r="H439" s="121" t="s">
        <v>646</v>
      </c>
      <c r="I439" s="121"/>
      <c r="J439" s="121" t="s">
        <v>658</v>
      </c>
      <c r="K439" s="121"/>
      <c r="L439" s="121"/>
      <c r="M439" s="121"/>
      <c r="N439" s="123"/>
      <c r="O439" s="121"/>
      <c r="P439" s="121" t="s">
        <v>113</v>
      </c>
      <c r="Q439" s="121"/>
      <c r="R439" s="124">
        <v>4309.79</v>
      </c>
      <c r="S439" s="121"/>
      <c r="T439" s="124">
        <f t="shared" si="7"/>
        <v>225677.09</v>
      </c>
    </row>
    <row r="440" spans="2:20" x14ac:dyDescent="0.4">
      <c r="B440" s="121" t="s">
        <v>108</v>
      </c>
      <c r="C440" s="121"/>
      <c r="D440" s="122">
        <v>45863</v>
      </c>
      <c r="E440" s="121"/>
      <c r="F440" s="121" t="s">
        <v>659</v>
      </c>
      <c r="G440" s="121"/>
      <c r="H440" s="121" t="s">
        <v>597</v>
      </c>
      <c r="I440" s="121"/>
      <c r="J440" s="121" t="s">
        <v>660</v>
      </c>
      <c r="K440" s="121"/>
      <c r="L440" s="121"/>
      <c r="M440" s="121"/>
      <c r="N440" s="123"/>
      <c r="O440" s="121"/>
      <c r="P440" s="121" t="s">
        <v>113</v>
      </c>
      <c r="Q440" s="121"/>
      <c r="R440" s="124">
        <v>6360</v>
      </c>
      <c r="S440" s="121"/>
      <c r="T440" s="124">
        <f t="shared" si="7"/>
        <v>232037.09</v>
      </c>
    </row>
    <row r="441" spans="2:20" x14ac:dyDescent="0.4">
      <c r="B441" s="121" t="s">
        <v>108</v>
      </c>
      <c r="C441" s="121"/>
      <c r="D441" s="122">
        <v>45866</v>
      </c>
      <c r="E441" s="121"/>
      <c r="F441" s="121" t="s">
        <v>661</v>
      </c>
      <c r="G441" s="121"/>
      <c r="H441" s="121" t="s">
        <v>653</v>
      </c>
      <c r="I441" s="121"/>
      <c r="J441" s="121" t="s">
        <v>661</v>
      </c>
      <c r="K441" s="121"/>
      <c r="L441" s="121"/>
      <c r="M441" s="121"/>
      <c r="N441" s="123"/>
      <c r="O441" s="121"/>
      <c r="P441" s="121" t="s">
        <v>113</v>
      </c>
      <c r="Q441" s="121"/>
      <c r="R441" s="124">
        <v>12786.5</v>
      </c>
      <c r="S441" s="121"/>
      <c r="T441" s="124">
        <f t="shared" si="7"/>
        <v>244823.59</v>
      </c>
    </row>
    <row r="442" spans="2:20" x14ac:dyDescent="0.4">
      <c r="B442" s="121" t="s">
        <v>108</v>
      </c>
      <c r="C442" s="121"/>
      <c r="D442" s="122">
        <v>45908</v>
      </c>
      <c r="E442" s="121"/>
      <c r="F442" s="121" t="s">
        <v>662</v>
      </c>
      <c r="G442" s="121"/>
      <c r="H442" s="121" t="s">
        <v>663</v>
      </c>
      <c r="I442" s="121"/>
      <c r="J442" s="121" t="s">
        <v>662</v>
      </c>
      <c r="K442" s="121"/>
      <c r="L442" s="121"/>
      <c r="M442" s="121"/>
      <c r="N442" s="123"/>
      <c r="O442" s="121"/>
      <c r="P442" s="121" t="s">
        <v>113</v>
      </c>
      <c r="Q442" s="121"/>
      <c r="R442" s="124">
        <v>8922.7999999999993</v>
      </c>
      <c r="S442" s="121"/>
      <c r="T442" s="124">
        <f t="shared" si="7"/>
        <v>253746.39</v>
      </c>
    </row>
    <row r="443" spans="2:20" ht="15" thickBot="1" x14ac:dyDescent="0.45">
      <c r="B443" s="121" t="s">
        <v>108</v>
      </c>
      <c r="C443" s="121"/>
      <c r="D443" s="122">
        <v>45980</v>
      </c>
      <c r="E443" s="121"/>
      <c r="F443" s="121" t="s">
        <v>664</v>
      </c>
      <c r="G443" s="121"/>
      <c r="H443" s="121" t="s">
        <v>663</v>
      </c>
      <c r="I443" s="121"/>
      <c r="J443" s="121" t="s">
        <v>664</v>
      </c>
      <c r="K443" s="121"/>
      <c r="L443" s="121"/>
      <c r="M443" s="121"/>
      <c r="N443" s="123"/>
      <c r="O443" s="121"/>
      <c r="P443" s="121" t="s">
        <v>113</v>
      </c>
      <c r="Q443" s="121"/>
      <c r="R443" s="124">
        <v>8827.6200000000008</v>
      </c>
      <c r="S443" s="121"/>
      <c r="T443" s="124">
        <f t="shared" si="7"/>
        <v>262574.01</v>
      </c>
    </row>
    <row r="444" spans="2:20" ht="15" thickBot="1" x14ac:dyDescent="0.45">
      <c r="B444" s="121"/>
      <c r="C444" s="121"/>
      <c r="D444" s="121"/>
      <c r="E444" s="121" t="s">
        <v>665</v>
      </c>
      <c r="F444" s="121"/>
      <c r="G444" s="121"/>
      <c r="H444" s="121"/>
      <c r="I444" s="121"/>
      <c r="J444" s="122"/>
      <c r="K444" s="121"/>
      <c r="L444" s="121"/>
      <c r="M444" s="121"/>
      <c r="N444" s="121"/>
      <c r="O444" s="121"/>
      <c r="P444" s="121"/>
      <c r="Q444" s="121"/>
      <c r="R444" s="125">
        <f>ROUND(SUM(R400:R443),5)</f>
        <v>262574.01</v>
      </c>
      <c r="S444" s="121"/>
      <c r="T444" s="125">
        <f>T443</f>
        <v>262574.01</v>
      </c>
    </row>
    <row r="445" spans="2:20" ht="15" thickBot="1" x14ac:dyDescent="0.45">
      <c r="B445" s="121"/>
      <c r="C445" s="121"/>
      <c r="D445" s="121" t="s">
        <v>352</v>
      </c>
      <c r="E445" s="121"/>
      <c r="F445" s="121"/>
      <c r="G445" s="121"/>
      <c r="H445" s="121"/>
      <c r="I445" s="121"/>
      <c r="J445" s="122"/>
      <c r="K445" s="121"/>
      <c r="L445" s="121"/>
      <c r="M445" s="121"/>
      <c r="N445" s="121"/>
      <c r="O445" s="121"/>
      <c r="P445" s="121"/>
      <c r="Q445" s="121"/>
      <c r="R445" s="125">
        <f>R444</f>
        <v>262574.01</v>
      </c>
      <c r="S445" s="121"/>
      <c r="T445" s="125">
        <f>T444</f>
        <v>262574.01</v>
      </c>
    </row>
    <row r="446" spans="2:20" ht="15" thickBot="1" x14ac:dyDescent="0.45">
      <c r="B446" s="121"/>
      <c r="C446" s="121" t="s">
        <v>353</v>
      </c>
      <c r="D446" s="121"/>
      <c r="E446" s="121"/>
      <c r="F446" s="121"/>
      <c r="G446" s="121"/>
      <c r="H446" s="121"/>
      <c r="I446" s="121"/>
      <c r="J446" s="122"/>
      <c r="K446" s="121"/>
      <c r="L446" s="121"/>
      <c r="M446" s="121"/>
      <c r="N446" s="121"/>
      <c r="O446" s="121"/>
      <c r="P446" s="121"/>
      <c r="Q446" s="121"/>
      <c r="R446" s="125">
        <f>R445</f>
        <v>262574.01</v>
      </c>
      <c r="S446" s="121"/>
      <c r="T446" s="125">
        <f>T445</f>
        <v>262574.01</v>
      </c>
    </row>
    <row r="447" spans="2:20" ht="15" thickBot="1" x14ac:dyDescent="0.45">
      <c r="B447" s="117" t="s">
        <v>33</v>
      </c>
      <c r="C447" s="117"/>
      <c r="D447" s="117"/>
      <c r="E447" s="117"/>
      <c r="F447" s="117"/>
      <c r="G447" s="117"/>
      <c r="H447" s="117"/>
      <c r="I447" s="117"/>
      <c r="J447" s="118"/>
      <c r="K447" s="117"/>
      <c r="L447" s="117"/>
      <c r="M447" s="117"/>
      <c r="N447" s="117"/>
      <c r="O447" s="117"/>
      <c r="P447" s="117"/>
      <c r="Q447" s="117"/>
      <c r="R447" s="126">
        <f>R446</f>
        <v>262574.01</v>
      </c>
      <c r="S447" s="117"/>
      <c r="T447" s="126">
        <f>T446</f>
        <v>262574.01</v>
      </c>
    </row>
    <row r="448" spans="2:20" ht="15" thickTop="1" x14ac:dyDescent="0.4">
      <c r="B448" s="117"/>
      <c r="C448" s="117"/>
      <c r="D448" s="118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9"/>
      <c r="S448" s="117"/>
      <c r="T448" s="119"/>
    </row>
    <row r="449" spans="2:26" x14ac:dyDescent="0.4">
      <c r="B449" s="117"/>
      <c r="C449" s="117"/>
      <c r="D449" s="118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9"/>
      <c r="S449" s="117"/>
      <c r="T449" s="119"/>
    </row>
    <row r="450" spans="2:26" x14ac:dyDescent="0.4">
      <c r="B450" s="117"/>
      <c r="C450" s="117"/>
      <c r="D450" s="118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9"/>
      <c r="S450" s="117"/>
      <c r="T450" s="119"/>
    </row>
    <row r="451" spans="2:26" x14ac:dyDescent="0.4">
      <c r="B451" s="117"/>
      <c r="C451" s="117"/>
      <c r="D451" s="118"/>
      <c r="E451" s="117"/>
      <c r="F451" s="117"/>
      <c r="G451" s="117"/>
      <c r="H451" s="135" t="s">
        <v>666</v>
      </c>
      <c r="I451" s="117"/>
      <c r="J451" s="117"/>
      <c r="K451" s="117"/>
      <c r="L451" s="117"/>
      <c r="M451" s="117"/>
      <c r="N451" s="117"/>
      <c r="O451" s="117"/>
      <c r="P451" s="117"/>
      <c r="Q451" s="117"/>
      <c r="R451" s="119"/>
      <c r="S451" s="117"/>
      <c r="T451" s="119"/>
    </row>
    <row r="452" spans="2:26" ht="15.45" x14ac:dyDescent="0.4">
      <c r="B452" s="110" t="s">
        <v>92</v>
      </c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11" t="s">
        <v>667</v>
      </c>
    </row>
    <row r="453" spans="2:26" ht="17.600000000000001" x14ac:dyDescent="0.4">
      <c r="B453" s="112" t="s">
        <v>668</v>
      </c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13">
        <v>46065</v>
      </c>
    </row>
    <row r="454" spans="2:26" x14ac:dyDescent="0.4">
      <c r="B454" s="114" t="s">
        <v>669</v>
      </c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11" t="s">
        <v>97</v>
      </c>
    </row>
    <row r="455" spans="2:26" ht="15" thickBot="1" x14ac:dyDescent="0.45">
      <c r="B455" s="116" t="s">
        <v>98</v>
      </c>
      <c r="C455" s="115"/>
      <c r="D455" s="116" t="s">
        <v>99</v>
      </c>
      <c r="E455" s="115"/>
      <c r="F455" s="116" t="s">
        <v>100</v>
      </c>
      <c r="G455" s="115"/>
      <c r="H455" s="116" t="s">
        <v>101</v>
      </c>
      <c r="I455" s="115"/>
      <c r="J455" s="116" t="s">
        <v>102</v>
      </c>
      <c r="K455" s="115"/>
      <c r="L455" s="116" t="s">
        <v>103</v>
      </c>
      <c r="M455" s="115"/>
      <c r="N455" s="116" t="s">
        <v>104</v>
      </c>
      <c r="O455" s="115"/>
      <c r="P455" s="116" t="s">
        <v>105</v>
      </c>
      <c r="Q455" s="115"/>
      <c r="R455" s="116" t="s">
        <v>106</v>
      </c>
      <c r="S455" s="115"/>
      <c r="T455" s="116" t="s">
        <v>107</v>
      </c>
    </row>
    <row r="456" spans="2:26" ht="15" thickTop="1" x14ac:dyDescent="0.4">
      <c r="B456" s="117"/>
      <c r="C456" s="117" t="s">
        <v>670</v>
      </c>
      <c r="D456" s="117"/>
      <c r="E456" s="117"/>
      <c r="F456" s="117"/>
      <c r="G456" s="117"/>
      <c r="H456" s="117"/>
      <c r="I456" s="117"/>
      <c r="J456" s="118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9"/>
      <c r="Y456" s="117"/>
      <c r="Z456" s="119"/>
    </row>
    <row r="457" spans="2:26" x14ac:dyDescent="0.4">
      <c r="B457" s="117"/>
      <c r="C457" s="117"/>
      <c r="D457" s="117" t="s">
        <v>671</v>
      </c>
      <c r="E457" s="117"/>
      <c r="F457" s="117"/>
      <c r="G457" s="117"/>
      <c r="H457" s="117"/>
      <c r="I457" s="117"/>
      <c r="J457" s="118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9"/>
      <c r="Y457" s="117"/>
      <c r="Z457" s="119"/>
    </row>
    <row r="458" spans="2:26" x14ac:dyDescent="0.4">
      <c r="B458" s="117"/>
      <c r="C458" s="117"/>
      <c r="D458" s="117"/>
      <c r="E458" s="117" t="s">
        <v>672</v>
      </c>
      <c r="F458" s="117"/>
      <c r="G458" s="117"/>
      <c r="H458" s="117"/>
      <c r="I458" s="117"/>
      <c r="J458" s="118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9"/>
      <c r="Y458" s="117"/>
      <c r="Z458" s="119"/>
    </row>
    <row r="459" spans="2:26" x14ac:dyDescent="0.4">
      <c r="B459" s="121" t="s">
        <v>108</v>
      </c>
      <c r="C459" s="121"/>
      <c r="D459" s="122">
        <v>40945</v>
      </c>
      <c r="E459" s="121"/>
      <c r="F459" s="121" t="s">
        <v>673</v>
      </c>
      <c r="G459" s="121"/>
      <c r="H459" s="121" t="s">
        <v>597</v>
      </c>
      <c r="I459" s="121"/>
      <c r="J459" s="121"/>
      <c r="K459" s="121"/>
      <c r="L459" s="121" t="s">
        <v>674</v>
      </c>
      <c r="M459" s="121"/>
      <c r="N459" s="123"/>
      <c r="O459" s="121"/>
      <c r="P459" s="121" t="s">
        <v>113</v>
      </c>
      <c r="Q459" s="121"/>
      <c r="R459" s="124">
        <v>675.73</v>
      </c>
      <c r="S459" s="121"/>
      <c r="T459" s="124">
        <f>ROUND(Z458+R459,5)</f>
        <v>675.73</v>
      </c>
    </row>
    <row r="460" spans="2:26" x14ac:dyDescent="0.4">
      <c r="B460" s="121" t="s">
        <v>108</v>
      </c>
      <c r="C460" s="121"/>
      <c r="D460" s="122">
        <v>40945</v>
      </c>
      <c r="E460" s="121"/>
      <c r="F460" s="121" t="s">
        <v>673</v>
      </c>
      <c r="G460" s="121"/>
      <c r="H460" s="121" t="s">
        <v>597</v>
      </c>
      <c r="I460" s="121"/>
      <c r="J460" s="121"/>
      <c r="K460" s="121"/>
      <c r="L460" s="121" t="s">
        <v>675</v>
      </c>
      <c r="M460" s="121"/>
      <c r="N460" s="123"/>
      <c r="O460" s="121"/>
      <c r="P460" s="121" t="s">
        <v>113</v>
      </c>
      <c r="Q460" s="121"/>
      <c r="R460" s="124">
        <v>253.4</v>
      </c>
      <c r="S460" s="121"/>
      <c r="T460" s="124">
        <f t="shared" ref="T460:T523" si="8">ROUND(T459+R460,5)</f>
        <v>929.13</v>
      </c>
    </row>
    <row r="461" spans="2:26" x14ac:dyDescent="0.4">
      <c r="B461" s="121" t="s">
        <v>108</v>
      </c>
      <c r="C461" s="121"/>
      <c r="D461" s="122">
        <v>40945</v>
      </c>
      <c r="E461" s="121"/>
      <c r="F461" s="121" t="s">
        <v>673</v>
      </c>
      <c r="G461" s="121"/>
      <c r="H461" s="121" t="s">
        <v>597</v>
      </c>
      <c r="I461" s="121"/>
      <c r="J461" s="121"/>
      <c r="K461" s="121"/>
      <c r="L461" s="121" t="s">
        <v>676</v>
      </c>
      <c r="M461" s="121"/>
      <c r="N461" s="123"/>
      <c r="O461" s="121"/>
      <c r="P461" s="121" t="s">
        <v>113</v>
      </c>
      <c r="Q461" s="121"/>
      <c r="R461" s="124">
        <v>394.17</v>
      </c>
      <c r="S461" s="121"/>
      <c r="T461" s="124">
        <f t="shared" si="8"/>
        <v>1323.3</v>
      </c>
    </row>
    <row r="462" spans="2:26" x14ac:dyDescent="0.4">
      <c r="B462" s="121" t="s">
        <v>108</v>
      </c>
      <c r="C462" s="121"/>
      <c r="D462" s="122">
        <v>40945</v>
      </c>
      <c r="E462" s="121"/>
      <c r="F462" s="121" t="s">
        <v>673</v>
      </c>
      <c r="G462" s="121"/>
      <c r="H462" s="121" t="s">
        <v>597</v>
      </c>
      <c r="I462" s="121"/>
      <c r="J462" s="121"/>
      <c r="K462" s="121"/>
      <c r="L462" s="121" t="s">
        <v>677</v>
      </c>
      <c r="M462" s="121"/>
      <c r="N462" s="123"/>
      <c r="O462" s="121"/>
      <c r="P462" s="121" t="s">
        <v>113</v>
      </c>
      <c r="Q462" s="121"/>
      <c r="R462" s="124">
        <v>422.33</v>
      </c>
      <c r="S462" s="121"/>
      <c r="T462" s="124">
        <f t="shared" si="8"/>
        <v>1745.63</v>
      </c>
    </row>
    <row r="463" spans="2:26" x14ac:dyDescent="0.4">
      <c r="B463" s="121" t="s">
        <v>108</v>
      </c>
      <c r="C463" s="121"/>
      <c r="D463" s="122">
        <v>40945</v>
      </c>
      <c r="E463" s="121"/>
      <c r="F463" s="121" t="s">
        <v>673</v>
      </c>
      <c r="G463" s="121"/>
      <c r="H463" s="121" t="s">
        <v>597</v>
      </c>
      <c r="I463" s="121"/>
      <c r="J463" s="121"/>
      <c r="K463" s="121"/>
      <c r="L463" s="121" t="s">
        <v>149</v>
      </c>
      <c r="M463" s="121"/>
      <c r="N463" s="123"/>
      <c r="O463" s="121"/>
      <c r="P463" s="121" t="s">
        <v>113</v>
      </c>
      <c r="Q463" s="121"/>
      <c r="R463" s="124">
        <v>394.17</v>
      </c>
      <c r="S463" s="121"/>
      <c r="T463" s="124">
        <f t="shared" si="8"/>
        <v>2139.8000000000002</v>
      </c>
    </row>
    <row r="464" spans="2:26" x14ac:dyDescent="0.4">
      <c r="B464" s="121" t="s">
        <v>108</v>
      </c>
      <c r="C464" s="121"/>
      <c r="D464" s="122">
        <v>40945</v>
      </c>
      <c r="E464" s="121"/>
      <c r="F464" s="121" t="s">
        <v>673</v>
      </c>
      <c r="G464" s="121"/>
      <c r="H464" s="121" t="s">
        <v>597</v>
      </c>
      <c r="I464" s="121"/>
      <c r="J464" s="121"/>
      <c r="K464" s="121"/>
      <c r="L464" s="121" t="s">
        <v>678</v>
      </c>
      <c r="M464" s="121"/>
      <c r="N464" s="123"/>
      <c r="O464" s="121"/>
      <c r="P464" s="121" t="s">
        <v>113</v>
      </c>
      <c r="Q464" s="121"/>
      <c r="R464" s="124">
        <v>56.31</v>
      </c>
      <c r="S464" s="121"/>
      <c r="T464" s="124">
        <f t="shared" si="8"/>
        <v>2196.11</v>
      </c>
    </row>
    <row r="465" spans="2:20" x14ac:dyDescent="0.4">
      <c r="B465" s="121" t="s">
        <v>108</v>
      </c>
      <c r="C465" s="121"/>
      <c r="D465" s="122">
        <v>40945</v>
      </c>
      <c r="E465" s="121"/>
      <c r="F465" s="121" t="s">
        <v>673</v>
      </c>
      <c r="G465" s="121"/>
      <c r="H465" s="121" t="s">
        <v>597</v>
      </c>
      <c r="I465" s="121"/>
      <c r="J465" s="121"/>
      <c r="K465" s="121"/>
      <c r="L465" s="121" t="s">
        <v>679</v>
      </c>
      <c r="M465" s="121"/>
      <c r="N465" s="123"/>
      <c r="O465" s="121"/>
      <c r="P465" s="121" t="s">
        <v>113</v>
      </c>
      <c r="Q465" s="121"/>
      <c r="R465" s="124">
        <v>619.41999999999996</v>
      </c>
      <c r="S465" s="121"/>
      <c r="T465" s="124">
        <f t="shared" si="8"/>
        <v>2815.53</v>
      </c>
    </row>
    <row r="466" spans="2:20" x14ac:dyDescent="0.4">
      <c r="B466" s="121" t="s">
        <v>135</v>
      </c>
      <c r="C466" s="121"/>
      <c r="D466" s="122">
        <v>40968</v>
      </c>
      <c r="E466" s="121"/>
      <c r="F466" s="121" t="s">
        <v>680</v>
      </c>
      <c r="G466" s="121"/>
      <c r="H466" s="121"/>
      <c r="I466" s="121"/>
      <c r="J466" s="121" t="s">
        <v>681</v>
      </c>
      <c r="K466" s="121"/>
      <c r="L466" s="121" t="s">
        <v>679</v>
      </c>
      <c r="M466" s="121"/>
      <c r="N466" s="123"/>
      <c r="O466" s="121"/>
      <c r="P466" s="121" t="s">
        <v>682</v>
      </c>
      <c r="Q466" s="121"/>
      <c r="R466" s="124">
        <v>-619.41999999999996</v>
      </c>
      <c r="S466" s="121"/>
      <c r="T466" s="124">
        <f t="shared" si="8"/>
        <v>2196.11</v>
      </c>
    </row>
    <row r="467" spans="2:20" x14ac:dyDescent="0.4">
      <c r="B467" s="121" t="s">
        <v>135</v>
      </c>
      <c r="C467" s="121"/>
      <c r="D467" s="122">
        <v>40968</v>
      </c>
      <c r="E467" s="121"/>
      <c r="F467" s="121" t="s">
        <v>683</v>
      </c>
      <c r="G467" s="121"/>
      <c r="H467" s="121"/>
      <c r="I467" s="121"/>
      <c r="J467" s="121" t="s">
        <v>684</v>
      </c>
      <c r="K467" s="121"/>
      <c r="L467" s="121" t="s">
        <v>149</v>
      </c>
      <c r="M467" s="121"/>
      <c r="N467" s="123"/>
      <c r="O467" s="121"/>
      <c r="P467" s="121" t="s">
        <v>138</v>
      </c>
      <c r="Q467" s="121"/>
      <c r="R467" s="124">
        <v>-394.17</v>
      </c>
      <c r="S467" s="121"/>
      <c r="T467" s="124">
        <f t="shared" si="8"/>
        <v>1801.94</v>
      </c>
    </row>
    <row r="468" spans="2:20" x14ac:dyDescent="0.4">
      <c r="B468" s="121" t="s">
        <v>108</v>
      </c>
      <c r="C468" s="121"/>
      <c r="D468" s="122">
        <v>41117</v>
      </c>
      <c r="E468" s="121"/>
      <c r="F468" s="121" t="s">
        <v>685</v>
      </c>
      <c r="G468" s="121"/>
      <c r="H468" s="121" t="s">
        <v>686</v>
      </c>
      <c r="I468" s="121"/>
      <c r="J468" s="121"/>
      <c r="K468" s="121"/>
      <c r="L468" s="121" t="s">
        <v>674</v>
      </c>
      <c r="M468" s="121"/>
      <c r="N468" s="123"/>
      <c r="O468" s="121"/>
      <c r="P468" s="121" t="s">
        <v>113</v>
      </c>
      <c r="Q468" s="121"/>
      <c r="R468" s="124">
        <v>105.04</v>
      </c>
      <c r="S468" s="121"/>
      <c r="T468" s="124">
        <f t="shared" si="8"/>
        <v>1906.98</v>
      </c>
    </row>
    <row r="469" spans="2:20" x14ac:dyDescent="0.4">
      <c r="B469" s="121" t="s">
        <v>108</v>
      </c>
      <c r="C469" s="121"/>
      <c r="D469" s="122">
        <v>41117</v>
      </c>
      <c r="E469" s="121"/>
      <c r="F469" s="121" t="s">
        <v>685</v>
      </c>
      <c r="G469" s="121"/>
      <c r="H469" s="121" t="s">
        <v>686</v>
      </c>
      <c r="I469" s="121"/>
      <c r="J469" s="121"/>
      <c r="K469" s="121"/>
      <c r="L469" s="121" t="s">
        <v>675</v>
      </c>
      <c r="M469" s="121"/>
      <c r="N469" s="123"/>
      <c r="O469" s="121"/>
      <c r="P469" s="121" t="s">
        <v>113</v>
      </c>
      <c r="Q469" s="121"/>
      <c r="R469" s="124">
        <v>38.18</v>
      </c>
      <c r="S469" s="121"/>
      <c r="T469" s="124">
        <f t="shared" si="8"/>
        <v>1945.16</v>
      </c>
    </row>
    <row r="470" spans="2:20" x14ac:dyDescent="0.4">
      <c r="B470" s="121" t="s">
        <v>108</v>
      </c>
      <c r="C470" s="121"/>
      <c r="D470" s="122">
        <v>41117</v>
      </c>
      <c r="E470" s="121"/>
      <c r="F470" s="121" t="s">
        <v>685</v>
      </c>
      <c r="G470" s="121"/>
      <c r="H470" s="121" t="s">
        <v>686</v>
      </c>
      <c r="I470" s="121"/>
      <c r="J470" s="121"/>
      <c r="K470" s="121"/>
      <c r="L470" s="121" t="s">
        <v>676</v>
      </c>
      <c r="M470" s="121"/>
      <c r="N470" s="123"/>
      <c r="O470" s="121"/>
      <c r="P470" s="121" t="s">
        <v>113</v>
      </c>
      <c r="Q470" s="121"/>
      <c r="R470" s="124">
        <v>62.04</v>
      </c>
      <c r="S470" s="121"/>
      <c r="T470" s="124">
        <f t="shared" si="8"/>
        <v>2007.2</v>
      </c>
    </row>
    <row r="471" spans="2:20" x14ac:dyDescent="0.4">
      <c r="B471" s="121" t="s">
        <v>108</v>
      </c>
      <c r="C471" s="121"/>
      <c r="D471" s="122">
        <v>41117</v>
      </c>
      <c r="E471" s="121"/>
      <c r="F471" s="121" t="s">
        <v>685</v>
      </c>
      <c r="G471" s="121"/>
      <c r="H471" s="121" t="s">
        <v>686</v>
      </c>
      <c r="I471" s="121"/>
      <c r="J471" s="121"/>
      <c r="K471" s="121"/>
      <c r="L471" s="121" t="s">
        <v>677</v>
      </c>
      <c r="M471" s="121"/>
      <c r="N471" s="123"/>
      <c r="O471" s="121"/>
      <c r="P471" s="121" t="s">
        <v>113</v>
      </c>
      <c r="Q471" s="121"/>
      <c r="R471" s="124">
        <v>66.819999999999993</v>
      </c>
      <c r="S471" s="121"/>
      <c r="T471" s="124">
        <f t="shared" si="8"/>
        <v>2074.02</v>
      </c>
    </row>
    <row r="472" spans="2:20" x14ac:dyDescent="0.4">
      <c r="B472" s="121" t="s">
        <v>108</v>
      </c>
      <c r="C472" s="121"/>
      <c r="D472" s="122">
        <v>41117</v>
      </c>
      <c r="E472" s="121"/>
      <c r="F472" s="121" t="s">
        <v>685</v>
      </c>
      <c r="G472" s="121"/>
      <c r="H472" s="121" t="s">
        <v>686</v>
      </c>
      <c r="I472" s="121"/>
      <c r="J472" s="121"/>
      <c r="K472" s="121"/>
      <c r="L472" s="121" t="s">
        <v>149</v>
      </c>
      <c r="M472" s="121"/>
      <c r="N472" s="123"/>
      <c r="O472" s="121"/>
      <c r="P472" s="121" t="s">
        <v>113</v>
      </c>
      <c r="Q472" s="121"/>
      <c r="R472" s="124">
        <v>57.27</v>
      </c>
      <c r="S472" s="121"/>
      <c r="T472" s="124">
        <f t="shared" si="8"/>
        <v>2131.29</v>
      </c>
    </row>
    <row r="473" spans="2:20" x14ac:dyDescent="0.4">
      <c r="B473" s="121" t="s">
        <v>108</v>
      </c>
      <c r="C473" s="121"/>
      <c r="D473" s="122">
        <v>41117</v>
      </c>
      <c r="E473" s="121"/>
      <c r="F473" s="121" t="s">
        <v>685</v>
      </c>
      <c r="G473" s="121"/>
      <c r="H473" s="121" t="s">
        <v>686</v>
      </c>
      <c r="I473" s="121"/>
      <c r="J473" s="121"/>
      <c r="K473" s="121"/>
      <c r="L473" s="121" t="s">
        <v>678</v>
      </c>
      <c r="M473" s="121"/>
      <c r="N473" s="123"/>
      <c r="O473" s="121"/>
      <c r="P473" s="121" t="s">
        <v>113</v>
      </c>
      <c r="Q473" s="121"/>
      <c r="R473" s="124">
        <v>9.5399999999999991</v>
      </c>
      <c r="S473" s="121"/>
      <c r="T473" s="124">
        <f t="shared" si="8"/>
        <v>2140.83</v>
      </c>
    </row>
    <row r="474" spans="2:20" x14ac:dyDescent="0.4">
      <c r="B474" s="121" t="s">
        <v>108</v>
      </c>
      <c r="C474" s="121"/>
      <c r="D474" s="122">
        <v>41117</v>
      </c>
      <c r="E474" s="121"/>
      <c r="F474" s="121" t="s">
        <v>685</v>
      </c>
      <c r="G474" s="121"/>
      <c r="H474" s="121" t="s">
        <v>686</v>
      </c>
      <c r="I474" s="121"/>
      <c r="J474" s="121"/>
      <c r="K474" s="121"/>
      <c r="L474" s="121" t="s">
        <v>679</v>
      </c>
      <c r="M474" s="121"/>
      <c r="N474" s="123"/>
      <c r="O474" s="121"/>
      <c r="P474" s="121" t="s">
        <v>113</v>
      </c>
      <c r="Q474" s="121"/>
      <c r="R474" s="124">
        <v>85.91</v>
      </c>
      <c r="S474" s="121"/>
      <c r="T474" s="124">
        <f t="shared" si="8"/>
        <v>2226.7399999999998</v>
      </c>
    </row>
    <row r="475" spans="2:20" x14ac:dyDescent="0.4">
      <c r="B475" s="121" t="s">
        <v>108</v>
      </c>
      <c r="C475" s="121"/>
      <c r="D475" s="122">
        <v>41117</v>
      </c>
      <c r="E475" s="121"/>
      <c r="F475" s="121" t="s">
        <v>685</v>
      </c>
      <c r="G475" s="121"/>
      <c r="H475" s="121" t="s">
        <v>686</v>
      </c>
      <c r="I475" s="121"/>
      <c r="J475" s="121"/>
      <c r="K475" s="121"/>
      <c r="L475" s="121" t="s">
        <v>687</v>
      </c>
      <c r="M475" s="121"/>
      <c r="N475" s="123"/>
      <c r="O475" s="121"/>
      <c r="P475" s="121" t="s">
        <v>113</v>
      </c>
      <c r="Q475" s="121"/>
      <c r="R475" s="124">
        <v>52.5</v>
      </c>
      <c r="S475" s="121"/>
      <c r="T475" s="124">
        <f t="shared" si="8"/>
        <v>2279.2399999999998</v>
      </c>
    </row>
    <row r="476" spans="2:20" x14ac:dyDescent="0.4">
      <c r="B476" s="121" t="s">
        <v>108</v>
      </c>
      <c r="C476" s="121"/>
      <c r="D476" s="122">
        <v>41117</v>
      </c>
      <c r="E476" s="121"/>
      <c r="F476" s="121" t="s">
        <v>688</v>
      </c>
      <c r="G476" s="121"/>
      <c r="H476" s="121" t="s">
        <v>686</v>
      </c>
      <c r="I476" s="121"/>
      <c r="J476" s="121"/>
      <c r="K476" s="121"/>
      <c r="L476" s="121" t="s">
        <v>674</v>
      </c>
      <c r="M476" s="121"/>
      <c r="N476" s="123"/>
      <c r="O476" s="121"/>
      <c r="P476" s="121" t="s">
        <v>113</v>
      </c>
      <c r="Q476" s="121"/>
      <c r="R476" s="124">
        <v>16.940000000000001</v>
      </c>
      <c r="S476" s="121"/>
      <c r="T476" s="124">
        <f t="shared" si="8"/>
        <v>2296.1799999999998</v>
      </c>
    </row>
    <row r="477" spans="2:20" x14ac:dyDescent="0.4">
      <c r="B477" s="121" t="s">
        <v>108</v>
      </c>
      <c r="C477" s="121"/>
      <c r="D477" s="122">
        <v>41117</v>
      </c>
      <c r="E477" s="121"/>
      <c r="F477" s="121" t="s">
        <v>688</v>
      </c>
      <c r="G477" s="121"/>
      <c r="H477" s="121" t="s">
        <v>686</v>
      </c>
      <c r="I477" s="121"/>
      <c r="J477" s="121"/>
      <c r="K477" s="121"/>
      <c r="L477" s="121" t="s">
        <v>675</v>
      </c>
      <c r="M477" s="121"/>
      <c r="N477" s="123"/>
      <c r="O477" s="121"/>
      <c r="P477" s="121" t="s">
        <v>113</v>
      </c>
      <c r="Q477" s="121"/>
      <c r="R477" s="124">
        <v>6.16</v>
      </c>
      <c r="S477" s="121"/>
      <c r="T477" s="124">
        <f t="shared" si="8"/>
        <v>2302.34</v>
      </c>
    </row>
    <row r="478" spans="2:20" x14ac:dyDescent="0.4">
      <c r="B478" s="121" t="s">
        <v>108</v>
      </c>
      <c r="C478" s="121"/>
      <c r="D478" s="122">
        <v>41117</v>
      </c>
      <c r="E478" s="121"/>
      <c r="F478" s="121" t="s">
        <v>688</v>
      </c>
      <c r="G478" s="121"/>
      <c r="H478" s="121" t="s">
        <v>686</v>
      </c>
      <c r="I478" s="121"/>
      <c r="J478" s="121"/>
      <c r="K478" s="121"/>
      <c r="L478" s="121" t="s">
        <v>676</v>
      </c>
      <c r="M478" s="121"/>
      <c r="N478" s="123"/>
      <c r="O478" s="121"/>
      <c r="P478" s="121" t="s">
        <v>113</v>
      </c>
      <c r="Q478" s="121"/>
      <c r="R478" s="124">
        <v>10.01</v>
      </c>
      <c r="S478" s="121"/>
      <c r="T478" s="124">
        <f t="shared" si="8"/>
        <v>2312.35</v>
      </c>
    </row>
    <row r="479" spans="2:20" x14ac:dyDescent="0.4">
      <c r="B479" s="121" t="s">
        <v>108</v>
      </c>
      <c r="C479" s="121"/>
      <c r="D479" s="122">
        <v>41117</v>
      </c>
      <c r="E479" s="121"/>
      <c r="F479" s="121" t="s">
        <v>688</v>
      </c>
      <c r="G479" s="121"/>
      <c r="H479" s="121" t="s">
        <v>686</v>
      </c>
      <c r="I479" s="121"/>
      <c r="J479" s="121"/>
      <c r="K479" s="121"/>
      <c r="L479" s="121" t="s">
        <v>677</v>
      </c>
      <c r="M479" s="121"/>
      <c r="N479" s="123"/>
      <c r="O479" s="121"/>
      <c r="P479" s="121" t="s">
        <v>113</v>
      </c>
      <c r="Q479" s="121"/>
      <c r="R479" s="124">
        <v>10.78</v>
      </c>
      <c r="S479" s="121"/>
      <c r="T479" s="124">
        <f t="shared" si="8"/>
        <v>2323.13</v>
      </c>
    </row>
    <row r="480" spans="2:20" x14ac:dyDescent="0.4">
      <c r="B480" s="121" t="s">
        <v>108</v>
      </c>
      <c r="C480" s="121"/>
      <c r="D480" s="122">
        <v>41117</v>
      </c>
      <c r="E480" s="121"/>
      <c r="F480" s="121" t="s">
        <v>688</v>
      </c>
      <c r="G480" s="121"/>
      <c r="H480" s="121" t="s">
        <v>686</v>
      </c>
      <c r="I480" s="121"/>
      <c r="J480" s="121"/>
      <c r="K480" s="121"/>
      <c r="L480" s="121" t="s">
        <v>149</v>
      </c>
      <c r="M480" s="121"/>
      <c r="N480" s="123"/>
      <c r="O480" s="121"/>
      <c r="P480" s="121" t="s">
        <v>113</v>
      </c>
      <c r="Q480" s="121"/>
      <c r="R480" s="124">
        <v>9.24</v>
      </c>
      <c r="S480" s="121"/>
      <c r="T480" s="124">
        <f t="shared" si="8"/>
        <v>2332.37</v>
      </c>
    </row>
    <row r="481" spans="2:20" x14ac:dyDescent="0.4">
      <c r="B481" s="121" t="s">
        <v>108</v>
      </c>
      <c r="C481" s="121"/>
      <c r="D481" s="122">
        <v>41117</v>
      </c>
      <c r="E481" s="121"/>
      <c r="F481" s="121" t="s">
        <v>688</v>
      </c>
      <c r="G481" s="121"/>
      <c r="H481" s="121" t="s">
        <v>686</v>
      </c>
      <c r="I481" s="121"/>
      <c r="J481" s="121"/>
      <c r="K481" s="121"/>
      <c r="L481" s="121" t="s">
        <v>678</v>
      </c>
      <c r="M481" s="121"/>
      <c r="N481" s="123"/>
      <c r="O481" s="121"/>
      <c r="P481" s="121" t="s">
        <v>113</v>
      </c>
      <c r="Q481" s="121"/>
      <c r="R481" s="124">
        <v>1.54</v>
      </c>
      <c r="S481" s="121"/>
      <c r="T481" s="124">
        <f t="shared" si="8"/>
        <v>2333.91</v>
      </c>
    </row>
    <row r="482" spans="2:20" x14ac:dyDescent="0.4">
      <c r="B482" s="121" t="s">
        <v>108</v>
      </c>
      <c r="C482" s="121"/>
      <c r="D482" s="122">
        <v>41117</v>
      </c>
      <c r="E482" s="121"/>
      <c r="F482" s="121" t="s">
        <v>688</v>
      </c>
      <c r="G482" s="121"/>
      <c r="H482" s="121" t="s">
        <v>686</v>
      </c>
      <c r="I482" s="121"/>
      <c r="J482" s="121"/>
      <c r="K482" s="121"/>
      <c r="L482" s="121" t="s">
        <v>679</v>
      </c>
      <c r="M482" s="121"/>
      <c r="N482" s="123"/>
      <c r="O482" s="121"/>
      <c r="P482" s="121" t="s">
        <v>113</v>
      </c>
      <c r="Q482" s="121"/>
      <c r="R482" s="124">
        <v>13.86</v>
      </c>
      <c r="S482" s="121"/>
      <c r="T482" s="124">
        <f t="shared" si="8"/>
        <v>2347.77</v>
      </c>
    </row>
    <row r="483" spans="2:20" x14ac:dyDescent="0.4">
      <c r="B483" s="121" t="s">
        <v>108</v>
      </c>
      <c r="C483" s="121"/>
      <c r="D483" s="122">
        <v>41117</v>
      </c>
      <c r="E483" s="121"/>
      <c r="F483" s="121" t="s">
        <v>688</v>
      </c>
      <c r="G483" s="121"/>
      <c r="H483" s="121" t="s">
        <v>686</v>
      </c>
      <c r="I483" s="121"/>
      <c r="J483" s="121"/>
      <c r="K483" s="121"/>
      <c r="L483" s="121" t="s">
        <v>687</v>
      </c>
      <c r="M483" s="121"/>
      <c r="N483" s="123"/>
      <c r="O483" s="121"/>
      <c r="P483" s="121" t="s">
        <v>113</v>
      </c>
      <c r="Q483" s="121"/>
      <c r="R483" s="124">
        <v>8.4700000000000006</v>
      </c>
      <c r="S483" s="121"/>
      <c r="T483" s="124">
        <f t="shared" si="8"/>
        <v>2356.2399999999998</v>
      </c>
    </row>
    <row r="484" spans="2:20" x14ac:dyDescent="0.4">
      <c r="B484" s="121" t="s">
        <v>108</v>
      </c>
      <c r="C484" s="121"/>
      <c r="D484" s="122">
        <v>41117</v>
      </c>
      <c r="E484" s="121"/>
      <c r="F484" s="121" t="s">
        <v>689</v>
      </c>
      <c r="G484" s="121"/>
      <c r="H484" s="121" t="s">
        <v>686</v>
      </c>
      <c r="I484" s="121"/>
      <c r="J484" s="121"/>
      <c r="K484" s="121"/>
      <c r="L484" s="121" t="s">
        <v>674</v>
      </c>
      <c r="M484" s="121"/>
      <c r="N484" s="123"/>
      <c r="O484" s="121"/>
      <c r="P484" s="121" t="s">
        <v>113</v>
      </c>
      <c r="Q484" s="121"/>
      <c r="R484" s="124">
        <v>42.9</v>
      </c>
      <c r="S484" s="121"/>
      <c r="T484" s="124">
        <f t="shared" si="8"/>
        <v>2399.14</v>
      </c>
    </row>
    <row r="485" spans="2:20" x14ac:dyDescent="0.4">
      <c r="B485" s="121" t="s">
        <v>108</v>
      </c>
      <c r="C485" s="121"/>
      <c r="D485" s="122">
        <v>41117</v>
      </c>
      <c r="E485" s="121"/>
      <c r="F485" s="121" t="s">
        <v>689</v>
      </c>
      <c r="G485" s="121"/>
      <c r="H485" s="121" t="s">
        <v>686</v>
      </c>
      <c r="I485" s="121"/>
      <c r="J485" s="121"/>
      <c r="K485" s="121"/>
      <c r="L485" s="121" t="s">
        <v>675</v>
      </c>
      <c r="M485" s="121"/>
      <c r="N485" s="123"/>
      <c r="O485" s="121"/>
      <c r="P485" s="121" t="s">
        <v>113</v>
      </c>
      <c r="Q485" s="121"/>
      <c r="R485" s="124">
        <v>15.6</v>
      </c>
      <c r="S485" s="121"/>
      <c r="T485" s="124">
        <f t="shared" si="8"/>
        <v>2414.7399999999998</v>
      </c>
    </row>
    <row r="486" spans="2:20" x14ac:dyDescent="0.4">
      <c r="B486" s="121" t="s">
        <v>108</v>
      </c>
      <c r="C486" s="121"/>
      <c r="D486" s="122">
        <v>41117</v>
      </c>
      <c r="E486" s="121"/>
      <c r="F486" s="121" t="s">
        <v>689</v>
      </c>
      <c r="G486" s="121"/>
      <c r="H486" s="121" t="s">
        <v>686</v>
      </c>
      <c r="I486" s="121"/>
      <c r="J486" s="121"/>
      <c r="K486" s="121"/>
      <c r="L486" s="121" t="s">
        <v>676</v>
      </c>
      <c r="M486" s="121"/>
      <c r="N486" s="123"/>
      <c r="O486" s="121"/>
      <c r="P486" s="121" t="s">
        <v>113</v>
      </c>
      <c r="Q486" s="121"/>
      <c r="R486" s="124">
        <v>25.35</v>
      </c>
      <c r="S486" s="121"/>
      <c r="T486" s="124">
        <f t="shared" si="8"/>
        <v>2440.09</v>
      </c>
    </row>
    <row r="487" spans="2:20" x14ac:dyDescent="0.4">
      <c r="B487" s="121" t="s">
        <v>108</v>
      </c>
      <c r="C487" s="121"/>
      <c r="D487" s="122">
        <v>41117</v>
      </c>
      <c r="E487" s="121"/>
      <c r="F487" s="121" t="s">
        <v>689</v>
      </c>
      <c r="G487" s="121"/>
      <c r="H487" s="121" t="s">
        <v>686</v>
      </c>
      <c r="I487" s="121"/>
      <c r="J487" s="121"/>
      <c r="K487" s="121"/>
      <c r="L487" s="121" t="s">
        <v>677</v>
      </c>
      <c r="M487" s="121"/>
      <c r="N487" s="123"/>
      <c r="O487" s="121"/>
      <c r="P487" s="121" t="s">
        <v>113</v>
      </c>
      <c r="Q487" s="121"/>
      <c r="R487" s="124">
        <v>27.3</v>
      </c>
      <c r="S487" s="121"/>
      <c r="T487" s="124">
        <f t="shared" si="8"/>
        <v>2467.39</v>
      </c>
    </row>
    <row r="488" spans="2:20" x14ac:dyDescent="0.4">
      <c r="B488" s="121" t="s">
        <v>108</v>
      </c>
      <c r="C488" s="121"/>
      <c r="D488" s="122">
        <v>41117</v>
      </c>
      <c r="E488" s="121"/>
      <c r="F488" s="121" t="s">
        <v>689</v>
      </c>
      <c r="G488" s="121"/>
      <c r="H488" s="121" t="s">
        <v>686</v>
      </c>
      <c r="I488" s="121"/>
      <c r="J488" s="121"/>
      <c r="K488" s="121"/>
      <c r="L488" s="121" t="s">
        <v>149</v>
      </c>
      <c r="M488" s="121"/>
      <c r="N488" s="123"/>
      <c r="O488" s="121"/>
      <c r="P488" s="121" t="s">
        <v>113</v>
      </c>
      <c r="Q488" s="121"/>
      <c r="R488" s="124">
        <v>23.4</v>
      </c>
      <c r="S488" s="121"/>
      <c r="T488" s="124">
        <f t="shared" si="8"/>
        <v>2490.79</v>
      </c>
    </row>
    <row r="489" spans="2:20" x14ac:dyDescent="0.4">
      <c r="B489" s="121" t="s">
        <v>108</v>
      </c>
      <c r="C489" s="121"/>
      <c r="D489" s="122">
        <v>41117</v>
      </c>
      <c r="E489" s="121"/>
      <c r="F489" s="121" t="s">
        <v>689</v>
      </c>
      <c r="G489" s="121"/>
      <c r="H489" s="121" t="s">
        <v>686</v>
      </c>
      <c r="I489" s="121"/>
      <c r="J489" s="121"/>
      <c r="K489" s="121"/>
      <c r="L489" s="121" t="s">
        <v>678</v>
      </c>
      <c r="M489" s="121"/>
      <c r="N489" s="123"/>
      <c r="O489" s="121"/>
      <c r="P489" s="121" t="s">
        <v>113</v>
      </c>
      <c r="Q489" s="121"/>
      <c r="R489" s="124">
        <v>3.9</v>
      </c>
      <c r="S489" s="121"/>
      <c r="T489" s="124">
        <f t="shared" si="8"/>
        <v>2494.69</v>
      </c>
    </row>
    <row r="490" spans="2:20" x14ac:dyDescent="0.4">
      <c r="B490" s="121" t="s">
        <v>108</v>
      </c>
      <c r="C490" s="121"/>
      <c r="D490" s="122">
        <v>41117</v>
      </c>
      <c r="E490" s="121"/>
      <c r="F490" s="121" t="s">
        <v>689</v>
      </c>
      <c r="G490" s="121"/>
      <c r="H490" s="121" t="s">
        <v>686</v>
      </c>
      <c r="I490" s="121"/>
      <c r="J490" s="121"/>
      <c r="K490" s="121"/>
      <c r="L490" s="121" t="s">
        <v>679</v>
      </c>
      <c r="M490" s="121"/>
      <c r="N490" s="123"/>
      <c r="O490" s="121"/>
      <c r="P490" s="121" t="s">
        <v>113</v>
      </c>
      <c r="Q490" s="121"/>
      <c r="R490" s="124">
        <v>35.1</v>
      </c>
      <c r="S490" s="121"/>
      <c r="T490" s="124">
        <f t="shared" si="8"/>
        <v>2529.79</v>
      </c>
    </row>
    <row r="491" spans="2:20" x14ac:dyDescent="0.4">
      <c r="B491" s="121" t="s">
        <v>108</v>
      </c>
      <c r="C491" s="121"/>
      <c r="D491" s="122">
        <v>41117</v>
      </c>
      <c r="E491" s="121"/>
      <c r="F491" s="121" t="s">
        <v>689</v>
      </c>
      <c r="G491" s="121"/>
      <c r="H491" s="121" t="s">
        <v>686</v>
      </c>
      <c r="I491" s="121"/>
      <c r="J491" s="121"/>
      <c r="K491" s="121"/>
      <c r="L491" s="121" t="s">
        <v>687</v>
      </c>
      <c r="M491" s="121"/>
      <c r="N491" s="123"/>
      <c r="O491" s="121"/>
      <c r="P491" s="121" t="s">
        <v>113</v>
      </c>
      <c r="Q491" s="121"/>
      <c r="R491" s="124">
        <v>21.45</v>
      </c>
      <c r="S491" s="121"/>
      <c r="T491" s="124">
        <f t="shared" si="8"/>
        <v>2551.2399999999998</v>
      </c>
    </row>
    <row r="492" spans="2:20" x14ac:dyDescent="0.4">
      <c r="B492" s="121" t="s">
        <v>135</v>
      </c>
      <c r="C492" s="121"/>
      <c r="D492" s="122">
        <v>41121</v>
      </c>
      <c r="E492" s="121"/>
      <c r="F492" s="121" t="s">
        <v>690</v>
      </c>
      <c r="G492" s="121"/>
      <c r="H492" s="121"/>
      <c r="I492" s="121"/>
      <c r="J492" s="121" t="s">
        <v>691</v>
      </c>
      <c r="K492" s="121"/>
      <c r="L492" s="121" t="s">
        <v>679</v>
      </c>
      <c r="M492" s="121"/>
      <c r="N492" s="123"/>
      <c r="O492" s="121"/>
      <c r="P492" s="121" t="s">
        <v>682</v>
      </c>
      <c r="Q492" s="121"/>
      <c r="R492" s="124">
        <v>-134.87</v>
      </c>
      <c r="S492" s="121"/>
      <c r="T492" s="124">
        <f t="shared" si="8"/>
        <v>2416.37</v>
      </c>
    </row>
    <row r="493" spans="2:20" x14ac:dyDescent="0.4">
      <c r="B493" s="121" t="s">
        <v>135</v>
      </c>
      <c r="C493" s="121"/>
      <c r="D493" s="122">
        <v>41121</v>
      </c>
      <c r="E493" s="121"/>
      <c r="F493" s="121" t="s">
        <v>692</v>
      </c>
      <c r="G493" s="121"/>
      <c r="H493" s="121"/>
      <c r="I493" s="121"/>
      <c r="J493" s="121" t="s">
        <v>693</v>
      </c>
      <c r="K493" s="121"/>
      <c r="L493" s="121" t="s">
        <v>149</v>
      </c>
      <c r="M493" s="121"/>
      <c r="N493" s="123"/>
      <c r="O493" s="121"/>
      <c r="P493" s="121" t="s">
        <v>138</v>
      </c>
      <c r="Q493" s="121"/>
      <c r="R493" s="124">
        <v>-89.91</v>
      </c>
      <c r="S493" s="121"/>
      <c r="T493" s="124">
        <f t="shared" si="8"/>
        <v>2326.46</v>
      </c>
    </row>
    <row r="494" spans="2:20" x14ac:dyDescent="0.4">
      <c r="B494" s="121" t="s">
        <v>108</v>
      </c>
      <c r="C494" s="121"/>
      <c r="D494" s="122">
        <v>41222</v>
      </c>
      <c r="E494" s="121"/>
      <c r="F494" s="121" t="s">
        <v>694</v>
      </c>
      <c r="G494" s="121"/>
      <c r="H494" s="121" t="s">
        <v>597</v>
      </c>
      <c r="I494" s="121"/>
      <c r="J494" s="121" t="s">
        <v>694</v>
      </c>
      <c r="K494" s="121"/>
      <c r="L494" s="121" t="s">
        <v>674</v>
      </c>
      <c r="M494" s="121"/>
      <c r="N494" s="123"/>
      <c r="O494" s="121"/>
      <c r="P494" s="121" t="s">
        <v>113</v>
      </c>
      <c r="Q494" s="121"/>
      <c r="R494" s="124">
        <v>318.85000000000002</v>
      </c>
      <c r="S494" s="121"/>
      <c r="T494" s="124">
        <f t="shared" si="8"/>
        <v>2645.31</v>
      </c>
    </row>
    <row r="495" spans="2:20" x14ac:dyDescent="0.4">
      <c r="B495" s="121" t="s">
        <v>108</v>
      </c>
      <c r="C495" s="121"/>
      <c r="D495" s="122">
        <v>41222</v>
      </c>
      <c r="E495" s="121"/>
      <c r="F495" s="121" t="s">
        <v>694</v>
      </c>
      <c r="G495" s="121"/>
      <c r="H495" s="121" t="s">
        <v>597</v>
      </c>
      <c r="I495" s="121"/>
      <c r="J495" s="121" t="s">
        <v>694</v>
      </c>
      <c r="K495" s="121"/>
      <c r="L495" s="121" t="s">
        <v>675</v>
      </c>
      <c r="M495" s="121"/>
      <c r="N495" s="123"/>
      <c r="O495" s="121"/>
      <c r="P495" s="121" t="s">
        <v>113</v>
      </c>
      <c r="Q495" s="121"/>
      <c r="R495" s="124">
        <v>115.95</v>
      </c>
      <c r="S495" s="121"/>
      <c r="T495" s="124">
        <f t="shared" si="8"/>
        <v>2761.26</v>
      </c>
    </row>
    <row r="496" spans="2:20" x14ac:dyDescent="0.4">
      <c r="B496" s="121" t="s">
        <v>108</v>
      </c>
      <c r="C496" s="121"/>
      <c r="D496" s="122">
        <v>41222</v>
      </c>
      <c r="E496" s="121"/>
      <c r="F496" s="121" t="s">
        <v>694</v>
      </c>
      <c r="G496" s="121"/>
      <c r="H496" s="121" t="s">
        <v>597</v>
      </c>
      <c r="I496" s="121"/>
      <c r="J496" s="121" t="s">
        <v>694</v>
      </c>
      <c r="K496" s="121"/>
      <c r="L496" s="121" t="s">
        <v>676</v>
      </c>
      <c r="M496" s="121"/>
      <c r="N496" s="123"/>
      <c r="O496" s="121"/>
      <c r="P496" s="121" t="s">
        <v>113</v>
      </c>
      <c r="Q496" s="121"/>
      <c r="R496" s="124">
        <v>188.42</v>
      </c>
      <c r="S496" s="121"/>
      <c r="T496" s="124">
        <f t="shared" si="8"/>
        <v>2949.68</v>
      </c>
    </row>
    <row r="497" spans="2:20" x14ac:dyDescent="0.4">
      <c r="B497" s="121" t="s">
        <v>108</v>
      </c>
      <c r="C497" s="121"/>
      <c r="D497" s="122">
        <v>41222</v>
      </c>
      <c r="E497" s="121"/>
      <c r="F497" s="121" t="s">
        <v>694</v>
      </c>
      <c r="G497" s="121"/>
      <c r="H497" s="121" t="s">
        <v>597</v>
      </c>
      <c r="I497" s="121"/>
      <c r="J497" s="121" t="s">
        <v>694</v>
      </c>
      <c r="K497" s="121"/>
      <c r="L497" s="121" t="s">
        <v>677</v>
      </c>
      <c r="M497" s="121"/>
      <c r="N497" s="123"/>
      <c r="O497" s="121"/>
      <c r="P497" s="121" t="s">
        <v>113</v>
      </c>
      <c r="Q497" s="121"/>
      <c r="R497" s="124">
        <v>202.91</v>
      </c>
      <c r="S497" s="121"/>
      <c r="T497" s="124">
        <f t="shared" si="8"/>
        <v>3152.59</v>
      </c>
    </row>
    <row r="498" spans="2:20" x14ac:dyDescent="0.4">
      <c r="B498" s="121" t="s">
        <v>108</v>
      </c>
      <c r="C498" s="121"/>
      <c r="D498" s="122">
        <v>41222</v>
      </c>
      <c r="E498" s="121"/>
      <c r="F498" s="121" t="s">
        <v>694</v>
      </c>
      <c r="G498" s="121"/>
      <c r="H498" s="121" t="s">
        <v>597</v>
      </c>
      <c r="I498" s="121"/>
      <c r="J498" s="121" t="s">
        <v>694</v>
      </c>
      <c r="K498" s="121"/>
      <c r="L498" s="121" t="s">
        <v>149</v>
      </c>
      <c r="M498" s="121"/>
      <c r="N498" s="123"/>
      <c r="O498" s="121"/>
      <c r="P498" s="121" t="s">
        <v>113</v>
      </c>
      <c r="Q498" s="121"/>
      <c r="R498" s="124">
        <v>173.92</v>
      </c>
      <c r="S498" s="121"/>
      <c r="T498" s="124">
        <f t="shared" si="8"/>
        <v>3326.51</v>
      </c>
    </row>
    <row r="499" spans="2:20" x14ac:dyDescent="0.4">
      <c r="B499" s="121" t="s">
        <v>108</v>
      </c>
      <c r="C499" s="121"/>
      <c r="D499" s="122">
        <v>41222</v>
      </c>
      <c r="E499" s="121"/>
      <c r="F499" s="121" t="s">
        <v>694</v>
      </c>
      <c r="G499" s="121"/>
      <c r="H499" s="121" t="s">
        <v>597</v>
      </c>
      <c r="I499" s="121"/>
      <c r="J499" s="121" t="s">
        <v>694</v>
      </c>
      <c r="K499" s="121"/>
      <c r="L499" s="121" t="s">
        <v>678</v>
      </c>
      <c r="M499" s="121"/>
      <c r="N499" s="123"/>
      <c r="O499" s="121"/>
      <c r="P499" s="121" t="s">
        <v>113</v>
      </c>
      <c r="Q499" s="121"/>
      <c r="R499" s="124">
        <v>28.99</v>
      </c>
      <c r="S499" s="121"/>
      <c r="T499" s="124">
        <f t="shared" si="8"/>
        <v>3355.5</v>
      </c>
    </row>
    <row r="500" spans="2:20" x14ac:dyDescent="0.4">
      <c r="B500" s="121" t="s">
        <v>108</v>
      </c>
      <c r="C500" s="121"/>
      <c r="D500" s="122">
        <v>41222</v>
      </c>
      <c r="E500" s="121"/>
      <c r="F500" s="121" t="s">
        <v>694</v>
      </c>
      <c r="G500" s="121"/>
      <c r="H500" s="121" t="s">
        <v>597</v>
      </c>
      <c r="I500" s="121"/>
      <c r="J500" s="121" t="s">
        <v>694</v>
      </c>
      <c r="K500" s="121"/>
      <c r="L500" s="121" t="s">
        <v>679</v>
      </c>
      <c r="M500" s="121"/>
      <c r="N500" s="123"/>
      <c r="O500" s="121"/>
      <c r="P500" s="121" t="s">
        <v>113</v>
      </c>
      <c r="Q500" s="121"/>
      <c r="R500" s="124">
        <v>260.88</v>
      </c>
      <c r="S500" s="121"/>
      <c r="T500" s="124">
        <f t="shared" si="8"/>
        <v>3616.38</v>
      </c>
    </row>
    <row r="501" spans="2:20" x14ac:dyDescent="0.4">
      <c r="B501" s="121" t="s">
        <v>108</v>
      </c>
      <c r="C501" s="121"/>
      <c r="D501" s="122">
        <v>41222</v>
      </c>
      <c r="E501" s="121"/>
      <c r="F501" s="121" t="s">
        <v>694</v>
      </c>
      <c r="G501" s="121"/>
      <c r="H501" s="121" t="s">
        <v>597</v>
      </c>
      <c r="I501" s="121"/>
      <c r="J501" s="121" t="s">
        <v>694</v>
      </c>
      <c r="K501" s="121"/>
      <c r="L501" s="121" t="s">
        <v>687</v>
      </c>
      <c r="M501" s="121"/>
      <c r="N501" s="123"/>
      <c r="O501" s="121"/>
      <c r="P501" s="121" t="s">
        <v>113</v>
      </c>
      <c r="Q501" s="121"/>
      <c r="R501" s="124">
        <v>159.43</v>
      </c>
      <c r="S501" s="121"/>
      <c r="T501" s="124">
        <f t="shared" si="8"/>
        <v>3775.81</v>
      </c>
    </row>
    <row r="502" spans="2:20" x14ac:dyDescent="0.4">
      <c r="B502" s="121" t="s">
        <v>108</v>
      </c>
      <c r="C502" s="121"/>
      <c r="D502" s="122">
        <v>41225</v>
      </c>
      <c r="E502" s="121"/>
      <c r="F502" s="121" t="s">
        <v>695</v>
      </c>
      <c r="G502" s="121"/>
      <c r="H502" s="121" t="s">
        <v>696</v>
      </c>
      <c r="I502" s="121"/>
      <c r="J502" s="121" t="s">
        <v>695</v>
      </c>
      <c r="K502" s="121"/>
      <c r="L502" s="121" t="s">
        <v>687</v>
      </c>
      <c r="M502" s="121"/>
      <c r="N502" s="123"/>
      <c r="O502" s="121"/>
      <c r="P502" s="121" t="s">
        <v>113</v>
      </c>
      <c r="Q502" s="121"/>
      <c r="R502" s="124">
        <v>94</v>
      </c>
      <c r="S502" s="121"/>
      <c r="T502" s="124">
        <f t="shared" si="8"/>
        <v>3869.81</v>
      </c>
    </row>
    <row r="503" spans="2:20" x14ac:dyDescent="0.4">
      <c r="B503" s="121" t="s">
        <v>135</v>
      </c>
      <c r="C503" s="121"/>
      <c r="D503" s="122">
        <v>41243</v>
      </c>
      <c r="E503" s="121"/>
      <c r="F503" s="121" t="s">
        <v>240</v>
      </c>
      <c r="G503" s="121"/>
      <c r="H503" s="121"/>
      <c r="I503" s="121"/>
      <c r="J503" s="121" t="s">
        <v>697</v>
      </c>
      <c r="K503" s="121"/>
      <c r="L503" s="121" t="s">
        <v>149</v>
      </c>
      <c r="M503" s="121"/>
      <c r="N503" s="123"/>
      <c r="O503" s="121"/>
      <c r="P503" s="121" t="s">
        <v>138</v>
      </c>
      <c r="Q503" s="121"/>
      <c r="R503" s="124">
        <v>-173.92</v>
      </c>
      <c r="S503" s="121"/>
      <c r="T503" s="124">
        <f t="shared" si="8"/>
        <v>3695.89</v>
      </c>
    </row>
    <row r="504" spans="2:20" x14ac:dyDescent="0.4">
      <c r="B504" s="121" t="s">
        <v>135</v>
      </c>
      <c r="C504" s="121"/>
      <c r="D504" s="122">
        <v>41243</v>
      </c>
      <c r="E504" s="121"/>
      <c r="F504" s="121" t="s">
        <v>698</v>
      </c>
      <c r="G504" s="121"/>
      <c r="H504" s="121"/>
      <c r="I504" s="121"/>
      <c r="J504" s="121" t="s">
        <v>699</v>
      </c>
      <c r="K504" s="121"/>
      <c r="L504" s="121" t="s">
        <v>679</v>
      </c>
      <c r="M504" s="121"/>
      <c r="N504" s="123"/>
      <c r="O504" s="121"/>
      <c r="P504" s="121" t="s">
        <v>682</v>
      </c>
      <c r="Q504" s="121"/>
      <c r="R504" s="124">
        <v>-260.88</v>
      </c>
      <c r="S504" s="121"/>
      <c r="T504" s="124">
        <f t="shared" si="8"/>
        <v>3435.01</v>
      </c>
    </row>
    <row r="505" spans="2:20" x14ac:dyDescent="0.4">
      <c r="B505" s="121" t="s">
        <v>108</v>
      </c>
      <c r="C505" s="121"/>
      <c r="D505" s="122">
        <v>41244</v>
      </c>
      <c r="E505" s="121"/>
      <c r="F505" s="121" t="s">
        <v>700</v>
      </c>
      <c r="G505" s="121"/>
      <c r="H505" s="121" t="s">
        <v>701</v>
      </c>
      <c r="I505" s="121"/>
      <c r="J505" s="121" t="s">
        <v>700</v>
      </c>
      <c r="K505" s="121"/>
      <c r="L505" s="121" t="s">
        <v>674</v>
      </c>
      <c r="M505" s="121"/>
      <c r="N505" s="123"/>
      <c r="O505" s="121"/>
      <c r="P505" s="121" t="s">
        <v>113</v>
      </c>
      <c r="Q505" s="121"/>
      <c r="R505" s="124">
        <v>173.24</v>
      </c>
      <c r="S505" s="121"/>
      <c r="T505" s="124">
        <f t="shared" si="8"/>
        <v>3608.25</v>
      </c>
    </row>
    <row r="506" spans="2:20" x14ac:dyDescent="0.4">
      <c r="B506" s="121" t="s">
        <v>108</v>
      </c>
      <c r="C506" s="121"/>
      <c r="D506" s="122">
        <v>41244</v>
      </c>
      <c r="E506" s="121"/>
      <c r="F506" s="121" t="s">
        <v>700</v>
      </c>
      <c r="G506" s="121"/>
      <c r="H506" s="121" t="s">
        <v>701</v>
      </c>
      <c r="I506" s="121"/>
      <c r="J506" s="121" t="s">
        <v>700</v>
      </c>
      <c r="K506" s="121"/>
      <c r="L506" s="121" t="s">
        <v>675</v>
      </c>
      <c r="M506" s="121"/>
      <c r="N506" s="123"/>
      <c r="O506" s="121"/>
      <c r="P506" s="121" t="s">
        <v>113</v>
      </c>
      <c r="Q506" s="121"/>
      <c r="R506" s="124">
        <v>63</v>
      </c>
      <c r="S506" s="121"/>
      <c r="T506" s="124">
        <f t="shared" si="8"/>
        <v>3671.25</v>
      </c>
    </row>
    <row r="507" spans="2:20" x14ac:dyDescent="0.4">
      <c r="B507" s="121" t="s">
        <v>108</v>
      </c>
      <c r="C507" s="121"/>
      <c r="D507" s="122">
        <v>41244</v>
      </c>
      <c r="E507" s="121"/>
      <c r="F507" s="121" t="s">
        <v>700</v>
      </c>
      <c r="G507" s="121"/>
      <c r="H507" s="121" t="s">
        <v>701</v>
      </c>
      <c r="I507" s="121"/>
      <c r="J507" s="121" t="s">
        <v>700</v>
      </c>
      <c r="K507" s="121"/>
      <c r="L507" s="121" t="s">
        <v>676</v>
      </c>
      <c r="M507" s="121"/>
      <c r="N507" s="123"/>
      <c r="O507" s="121"/>
      <c r="P507" s="121" t="s">
        <v>113</v>
      </c>
      <c r="Q507" s="121"/>
      <c r="R507" s="124">
        <v>102.37</v>
      </c>
      <c r="S507" s="121"/>
      <c r="T507" s="124">
        <f t="shared" si="8"/>
        <v>3773.62</v>
      </c>
    </row>
    <row r="508" spans="2:20" x14ac:dyDescent="0.4">
      <c r="B508" s="121" t="s">
        <v>108</v>
      </c>
      <c r="C508" s="121"/>
      <c r="D508" s="122">
        <v>41244</v>
      </c>
      <c r="E508" s="121"/>
      <c r="F508" s="121" t="s">
        <v>700</v>
      </c>
      <c r="G508" s="121"/>
      <c r="H508" s="121" t="s">
        <v>701</v>
      </c>
      <c r="I508" s="121"/>
      <c r="J508" s="121" t="s">
        <v>700</v>
      </c>
      <c r="K508" s="121"/>
      <c r="L508" s="121" t="s">
        <v>677</v>
      </c>
      <c r="M508" s="121"/>
      <c r="N508" s="123"/>
      <c r="O508" s="121"/>
      <c r="P508" s="121" t="s">
        <v>113</v>
      </c>
      <c r="Q508" s="121"/>
      <c r="R508" s="124">
        <v>110.24</v>
      </c>
      <c r="S508" s="121"/>
      <c r="T508" s="124">
        <f t="shared" si="8"/>
        <v>3883.86</v>
      </c>
    </row>
    <row r="509" spans="2:20" x14ac:dyDescent="0.4">
      <c r="B509" s="121" t="s">
        <v>108</v>
      </c>
      <c r="C509" s="121"/>
      <c r="D509" s="122">
        <v>41244</v>
      </c>
      <c r="E509" s="121"/>
      <c r="F509" s="121" t="s">
        <v>700</v>
      </c>
      <c r="G509" s="121"/>
      <c r="H509" s="121" t="s">
        <v>701</v>
      </c>
      <c r="I509" s="121"/>
      <c r="J509" s="121" t="s">
        <v>700</v>
      </c>
      <c r="K509" s="121"/>
      <c r="L509" s="121" t="s">
        <v>149</v>
      </c>
      <c r="M509" s="121"/>
      <c r="N509" s="123"/>
      <c r="O509" s="121"/>
      <c r="P509" s="121" t="s">
        <v>113</v>
      </c>
      <c r="Q509" s="121"/>
      <c r="R509" s="124">
        <v>94.5</v>
      </c>
      <c r="S509" s="121"/>
      <c r="T509" s="124">
        <f t="shared" si="8"/>
        <v>3978.36</v>
      </c>
    </row>
    <row r="510" spans="2:20" x14ac:dyDescent="0.4">
      <c r="B510" s="121" t="s">
        <v>108</v>
      </c>
      <c r="C510" s="121"/>
      <c r="D510" s="122">
        <v>41244</v>
      </c>
      <c r="E510" s="121"/>
      <c r="F510" s="121" t="s">
        <v>700</v>
      </c>
      <c r="G510" s="121"/>
      <c r="H510" s="121" t="s">
        <v>701</v>
      </c>
      <c r="I510" s="121"/>
      <c r="J510" s="121" t="s">
        <v>700</v>
      </c>
      <c r="K510" s="121"/>
      <c r="L510" s="121" t="s">
        <v>678</v>
      </c>
      <c r="M510" s="121"/>
      <c r="N510" s="123"/>
      <c r="O510" s="121"/>
      <c r="P510" s="121" t="s">
        <v>113</v>
      </c>
      <c r="Q510" s="121"/>
      <c r="R510" s="124">
        <v>15.75</v>
      </c>
      <c r="S510" s="121"/>
      <c r="T510" s="124">
        <f t="shared" si="8"/>
        <v>3994.11</v>
      </c>
    </row>
    <row r="511" spans="2:20" x14ac:dyDescent="0.4">
      <c r="B511" s="121" t="s">
        <v>108</v>
      </c>
      <c r="C511" s="121"/>
      <c r="D511" s="122">
        <v>41244</v>
      </c>
      <c r="E511" s="121"/>
      <c r="F511" s="121" t="s">
        <v>700</v>
      </c>
      <c r="G511" s="121"/>
      <c r="H511" s="121" t="s">
        <v>701</v>
      </c>
      <c r="I511" s="121"/>
      <c r="J511" s="121" t="s">
        <v>700</v>
      </c>
      <c r="K511" s="121"/>
      <c r="L511" s="121" t="s">
        <v>679</v>
      </c>
      <c r="M511" s="121"/>
      <c r="N511" s="123"/>
      <c r="O511" s="121"/>
      <c r="P511" s="121" t="s">
        <v>113</v>
      </c>
      <c r="Q511" s="121"/>
      <c r="R511" s="124">
        <v>141.74</v>
      </c>
      <c r="S511" s="121"/>
      <c r="T511" s="124">
        <f t="shared" si="8"/>
        <v>4135.8500000000004</v>
      </c>
    </row>
    <row r="512" spans="2:20" x14ac:dyDescent="0.4">
      <c r="B512" s="121" t="s">
        <v>108</v>
      </c>
      <c r="C512" s="121"/>
      <c r="D512" s="122">
        <v>41244</v>
      </c>
      <c r="E512" s="121"/>
      <c r="F512" s="121" t="s">
        <v>700</v>
      </c>
      <c r="G512" s="121"/>
      <c r="H512" s="121" t="s">
        <v>701</v>
      </c>
      <c r="I512" s="121"/>
      <c r="J512" s="121" t="s">
        <v>700</v>
      </c>
      <c r="K512" s="121"/>
      <c r="L512" s="121" t="s">
        <v>687</v>
      </c>
      <c r="M512" s="121"/>
      <c r="N512" s="123"/>
      <c r="O512" s="121"/>
      <c r="P512" s="121" t="s">
        <v>113</v>
      </c>
      <c r="Q512" s="121"/>
      <c r="R512" s="124">
        <v>86.62</v>
      </c>
      <c r="S512" s="121"/>
      <c r="T512" s="124">
        <f t="shared" si="8"/>
        <v>4222.47</v>
      </c>
    </row>
    <row r="513" spans="2:20" x14ac:dyDescent="0.4">
      <c r="B513" s="121" t="s">
        <v>135</v>
      </c>
      <c r="C513" s="121"/>
      <c r="D513" s="122">
        <v>41274</v>
      </c>
      <c r="E513" s="121"/>
      <c r="F513" s="121" t="s">
        <v>702</v>
      </c>
      <c r="G513" s="121"/>
      <c r="H513" s="121"/>
      <c r="I513" s="121"/>
      <c r="J513" s="121" t="s">
        <v>703</v>
      </c>
      <c r="K513" s="121"/>
      <c r="L513" s="121" t="s">
        <v>149</v>
      </c>
      <c r="M513" s="121"/>
      <c r="N513" s="123"/>
      <c r="O513" s="121"/>
      <c r="P513" s="121" t="s">
        <v>138</v>
      </c>
      <c r="Q513" s="121"/>
      <c r="R513" s="124">
        <v>-94.5</v>
      </c>
      <c r="S513" s="121"/>
      <c r="T513" s="124">
        <f t="shared" si="8"/>
        <v>4127.97</v>
      </c>
    </row>
    <row r="514" spans="2:20" x14ac:dyDescent="0.4">
      <c r="B514" s="121" t="s">
        <v>135</v>
      </c>
      <c r="C514" s="121"/>
      <c r="D514" s="122">
        <v>41274</v>
      </c>
      <c r="E514" s="121"/>
      <c r="F514" s="121" t="s">
        <v>212</v>
      </c>
      <c r="G514" s="121"/>
      <c r="H514" s="121"/>
      <c r="I514" s="121"/>
      <c r="J514" s="121" t="s">
        <v>704</v>
      </c>
      <c r="K514" s="121"/>
      <c r="L514" s="121" t="s">
        <v>679</v>
      </c>
      <c r="M514" s="121"/>
      <c r="N514" s="123"/>
      <c r="O514" s="121"/>
      <c r="P514" s="121" t="s">
        <v>682</v>
      </c>
      <c r="Q514" s="121"/>
      <c r="R514" s="124">
        <v>-141.74</v>
      </c>
      <c r="S514" s="121"/>
      <c r="T514" s="124">
        <f t="shared" si="8"/>
        <v>3986.23</v>
      </c>
    </row>
    <row r="515" spans="2:20" x14ac:dyDescent="0.4">
      <c r="B515" s="121" t="s">
        <v>108</v>
      </c>
      <c r="C515" s="121"/>
      <c r="D515" s="122">
        <v>41295</v>
      </c>
      <c r="E515" s="121"/>
      <c r="F515" s="121" t="s">
        <v>705</v>
      </c>
      <c r="G515" s="121"/>
      <c r="H515" s="121" t="s">
        <v>701</v>
      </c>
      <c r="I515" s="121"/>
      <c r="J515" s="121" t="s">
        <v>705</v>
      </c>
      <c r="K515" s="121"/>
      <c r="L515" s="121"/>
      <c r="M515" s="121"/>
      <c r="N515" s="123"/>
      <c r="O515" s="121"/>
      <c r="P515" s="121" t="s">
        <v>113</v>
      </c>
      <c r="Q515" s="121"/>
      <c r="R515" s="124">
        <v>374.98</v>
      </c>
      <c r="S515" s="121"/>
      <c r="T515" s="124">
        <f t="shared" si="8"/>
        <v>4361.21</v>
      </c>
    </row>
    <row r="516" spans="2:20" x14ac:dyDescent="0.4">
      <c r="B516" s="121" t="s">
        <v>108</v>
      </c>
      <c r="C516" s="121"/>
      <c r="D516" s="122">
        <v>41298</v>
      </c>
      <c r="E516" s="121"/>
      <c r="F516" s="121" t="s">
        <v>706</v>
      </c>
      <c r="G516" s="121"/>
      <c r="H516" s="121" t="s">
        <v>701</v>
      </c>
      <c r="I516" s="121"/>
      <c r="J516" s="121"/>
      <c r="K516" s="121"/>
      <c r="L516" s="121"/>
      <c r="M516" s="121"/>
      <c r="N516" s="123"/>
      <c r="O516" s="121"/>
      <c r="P516" s="121" t="s">
        <v>113</v>
      </c>
      <c r="Q516" s="121"/>
      <c r="R516" s="124">
        <v>403.68</v>
      </c>
      <c r="S516" s="121"/>
      <c r="T516" s="124">
        <f t="shared" si="8"/>
        <v>4764.8900000000003</v>
      </c>
    </row>
    <row r="517" spans="2:20" x14ac:dyDescent="0.4">
      <c r="B517" s="121" t="s">
        <v>108</v>
      </c>
      <c r="C517" s="121"/>
      <c r="D517" s="122">
        <v>41298</v>
      </c>
      <c r="E517" s="121"/>
      <c r="F517" s="121" t="s">
        <v>706</v>
      </c>
      <c r="G517" s="121"/>
      <c r="H517" s="121" t="s">
        <v>701</v>
      </c>
      <c r="I517" s="121"/>
      <c r="J517" s="121"/>
      <c r="K517" s="121"/>
      <c r="L517" s="121" t="s">
        <v>149</v>
      </c>
      <c r="M517" s="121"/>
      <c r="N517" s="123"/>
      <c r="O517" s="121"/>
      <c r="P517" s="121" t="s">
        <v>113</v>
      </c>
      <c r="Q517" s="121"/>
      <c r="R517" s="124">
        <v>55.05</v>
      </c>
      <c r="S517" s="121"/>
      <c r="T517" s="124">
        <f t="shared" si="8"/>
        <v>4819.9399999999996</v>
      </c>
    </row>
    <row r="518" spans="2:20" x14ac:dyDescent="0.4">
      <c r="B518" s="121" t="s">
        <v>135</v>
      </c>
      <c r="C518" s="121"/>
      <c r="D518" s="122">
        <v>41305</v>
      </c>
      <c r="E518" s="121"/>
      <c r="F518" s="121" t="s">
        <v>242</v>
      </c>
      <c r="G518" s="121"/>
      <c r="H518" s="121"/>
      <c r="I518" s="121"/>
      <c r="J518" s="121" t="s">
        <v>707</v>
      </c>
      <c r="K518" s="121"/>
      <c r="L518" s="121" t="s">
        <v>149</v>
      </c>
      <c r="M518" s="121"/>
      <c r="N518" s="123"/>
      <c r="O518" s="121"/>
      <c r="P518" s="121" t="s">
        <v>138</v>
      </c>
      <c r="Q518" s="121"/>
      <c r="R518" s="124">
        <v>-55.05</v>
      </c>
      <c r="S518" s="121"/>
      <c r="T518" s="124">
        <f t="shared" si="8"/>
        <v>4764.8900000000003</v>
      </c>
    </row>
    <row r="519" spans="2:20" x14ac:dyDescent="0.4">
      <c r="B519" s="121" t="s">
        <v>108</v>
      </c>
      <c r="C519" s="121"/>
      <c r="D519" s="122">
        <v>41323</v>
      </c>
      <c r="E519" s="121"/>
      <c r="F519" s="121" t="s">
        <v>708</v>
      </c>
      <c r="G519" s="121"/>
      <c r="H519" s="121" t="s">
        <v>701</v>
      </c>
      <c r="I519" s="121"/>
      <c r="J519" s="121" t="s">
        <v>708</v>
      </c>
      <c r="K519" s="121"/>
      <c r="L519" s="121"/>
      <c r="M519" s="121"/>
      <c r="N519" s="123"/>
      <c r="O519" s="121"/>
      <c r="P519" s="121" t="s">
        <v>113</v>
      </c>
      <c r="Q519" s="121"/>
      <c r="R519" s="124">
        <v>362.16</v>
      </c>
      <c r="S519" s="121"/>
      <c r="T519" s="124">
        <f t="shared" si="8"/>
        <v>5127.05</v>
      </c>
    </row>
    <row r="520" spans="2:20" x14ac:dyDescent="0.4">
      <c r="B520" s="121" t="s">
        <v>108</v>
      </c>
      <c r="C520" s="121"/>
      <c r="D520" s="122">
        <v>41323</v>
      </c>
      <c r="E520" s="121"/>
      <c r="F520" s="121" t="s">
        <v>708</v>
      </c>
      <c r="G520" s="121"/>
      <c r="H520" s="121" t="s">
        <v>701</v>
      </c>
      <c r="I520" s="121"/>
      <c r="J520" s="121" t="s">
        <v>708</v>
      </c>
      <c r="K520" s="121"/>
      <c r="L520" s="121" t="s">
        <v>149</v>
      </c>
      <c r="M520" s="121"/>
      <c r="N520" s="123"/>
      <c r="O520" s="121"/>
      <c r="P520" s="121" t="s">
        <v>113</v>
      </c>
      <c r="Q520" s="121"/>
      <c r="R520" s="124">
        <v>49.39</v>
      </c>
      <c r="S520" s="121"/>
      <c r="T520" s="124">
        <f t="shared" si="8"/>
        <v>5176.4399999999996</v>
      </c>
    </row>
    <row r="521" spans="2:20" x14ac:dyDescent="0.4">
      <c r="B521" s="121" t="s">
        <v>108</v>
      </c>
      <c r="C521" s="121"/>
      <c r="D521" s="122">
        <v>41327</v>
      </c>
      <c r="E521" s="121"/>
      <c r="F521" s="121" t="s">
        <v>709</v>
      </c>
      <c r="G521" s="121"/>
      <c r="H521" s="121" t="s">
        <v>701</v>
      </c>
      <c r="I521" s="121"/>
      <c r="J521" s="121" t="s">
        <v>709</v>
      </c>
      <c r="K521" s="121"/>
      <c r="L521" s="121"/>
      <c r="M521" s="121"/>
      <c r="N521" s="123"/>
      <c r="O521" s="121"/>
      <c r="P521" s="121" t="s">
        <v>113</v>
      </c>
      <c r="Q521" s="121"/>
      <c r="R521" s="124">
        <v>369.43</v>
      </c>
      <c r="S521" s="121"/>
      <c r="T521" s="124">
        <f t="shared" si="8"/>
        <v>5545.87</v>
      </c>
    </row>
    <row r="522" spans="2:20" x14ac:dyDescent="0.4">
      <c r="B522" s="121" t="s">
        <v>108</v>
      </c>
      <c r="C522" s="121"/>
      <c r="D522" s="122">
        <v>41327</v>
      </c>
      <c r="E522" s="121"/>
      <c r="F522" s="121" t="s">
        <v>709</v>
      </c>
      <c r="G522" s="121"/>
      <c r="H522" s="121" t="s">
        <v>701</v>
      </c>
      <c r="I522" s="121"/>
      <c r="J522" s="121" t="s">
        <v>709</v>
      </c>
      <c r="K522" s="121"/>
      <c r="L522" s="121" t="s">
        <v>149</v>
      </c>
      <c r="M522" s="121"/>
      <c r="N522" s="123"/>
      <c r="O522" s="121"/>
      <c r="P522" s="121" t="s">
        <v>113</v>
      </c>
      <c r="Q522" s="121"/>
      <c r="R522" s="124">
        <v>50.38</v>
      </c>
      <c r="S522" s="121"/>
      <c r="T522" s="124">
        <f t="shared" si="8"/>
        <v>5596.25</v>
      </c>
    </row>
    <row r="523" spans="2:20" x14ac:dyDescent="0.4">
      <c r="B523" s="121" t="s">
        <v>135</v>
      </c>
      <c r="C523" s="121"/>
      <c r="D523" s="122">
        <v>41333</v>
      </c>
      <c r="E523" s="121"/>
      <c r="F523" s="121" t="s">
        <v>242</v>
      </c>
      <c r="G523" s="121"/>
      <c r="H523" s="121"/>
      <c r="I523" s="121"/>
      <c r="J523" s="121" t="s">
        <v>710</v>
      </c>
      <c r="K523" s="121"/>
      <c r="L523" s="121" t="s">
        <v>149</v>
      </c>
      <c r="M523" s="121"/>
      <c r="N523" s="123"/>
      <c r="O523" s="121"/>
      <c r="P523" s="121" t="s">
        <v>138</v>
      </c>
      <c r="Q523" s="121"/>
      <c r="R523" s="124">
        <v>-99.77</v>
      </c>
      <c r="S523" s="121"/>
      <c r="T523" s="124">
        <f t="shared" si="8"/>
        <v>5496.48</v>
      </c>
    </row>
    <row r="524" spans="2:20" x14ac:dyDescent="0.4">
      <c r="B524" s="121" t="s">
        <v>108</v>
      </c>
      <c r="C524" s="121"/>
      <c r="D524" s="122">
        <v>41338</v>
      </c>
      <c r="E524" s="121"/>
      <c r="F524" s="121" t="s">
        <v>711</v>
      </c>
      <c r="G524" s="121"/>
      <c r="H524" s="121" t="s">
        <v>701</v>
      </c>
      <c r="I524" s="121"/>
      <c r="J524" s="121" t="s">
        <v>711</v>
      </c>
      <c r="K524" s="121"/>
      <c r="L524" s="121"/>
      <c r="M524" s="121"/>
      <c r="N524" s="123"/>
      <c r="O524" s="121"/>
      <c r="P524" s="121" t="s">
        <v>113</v>
      </c>
      <c r="Q524" s="121"/>
      <c r="R524" s="124">
        <v>635.55999999999995</v>
      </c>
      <c r="S524" s="121"/>
      <c r="T524" s="124">
        <f t="shared" ref="T524:T587" si="9">ROUND(T523+R524,5)</f>
        <v>6132.04</v>
      </c>
    </row>
    <row r="525" spans="2:20" x14ac:dyDescent="0.4">
      <c r="B525" s="121" t="s">
        <v>108</v>
      </c>
      <c r="C525" s="121"/>
      <c r="D525" s="122">
        <v>41338</v>
      </c>
      <c r="E525" s="121"/>
      <c r="F525" s="121" t="s">
        <v>711</v>
      </c>
      <c r="G525" s="121"/>
      <c r="H525" s="121" t="s">
        <v>701</v>
      </c>
      <c r="I525" s="121"/>
      <c r="J525" s="121" t="s">
        <v>711</v>
      </c>
      <c r="K525" s="121"/>
      <c r="L525" s="121" t="s">
        <v>149</v>
      </c>
      <c r="M525" s="121"/>
      <c r="N525" s="123"/>
      <c r="O525" s="121"/>
      <c r="P525" s="121" t="s">
        <v>113</v>
      </c>
      <c r="Q525" s="121"/>
      <c r="R525" s="124">
        <v>86.67</v>
      </c>
      <c r="S525" s="121"/>
      <c r="T525" s="124">
        <f t="shared" si="9"/>
        <v>6218.71</v>
      </c>
    </row>
    <row r="526" spans="2:20" x14ac:dyDescent="0.4">
      <c r="B526" s="121" t="s">
        <v>108</v>
      </c>
      <c r="C526" s="121"/>
      <c r="D526" s="122">
        <v>41352</v>
      </c>
      <c r="E526" s="121"/>
      <c r="F526" s="121" t="s">
        <v>712</v>
      </c>
      <c r="G526" s="121"/>
      <c r="H526" s="121" t="s">
        <v>597</v>
      </c>
      <c r="I526" s="121"/>
      <c r="J526" s="121" t="s">
        <v>712</v>
      </c>
      <c r="K526" s="121"/>
      <c r="L526" s="121"/>
      <c r="M526" s="121"/>
      <c r="N526" s="123"/>
      <c r="O526" s="121"/>
      <c r="P526" s="121" t="s">
        <v>113</v>
      </c>
      <c r="Q526" s="121"/>
      <c r="R526" s="124">
        <v>2279.8000000000002</v>
      </c>
      <c r="S526" s="121"/>
      <c r="T526" s="124">
        <f t="shared" si="9"/>
        <v>8498.51</v>
      </c>
    </row>
    <row r="527" spans="2:20" x14ac:dyDescent="0.4">
      <c r="B527" s="121" t="s">
        <v>135</v>
      </c>
      <c r="C527" s="121"/>
      <c r="D527" s="122">
        <v>41364</v>
      </c>
      <c r="E527" s="121"/>
      <c r="F527" s="121" t="s">
        <v>242</v>
      </c>
      <c r="G527" s="121"/>
      <c r="H527" s="121"/>
      <c r="I527" s="121"/>
      <c r="J527" s="121" t="s">
        <v>713</v>
      </c>
      <c r="K527" s="121"/>
      <c r="L527" s="121" t="s">
        <v>149</v>
      </c>
      <c r="M527" s="121"/>
      <c r="N527" s="123"/>
      <c r="O527" s="121"/>
      <c r="P527" s="121" t="s">
        <v>138</v>
      </c>
      <c r="Q527" s="121"/>
      <c r="R527" s="124">
        <v>-86.67</v>
      </c>
      <c r="S527" s="121"/>
      <c r="T527" s="124">
        <f t="shared" si="9"/>
        <v>8411.84</v>
      </c>
    </row>
    <row r="528" spans="2:20" x14ac:dyDescent="0.4">
      <c r="B528" s="121" t="s">
        <v>108</v>
      </c>
      <c r="C528" s="121"/>
      <c r="D528" s="122">
        <v>41417</v>
      </c>
      <c r="E528" s="121"/>
      <c r="F528" s="121" t="s">
        <v>714</v>
      </c>
      <c r="G528" s="121"/>
      <c r="H528" s="121" t="s">
        <v>701</v>
      </c>
      <c r="I528" s="121"/>
      <c r="J528" s="121" t="s">
        <v>714</v>
      </c>
      <c r="K528" s="121"/>
      <c r="L528" s="121"/>
      <c r="M528" s="121"/>
      <c r="N528" s="123"/>
      <c r="O528" s="121"/>
      <c r="P528" s="121" t="s">
        <v>113</v>
      </c>
      <c r="Q528" s="121"/>
      <c r="R528" s="124">
        <v>443.52</v>
      </c>
      <c r="S528" s="121"/>
      <c r="T528" s="124">
        <f t="shared" si="9"/>
        <v>8855.36</v>
      </c>
    </row>
    <row r="529" spans="2:20" x14ac:dyDescent="0.4">
      <c r="B529" s="121" t="s">
        <v>108</v>
      </c>
      <c r="C529" s="121"/>
      <c r="D529" s="122">
        <v>41417</v>
      </c>
      <c r="E529" s="121"/>
      <c r="F529" s="121" t="s">
        <v>714</v>
      </c>
      <c r="G529" s="121"/>
      <c r="H529" s="121" t="s">
        <v>701</v>
      </c>
      <c r="I529" s="121"/>
      <c r="J529" s="121" t="s">
        <v>714</v>
      </c>
      <c r="K529" s="121"/>
      <c r="L529" s="121" t="s">
        <v>149</v>
      </c>
      <c r="M529" s="121"/>
      <c r="N529" s="123"/>
      <c r="O529" s="121"/>
      <c r="P529" s="121" t="s">
        <v>113</v>
      </c>
      <c r="Q529" s="121"/>
      <c r="R529" s="124">
        <v>60.48</v>
      </c>
      <c r="S529" s="121"/>
      <c r="T529" s="124">
        <f t="shared" si="9"/>
        <v>8915.84</v>
      </c>
    </row>
    <row r="530" spans="2:20" x14ac:dyDescent="0.4">
      <c r="B530" s="121" t="s">
        <v>108</v>
      </c>
      <c r="C530" s="121"/>
      <c r="D530" s="122">
        <v>41424</v>
      </c>
      <c r="E530" s="121"/>
      <c r="F530" s="121" t="s">
        <v>715</v>
      </c>
      <c r="G530" s="121"/>
      <c r="H530" s="121" t="s">
        <v>701</v>
      </c>
      <c r="I530" s="121"/>
      <c r="J530" s="121" t="s">
        <v>715</v>
      </c>
      <c r="K530" s="121"/>
      <c r="L530" s="121"/>
      <c r="M530" s="121"/>
      <c r="N530" s="123"/>
      <c r="O530" s="121"/>
      <c r="P530" s="121" t="s">
        <v>113</v>
      </c>
      <c r="Q530" s="121"/>
      <c r="R530" s="124">
        <v>346.5</v>
      </c>
      <c r="S530" s="121"/>
      <c r="T530" s="124">
        <f t="shared" si="9"/>
        <v>9262.34</v>
      </c>
    </row>
    <row r="531" spans="2:20" x14ac:dyDescent="0.4">
      <c r="B531" s="121" t="s">
        <v>135</v>
      </c>
      <c r="C531" s="121"/>
      <c r="D531" s="122">
        <v>41425</v>
      </c>
      <c r="E531" s="121"/>
      <c r="F531" s="121" t="s">
        <v>242</v>
      </c>
      <c r="G531" s="121"/>
      <c r="H531" s="121"/>
      <c r="I531" s="121"/>
      <c r="J531" s="121" t="s">
        <v>716</v>
      </c>
      <c r="K531" s="121"/>
      <c r="L531" s="121" t="s">
        <v>149</v>
      </c>
      <c r="M531" s="121"/>
      <c r="N531" s="123"/>
      <c r="O531" s="121"/>
      <c r="P531" s="121" t="s">
        <v>138</v>
      </c>
      <c r="Q531" s="121"/>
      <c r="R531" s="124">
        <v>-60.48</v>
      </c>
      <c r="S531" s="121"/>
      <c r="T531" s="124">
        <f t="shared" si="9"/>
        <v>9201.86</v>
      </c>
    </row>
    <row r="532" spans="2:20" x14ac:dyDescent="0.4">
      <c r="B532" s="121" t="s">
        <v>108</v>
      </c>
      <c r="C532" s="121"/>
      <c r="D532" s="122">
        <v>41508</v>
      </c>
      <c r="E532" s="121"/>
      <c r="F532" s="121" t="s">
        <v>717</v>
      </c>
      <c r="G532" s="121"/>
      <c r="H532" s="121" t="s">
        <v>298</v>
      </c>
      <c r="I532" s="121"/>
      <c r="J532" s="121" t="s">
        <v>717</v>
      </c>
      <c r="K532" s="121"/>
      <c r="L532" s="121"/>
      <c r="M532" s="121"/>
      <c r="N532" s="123"/>
      <c r="O532" s="121"/>
      <c r="P532" s="121" t="s">
        <v>113</v>
      </c>
      <c r="Q532" s="121"/>
      <c r="R532" s="124">
        <v>37.93</v>
      </c>
      <c r="S532" s="121"/>
      <c r="T532" s="124">
        <f t="shared" si="9"/>
        <v>9239.7900000000009</v>
      </c>
    </row>
    <row r="533" spans="2:20" x14ac:dyDescent="0.4">
      <c r="B533" s="121" t="s">
        <v>108</v>
      </c>
      <c r="C533" s="121"/>
      <c r="D533" s="122">
        <v>41556</v>
      </c>
      <c r="E533" s="121"/>
      <c r="F533" s="121" t="s">
        <v>718</v>
      </c>
      <c r="G533" s="121"/>
      <c r="H533" s="121" t="s">
        <v>298</v>
      </c>
      <c r="I533" s="121"/>
      <c r="J533" s="121" t="s">
        <v>718</v>
      </c>
      <c r="K533" s="121"/>
      <c r="L533" s="121"/>
      <c r="M533" s="121"/>
      <c r="N533" s="123"/>
      <c r="O533" s="121"/>
      <c r="P533" s="121" t="s">
        <v>113</v>
      </c>
      <c r="Q533" s="121"/>
      <c r="R533" s="124">
        <v>62.74</v>
      </c>
      <c r="S533" s="121"/>
      <c r="T533" s="124">
        <f t="shared" si="9"/>
        <v>9302.5300000000007</v>
      </c>
    </row>
    <row r="534" spans="2:20" x14ac:dyDescent="0.4">
      <c r="B534" s="121" t="s">
        <v>108</v>
      </c>
      <c r="C534" s="121"/>
      <c r="D534" s="122">
        <v>41561</v>
      </c>
      <c r="E534" s="121"/>
      <c r="F534" s="121" t="s">
        <v>719</v>
      </c>
      <c r="G534" s="121"/>
      <c r="H534" s="121" t="s">
        <v>597</v>
      </c>
      <c r="I534" s="121"/>
      <c r="J534" s="121" t="s">
        <v>719</v>
      </c>
      <c r="K534" s="121"/>
      <c r="L534" s="121" t="s">
        <v>149</v>
      </c>
      <c r="M534" s="121"/>
      <c r="N534" s="123"/>
      <c r="O534" s="121"/>
      <c r="P534" s="121" t="s">
        <v>113</v>
      </c>
      <c r="Q534" s="121"/>
      <c r="R534" s="124">
        <v>216.36</v>
      </c>
      <c r="S534" s="121"/>
      <c r="T534" s="124">
        <f t="shared" si="9"/>
        <v>9518.89</v>
      </c>
    </row>
    <row r="535" spans="2:20" x14ac:dyDescent="0.4">
      <c r="B535" s="121" t="s">
        <v>108</v>
      </c>
      <c r="C535" s="121"/>
      <c r="D535" s="122">
        <v>41561</v>
      </c>
      <c r="E535" s="121"/>
      <c r="F535" s="121" t="s">
        <v>719</v>
      </c>
      <c r="G535" s="121"/>
      <c r="H535" s="121" t="s">
        <v>597</v>
      </c>
      <c r="I535" s="121"/>
      <c r="J535" s="121" t="s">
        <v>719</v>
      </c>
      <c r="K535" s="121"/>
      <c r="L535" s="121"/>
      <c r="M535" s="121"/>
      <c r="N535" s="123"/>
      <c r="O535" s="121"/>
      <c r="P535" s="121" t="s">
        <v>113</v>
      </c>
      <c r="Q535" s="121"/>
      <c r="R535" s="124">
        <v>1586.63</v>
      </c>
      <c r="S535" s="121"/>
      <c r="T535" s="124">
        <f t="shared" si="9"/>
        <v>11105.52</v>
      </c>
    </row>
    <row r="536" spans="2:20" x14ac:dyDescent="0.4">
      <c r="B536" s="121" t="s">
        <v>108</v>
      </c>
      <c r="C536" s="121"/>
      <c r="D536" s="122">
        <v>41563</v>
      </c>
      <c r="E536" s="121"/>
      <c r="F536" s="121" t="s">
        <v>720</v>
      </c>
      <c r="G536" s="121"/>
      <c r="H536" s="121" t="s">
        <v>701</v>
      </c>
      <c r="I536" s="121"/>
      <c r="J536" s="121" t="s">
        <v>720</v>
      </c>
      <c r="K536" s="121"/>
      <c r="L536" s="121"/>
      <c r="M536" s="121"/>
      <c r="N536" s="123"/>
      <c r="O536" s="121"/>
      <c r="P536" s="121" t="s">
        <v>113</v>
      </c>
      <c r="Q536" s="121"/>
      <c r="R536" s="124">
        <v>228.5</v>
      </c>
      <c r="S536" s="121"/>
      <c r="T536" s="124">
        <f t="shared" si="9"/>
        <v>11334.02</v>
      </c>
    </row>
    <row r="537" spans="2:20" x14ac:dyDescent="0.4">
      <c r="B537" s="121" t="s">
        <v>108</v>
      </c>
      <c r="C537" s="121"/>
      <c r="D537" s="122">
        <v>41572</v>
      </c>
      <c r="E537" s="121"/>
      <c r="F537" s="121" t="s">
        <v>721</v>
      </c>
      <c r="G537" s="121"/>
      <c r="H537" s="121" t="s">
        <v>701</v>
      </c>
      <c r="I537" s="121"/>
      <c r="J537" s="121"/>
      <c r="K537" s="121"/>
      <c r="L537" s="121" t="s">
        <v>149</v>
      </c>
      <c r="M537" s="121"/>
      <c r="N537" s="123"/>
      <c r="O537" s="121"/>
      <c r="P537" s="121" t="s">
        <v>113</v>
      </c>
      <c r="Q537" s="121"/>
      <c r="R537" s="124">
        <v>290</v>
      </c>
      <c r="S537" s="121"/>
      <c r="T537" s="124">
        <f t="shared" si="9"/>
        <v>11624.02</v>
      </c>
    </row>
    <row r="538" spans="2:20" x14ac:dyDescent="0.4">
      <c r="B538" s="121" t="s">
        <v>135</v>
      </c>
      <c r="C538" s="121"/>
      <c r="D538" s="122">
        <v>41578</v>
      </c>
      <c r="E538" s="121"/>
      <c r="F538" s="121" t="s">
        <v>212</v>
      </c>
      <c r="G538" s="121"/>
      <c r="H538" s="121"/>
      <c r="I538" s="121"/>
      <c r="J538" s="121" t="s">
        <v>722</v>
      </c>
      <c r="K538" s="121"/>
      <c r="L538" s="121"/>
      <c r="M538" s="121"/>
      <c r="N538" s="123"/>
      <c r="O538" s="121"/>
      <c r="P538" s="121" t="s">
        <v>138</v>
      </c>
      <c r="Q538" s="121"/>
      <c r="R538" s="124">
        <v>-506.36</v>
      </c>
      <c r="S538" s="121"/>
      <c r="T538" s="124">
        <f t="shared" si="9"/>
        <v>11117.66</v>
      </c>
    </row>
    <row r="539" spans="2:20" x14ac:dyDescent="0.4">
      <c r="B539" s="121" t="s">
        <v>108</v>
      </c>
      <c r="C539" s="121"/>
      <c r="D539" s="122">
        <v>41591</v>
      </c>
      <c r="E539" s="121"/>
      <c r="F539" s="121" t="s">
        <v>723</v>
      </c>
      <c r="G539" s="121"/>
      <c r="H539" s="121" t="s">
        <v>701</v>
      </c>
      <c r="I539" s="121"/>
      <c r="J539" s="121" t="s">
        <v>723</v>
      </c>
      <c r="K539" s="121"/>
      <c r="L539" s="121"/>
      <c r="M539" s="121"/>
      <c r="N539" s="123"/>
      <c r="O539" s="121"/>
      <c r="P539" s="121" t="s">
        <v>113</v>
      </c>
      <c r="Q539" s="121"/>
      <c r="R539" s="124">
        <v>149.83000000000001</v>
      </c>
      <c r="S539" s="121"/>
      <c r="T539" s="124">
        <f t="shared" si="9"/>
        <v>11267.49</v>
      </c>
    </row>
    <row r="540" spans="2:20" x14ac:dyDescent="0.4">
      <c r="B540" s="121" t="s">
        <v>135</v>
      </c>
      <c r="C540" s="121"/>
      <c r="D540" s="122">
        <v>41639</v>
      </c>
      <c r="E540" s="121"/>
      <c r="F540" s="121" t="s">
        <v>724</v>
      </c>
      <c r="G540" s="121"/>
      <c r="H540" s="121"/>
      <c r="I540" s="121"/>
      <c r="J540" s="121" t="s">
        <v>725</v>
      </c>
      <c r="K540" s="121"/>
      <c r="L540" s="121"/>
      <c r="M540" s="121"/>
      <c r="N540" s="123"/>
      <c r="O540" s="121"/>
      <c r="P540" s="121" t="s">
        <v>726</v>
      </c>
      <c r="Q540" s="121"/>
      <c r="R540" s="124">
        <v>-847.51</v>
      </c>
      <c r="S540" s="121"/>
      <c r="T540" s="124">
        <f t="shared" si="9"/>
        <v>10419.98</v>
      </c>
    </row>
    <row r="541" spans="2:20" x14ac:dyDescent="0.4">
      <c r="B541" s="121" t="s">
        <v>135</v>
      </c>
      <c r="C541" s="121"/>
      <c r="D541" s="122">
        <v>41639</v>
      </c>
      <c r="E541" s="121"/>
      <c r="F541" s="121" t="s">
        <v>727</v>
      </c>
      <c r="G541" s="121"/>
      <c r="H541" s="121"/>
      <c r="I541" s="121"/>
      <c r="J541" s="121" t="s">
        <v>728</v>
      </c>
      <c r="K541" s="121"/>
      <c r="L541" s="121"/>
      <c r="M541" s="121"/>
      <c r="N541" s="123"/>
      <c r="O541" s="121"/>
      <c r="P541" s="121" t="s">
        <v>644</v>
      </c>
      <c r="Q541" s="121"/>
      <c r="R541" s="124">
        <v>2483.61</v>
      </c>
      <c r="S541" s="121"/>
      <c r="T541" s="124">
        <f t="shared" si="9"/>
        <v>12903.59</v>
      </c>
    </row>
    <row r="542" spans="2:20" x14ac:dyDescent="0.4">
      <c r="B542" s="121" t="s">
        <v>108</v>
      </c>
      <c r="C542" s="121"/>
      <c r="D542" s="122">
        <v>41645</v>
      </c>
      <c r="E542" s="121"/>
      <c r="F542" s="121" t="s">
        <v>729</v>
      </c>
      <c r="G542" s="121"/>
      <c r="H542" s="121" t="s">
        <v>696</v>
      </c>
      <c r="I542" s="121"/>
      <c r="J542" s="121" t="s">
        <v>729</v>
      </c>
      <c r="K542" s="121"/>
      <c r="L542" s="121"/>
      <c r="M542" s="121"/>
      <c r="N542" s="123"/>
      <c r="O542" s="121"/>
      <c r="P542" s="121" t="s">
        <v>113</v>
      </c>
      <c r="Q542" s="121"/>
      <c r="R542" s="124">
        <v>177</v>
      </c>
      <c r="S542" s="121"/>
      <c r="T542" s="124">
        <f t="shared" si="9"/>
        <v>13080.59</v>
      </c>
    </row>
    <row r="543" spans="2:20" x14ac:dyDescent="0.4">
      <c r="B543" s="121" t="s">
        <v>108</v>
      </c>
      <c r="C543" s="121"/>
      <c r="D543" s="122">
        <v>41645</v>
      </c>
      <c r="E543" s="121"/>
      <c r="F543" s="121" t="s">
        <v>730</v>
      </c>
      <c r="G543" s="121"/>
      <c r="H543" s="121" t="s">
        <v>696</v>
      </c>
      <c r="I543" s="121"/>
      <c r="J543" s="121" t="s">
        <v>730</v>
      </c>
      <c r="K543" s="121"/>
      <c r="L543" s="121"/>
      <c r="M543" s="121"/>
      <c r="N543" s="123"/>
      <c r="O543" s="121"/>
      <c r="P543" s="121" t="s">
        <v>113</v>
      </c>
      <c r="Q543" s="121"/>
      <c r="R543" s="124">
        <v>29.68</v>
      </c>
      <c r="S543" s="121"/>
      <c r="T543" s="124">
        <f t="shared" si="9"/>
        <v>13110.27</v>
      </c>
    </row>
    <row r="544" spans="2:20" x14ac:dyDescent="0.4">
      <c r="B544" s="121" t="s">
        <v>108</v>
      </c>
      <c r="C544" s="121"/>
      <c r="D544" s="122">
        <v>41691</v>
      </c>
      <c r="E544" s="121"/>
      <c r="F544" s="121" t="s">
        <v>731</v>
      </c>
      <c r="G544" s="121"/>
      <c r="H544" s="121" t="s">
        <v>732</v>
      </c>
      <c r="I544" s="121"/>
      <c r="J544" s="121" t="s">
        <v>731</v>
      </c>
      <c r="K544" s="121"/>
      <c r="L544" s="121"/>
      <c r="M544" s="121"/>
      <c r="N544" s="123"/>
      <c r="O544" s="121"/>
      <c r="P544" s="121" t="s">
        <v>113</v>
      </c>
      <c r="Q544" s="121"/>
      <c r="R544" s="124">
        <v>60.53</v>
      </c>
      <c r="S544" s="121"/>
      <c r="T544" s="124">
        <f t="shared" si="9"/>
        <v>13170.8</v>
      </c>
    </row>
    <row r="545" spans="2:20" x14ac:dyDescent="0.4">
      <c r="B545" s="121" t="s">
        <v>108</v>
      </c>
      <c r="C545" s="121"/>
      <c r="D545" s="122">
        <v>41691</v>
      </c>
      <c r="E545" s="121"/>
      <c r="F545" s="121" t="s">
        <v>731</v>
      </c>
      <c r="G545" s="121"/>
      <c r="H545" s="121" t="s">
        <v>732</v>
      </c>
      <c r="I545" s="121"/>
      <c r="J545" s="121" t="s">
        <v>731</v>
      </c>
      <c r="K545" s="121"/>
      <c r="L545" s="121"/>
      <c r="M545" s="121"/>
      <c r="N545" s="123"/>
      <c r="O545" s="121"/>
      <c r="P545" s="121" t="s">
        <v>113</v>
      </c>
      <c r="Q545" s="121"/>
      <c r="R545" s="124">
        <v>444.45</v>
      </c>
      <c r="S545" s="121"/>
      <c r="T545" s="124">
        <f t="shared" si="9"/>
        <v>13615.25</v>
      </c>
    </row>
    <row r="546" spans="2:20" x14ac:dyDescent="0.4">
      <c r="B546" s="121" t="s">
        <v>108</v>
      </c>
      <c r="C546" s="121"/>
      <c r="D546" s="122">
        <v>41698</v>
      </c>
      <c r="E546" s="121"/>
      <c r="F546" s="121" t="s">
        <v>733</v>
      </c>
      <c r="G546" s="121"/>
      <c r="H546" s="121" t="s">
        <v>732</v>
      </c>
      <c r="I546" s="121"/>
      <c r="J546" s="121" t="s">
        <v>733</v>
      </c>
      <c r="K546" s="121"/>
      <c r="L546" s="121" t="s">
        <v>149</v>
      </c>
      <c r="M546" s="121"/>
      <c r="N546" s="123"/>
      <c r="O546" s="121"/>
      <c r="P546" s="121" t="s">
        <v>113</v>
      </c>
      <c r="Q546" s="121"/>
      <c r="R546" s="124">
        <v>60.53</v>
      </c>
      <c r="S546" s="121"/>
      <c r="T546" s="124">
        <f t="shared" si="9"/>
        <v>13675.78</v>
      </c>
    </row>
    <row r="547" spans="2:20" x14ac:dyDescent="0.4">
      <c r="B547" s="121" t="s">
        <v>108</v>
      </c>
      <c r="C547" s="121"/>
      <c r="D547" s="122">
        <v>41698</v>
      </c>
      <c r="E547" s="121"/>
      <c r="F547" s="121" t="s">
        <v>733</v>
      </c>
      <c r="G547" s="121"/>
      <c r="H547" s="121" t="s">
        <v>732</v>
      </c>
      <c r="I547" s="121"/>
      <c r="J547" s="121" t="s">
        <v>733</v>
      </c>
      <c r="K547" s="121"/>
      <c r="L547" s="121"/>
      <c r="M547" s="121"/>
      <c r="N547" s="123"/>
      <c r="O547" s="121"/>
      <c r="P547" s="121" t="s">
        <v>113</v>
      </c>
      <c r="Q547" s="121"/>
      <c r="R547" s="124">
        <v>443.92</v>
      </c>
      <c r="S547" s="121"/>
      <c r="T547" s="124">
        <f t="shared" si="9"/>
        <v>14119.7</v>
      </c>
    </row>
    <row r="548" spans="2:20" x14ac:dyDescent="0.4">
      <c r="B548" s="121" t="s">
        <v>135</v>
      </c>
      <c r="C548" s="121"/>
      <c r="D548" s="122">
        <v>41698</v>
      </c>
      <c r="E548" s="121"/>
      <c r="F548" s="121" t="s">
        <v>242</v>
      </c>
      <c r="G548" s="121"/>
      <c r="H548" s="121"/>
      <c r="I548" s="121"/>
      <c r="J548" s="121" t="s">
        <v>734</v>
      </c>
      <c r="K548" s="121"/>
      <c r="L548" s="121" t="s">
        <v>149</v>
      </c>
      <c r="M548" s="121"/>
      <c r="N548" s="123"/>
      <c r="O548" s="121"/>
      <c r="P548" s="121" t="s">
        <v>138</v>
      </c>
      <c r="Q548" s="121"/>
      <c r="R548" s="124">
        <v>-60.53</v>
      </c>
      <c r="S548" s="121"/>
      <c r="T548" s="124">
        <f t="shared" si="9"/>
        <v>14059.17</v>
      </c>
    </row>
    <row r="549" spans="2:20" x14ac:dyDescent="0.4">
      <c r="B549" s="121" t="s">
        <v>108</v>
      </c>
      <c r="C549" s="121"/>
      <c r="D549" s="122">
        <v>41726</v>
      </c>
      <c r="E549" s="121"/>
      <c r="F549" s="121" t="s">
        <v>735</v>
      </c>
      <c r="G549" s="121"/>
      <c r="H549" s="121" t="s">
        <v>696</v>
      </c>
      <c r="I549" s="121"/>
      <c r="J549" s="121" t="s">
        <v>735</v>
      </c>
      <c r="K549" s="121"/>
      <c r="L549" s="121"/>
      <c r="M549" s="121"/>
      <c r="N549" s="123"/>
      <c r="O549" s="121"/>
      <c r="P549" s="121" t="s">
        <v>113</v>
      </c>
      <c r="Q549" s="121"/>
      <c r="R549" s="124">
        <v>75</v>
      </c>
      <c r="S549" s="121"/>
      <c r="T549" s="124">
        <f t="shared" si="9"/>
        <v>14134.17</v>
      </c>
    </row>
    <row r="550" spans="2:20" x14ac:dyDescent="0.4">
      <c r="B550" s="121" t="s">
        <v>108</v>
      </c>
      <c r="C550" s="121"/>
      <c r="D550" s="122">
        <v>41750</v>
      </c>
      <c r="E550" s="121"/>
      <c r="F550" s="121" t="s">
        <v>736</v>
      </c>
      <c r="G550" s="121"/>
      <c r="H550" s="121" t="s">
        <v>298</v>
      </c>
      <c r="I550" s="121"/>
      <c r="J550" s="121" t="s">
        <v>737</v>
      </c>
      <c r="K550" s="121"/>
      <c r="L550" s="121"/>
      <c r="M550" s="121"/>
      <c r="N550" s="123"/>
      <c r="O550" s="121"/>
      <c r="P550" s="121" t="s">
        <v>113</v>
      </c>
      <c r="Q550" s="121"/>
      <c r="R550" s="124">
        <v>708.35</v>
      </c>
      <c r="S550" s="121"/>
      <c r="T550" s="124">
        <f t="shared" si="9"/>
        <v>14842.52</v>
      </c>
    </row>
    <row r="551" spans="2:20" x14ac:dyDescent="0.4">
      <c r="B551" s="121" t="s">
        <v>108</v>
      </c>
      <c r="C551" s="121"/>
      <c r="D551" s="122">
        <v>41751</v>
      </c>
      <c r="E551" s="121"/>
      <c r="F551" s="121" t="s">
        <v>738</v>
      </c>
      <c r="G551" s="121"/>
      <c r="H551" s="121" t="s">
        <v>696</v>
      </c>
      <c r="I551" s="121"/>
      <c r="J551" s="121" t="s">
        <v>738</v>
      </c>
      <c r="K551" s="121"/>
      <c r="L551" s="121"/>
      <c r="M551" s="121"/>
      <c r="N551" s="123"/>
      <c r="O551" s="121"/>
      <c r="P551" s="121" t="s">
        <v>113</v>
      </c>
      <c r="Q551" s="121"/>
      <c r="R551" s="124">
        <v>738.36</v>
      </c>
      <c r="S551" s="121"/>
      <c r="T551" s="124">
        <f t="shared" si="9"/>
        <v>15580.88</v>
      </c>
    </row>
    <row r="552" spans="2:20" x14ac:dyDescent="0.4">
      <c r="B552" s="121" t="s">
        <v>108</v>
      </c>
      <c r="C552" s="121"/>
      <c r="D552" s="122">
        <v>41779</v>
      </c>
      <c r="E552" s="121"/>
      <c r="F552" s="121" t="s">
        <v>739</v>
      </c>
      <c r="G552" s="121"/>
      <c r="H552" s="121" t="s">
        <v>732</v>
      </c>
      <c r="I552" s="121"/>
      <c r="J552" s="121" t="s">
        <v>739</v>
      </c>
      <c r="K552" s="121"/>
      <c r="L552" s="121" t="s">
        <v>149</v>
      </c>
      <c r="M552" s="121"/>
      <c r="N552" s="123"/>
      <c r="O552" s="121"/>
      <c r="P552" s="121" t="s">
        <v>113</v>
      </c>
      <c r="Q552" s="121"/>
      <c r="R552" s="124">
        <v>43.96</v>
      </c>
      <c r="S552" s="121"/>
      <c r="T552" s="124">
        <f t="shared" si="9"/>
        <v>15624.84</v>
      </c>
    </row>
    <row r="553" spans="2:20" x14ac:dyDescent="0.4">
      <c r="B553" s="121" t="s">
        <v>108</v>
      </c>
      <c r="C553" s="121"/>
      <c r="D553" s="122">
        <v>41779</v>
      </c>
      <c r="E553" s="121"/>
      <c r="F553" s="121" t="s">
        <v>739</v>
      </c>
      <c r="G553" s="121"/>
      <c r="H553" s="121" t="s">
        <v>732</v>
      </c>
      <c r="I553" s="121"/>
      <c r="J553" s="121" t="s">
        <v>739</v>
      </c>
      <c r="K553" s="121"/>
      <c r="L553" s="121"/>
      <c r="M553" s="121"/>
      <c r="N553" s="123"/>
      <c r="O553" s="121"/>
      <c r="P553" s="121" t="s">
        <v>113</v>
      </c>
      <c r="Q553" s="121"/>
      <c r="R553" s="124">
        <v>322.38</v>
      </c>
      <c r="S553" s="121"/>
      <c r="T553" s="124">
        <f t="shared" si="9"/>
        <v>15947.22</v>
      </c>
    </row>
    <row r="554" spans="2:20" x14ac:dyDescent="0.4">
      <c r="B554" s="121" t="s">
        <v>307</v>
      </c>
      <c r="C554" s="121"/>
      <c r="D554" s="122">
        <v>41790</v>
      </c>
      <c r="E554" s="121"/>
      <c r="F554" s="121" t="s">
        <v>740</v>
      </c>
      <c r="G554" s="121"/>
      <c r="H554" s="121" t="s">
        <v>732</v>
      </c>
      <c r="I554" s="121"/>
      <c r="J554" s="121" t="s">
        <v>741</v>
      </c>
      <c r="K554" s="121"/>
      <c r="L554" s="121" t="s">
        <v>149</v>
      </c>
      <c r="M554" s="121"/>
      <c r="N554" s="123"/>
      <c r="O554" s="121"/>
      <c r="P554" s="121" t="s">
        <v>113</v>
      </c>
      <c r="Q554" s="121"/>
      <c r="R554" s="124">
        <v>-43.96</v>
      </c>
      <c r="S554" s="121"/>
      <c r="T554" s="124">
        <f t="shared" si="9"/>
        <v>15903.26</v>
      </c>
    </row>
    <row r="555" spans="2:20" x14ac:dyDescent="0.4">
      <c r="B555" s="121" t="s">
        <v>307</v>
      </c>
      <c r="C555" s="121"/>
      <c r="D555" s="122">
        <v>41790</v>
      </c>
      <c r="E555" s="121"/>
      <c r="F555" s="121" t="s">
        <v>740</v>
      </c>
      <c r="G555" s="121"/>
      <c r="H555" s="121" t="s">
        <v>732</v>
      </c>
      <c r="I555" s="121"/>
      <c r="J555" s="121" t="s">
        <v>741</v>
      </c>
      <c r="K555" s="121"/>
      <c r="L555" s="121"/>
      <c r="M555" s="121"/>
      <c r="N555" s="123"/>
      <c r="O555" s="121"/>
      <c r="P555" s="121" t="s">
        <v>113</v>
      </c>
      <c r="Q555" s="121"/>
      <c r="R555" s="124">
        <v>-322.38</v>
      </c>
      <c r="S555" s="121"/>
      <c r="T555" s="124">
        <f t="shared" si="9"/>
        <v>15580.88</v>
      </c>
    </row>
    <row r="556" spans="2:20" x14ac:dyDescent="0.4">
      <c r="B556" s="121" t="s">
        <v>307</v>
      </c>
      <c r="C556" s="121"/>
      <c r="D556" s="122">
        <v>41790</v>
      </c>
      <c r="E556" s="121"/>
      <c r="F556" s="121" t="s">
        <v>742</v>
      </c>
      <c r="G556" s="121"/>
      <c r="H556" s="121" t="s">
        <v>732</v>
      </c>
      <c r="I556" s="121"/>
      <c r="J556" s="121"/>
      <c r="K556" s="121"/>
      <c r="L556" s="121" t="s">
        <v>149</v>
      </c>
      <c r="M556" s="121"/>
      <c r="N556" s="123"/>
      <c r="O556" s="121"/>
      <c r="P556" s="121" t="s">
        <v>113</v>
      </c>
      <c r="Q556" s="121"/>
      <c r="R556" s="124">
        <v>-16.57</v>
      </c>
      <c r="S556" s="121"/>
      <c r="T556" s="124">
        <f t="shared" si="9"/>
        <v>15564.31</v>
      </c>
    </row>
    <row r="557" spans="2:20" x14ac:dyDescent="0.4">
      <c r="B557" s="121" t="s">
        <v>307</v>
      </c>
      <c r="C557" s="121"/>
      <c r="D557" s="122">
        <v>41790</v>
      </c>
      <c r="E557" s="121"/>
      <c r="F557" s="121" t="s">
        <v>742</v>
      </c>
      <c r="G557" s="121"/>
      <c r="H557" s="121" t="s">
        <v>732</v>
      </c>
      <c r="I557" s="121"/>
      <c r="J557" s="121"/>
      <c r="K557" s="121"/>
      <c r="L557" s="121"/>
      <c r="M557" s="121"/>
      <c r="N557" s="123"/>
      <c r="O557" s="121"/>
      <c r="P557" s="121" t="s">
        <v>113</v>
      </c>
      <c r="Q557" s="121"/>
      <c r="R557" s="124">
        <v>-121.54</v>
      </c>
      <c r="S557" s="121"/>
      <c r="T557" s="124">
        <f t="shared" si="9"/>
        <v>15442.77</v>
      </c>
    </row>
    <row r="558" spans="2:20" x14ac:dyDescent="0.4">
      <c r="B558" s="121" t="s">
        <v>135</v>
      </c>
      <c r="C558" s="121"/>
      <c r="D558" s="122">
        <v>41790</v>
      </c>
      <c r="E558" s="121"/>
      <c r="F558" s="121" t="s">
        <v>212</v>
      </c>
      <c r="G558" s="121"/>
      <c r="H558" s="121"/>
      <c r="I558" s="121"/>
      <c r="J558" s="121" t="s">
        <v>743</v>
      </c>
      <c r="K558" s="121"/>
      <c r="L558" s="121" t="s">
        <v>149</v>
      </c>
      <c r="M558" s="121"/>
      <c r="N558" s="123"/>
      <c r="O558" s="121"/>
      <c r="P558" s="121" t="s">
        <v>138</v>
      </c>
      <c r="Q558" s="121"/>
      <c r="R558" s="124">
        <v>16.57</v>
      </c>
      <c r="S558" s="121"/>
      <c r="T558" s="124">
        <f t="shared" si="9"/>
        <v>15459.34</v>
      </c>
    </row>
    <row r="559" spans="2:20" x14ac:dyDescent="0.4">
      <c r="B559" s="121" t="s">
        <v>108</v>
      </c>
      <c r="C559" s="121"/>
      <c r="D559" s="122">
        <v>41839</v>
      </c>
      <c r="E559" s="121"/>
      <c r="F559" s="121" t="s">
        <v>744</v>
      </c>
      <c r="G559" s="121"/>
      <c r="H559" s="121" t="s">
        <v>701</v>
      </c>
      <c r="I559" s="121"/>
      <c r="J559" s="121" t="s">
        <v>744</v>
      </c>
      <c r="K559" s="121"/>
      <c r="L559" s="121"/>
      <c r="M559" s="121"/>
      <c r="N559" s="123"/>
      <c r="O559" s="121"/>
      <c r="P559" s="121" t="s">
        <v>113</v>
      </c>
      <c r="Q559" s="121"/>
      <c r="R559" s="124">
        <v>640.91999999999996</v>
      </c>
      <c r="S559" s="121"/>
      <c r="T559" s="124">
        <f t="shared" si="9"/>
        <v>16100.26</v>
      </c>
    </row>
    <row r="560" spans="2:20" x14ac:dyDescent="0.4">
      <c r="B560" s="121" t="s">
        <v>108</v>
      </c>
      <c r="C560" s="121"/>
      <c r="D560" s="122">
        <v>41866</v>
      </c>
      <c r="E560" s="121"/>
      <c r="F560" s="121" t="s">
        <v>745</v>
      </c>
      <c r="G560" s="121"/>
      <c r="H560" s="121" t="s">
        <v>298</v>
      </c>
      <c r="I560" s="121"/>
      <c r="J560" s="121" t="s">
        <v>745</v>
      </c>
      <c r="K560" s="121"/>
      <c r="L560" s="121" t="s">
        <v>149</v>
      </c>
      <c r="M560" s="121"/>
      <c r="N560" s="123"/>
      <c r="O560" s="121"/>
      <c r="P560" s="121" t="s">
        <v>113</v>
      </c>
      <c r="Q560" s="121"/>
      <c r="R560" s="124">
        <v>22.69</v>
      </c>
      <c r="S560" s="121"/>
      <c r="T560" s="124">
        <f t="shared" si="9"/>
        <v>16122.95</v>
      </c>
    </row>
    <row r="561" spans="2:20" x14ac:dyDescent="0.4">
      <c r="B561" s="121" t="s">
        <v>108</v>
      </c>
      <c r="C561" s="121"/>
      <c r="D561" s="122">
        <v>41866</v>
      </c>
      <c r="E561" s="121"/>
      <c r="F561" s="121" t="s">
        <v>745</v>
      </c>
      <c r="G561" s="121"/>
      <c r="H561" s="121" t="s">
        <v>298</v>
      </c>
      <c r="I561" s="121"/>
      <c r="J561" s="121" t="s">
        <v>745</v>
      </c>
      <c r="K561" s="121"/>
      <c r="L561" s="121"/>
      <c r="M561" s="121"/>
      <c r="N561" s="123"/>
      <c r="O561" s="121"/>
      <c r="P561" s="121" t="s">
        <v>113</v>
      </c>
      <c r="Q561" s="121"/>
      <c r="R561" s="124">
        <v>166.4</v>
      </c>
      <c r="S561" s="121"/>
      <c r="T561" s="124">
        <f t="shared" si="9"/>
        <v>16289.35</v>
      </c>
    </row>
    <row r="562" spans="2:20" x14ac:dyDescent="0.4">
      <c r="B562" s="121" t="s">
        <v>135</v>
      </c>
      <c r="C562" s="121"/>
      <c r="D562" s="122">
        <v>41882</v>
      </c>
      <c r="E562" s="121"/>
      <c r="F562" s="121" t="s">
        <v>242</v>
      </c>
      <c r="G562" s="121"/>
      <c r="H562" s="121"/>
      <c r="I562" s="121"/>
      <c r="J562" s="121" t="s">
        <v>746</v>
      </c>
      <c r="K562" s="121"/>
      <c r="L562" s="121" t="s">
        <v>149</v>
      </c>
      <c r="M562" s="121"/>
      <c r="N562" s="123"/>
      <c r="O562" s="121"/>
      <c r="P562" s="121" t="s">
        <v>138</v>
      </c>
      <c r="Q562" s="121"/>
      <c r="R562" s="124">
        <v>-22.69</v>
      </c>
      <c r="S562" s="121"/>
      <c r="T562" s="124">
        <f t="shared" si="9"/>
        <v>16266.66</v>
      </c>
    </row>
    <row r="563" spans="2:20" x14ac:dyDescent="0.4">
      <c r="B563" s="121" t="s">
        <v>108</v>
      </c>
      <c r="C563" s="121"/>
      <c r="D563" s="122">
        <v>41904</v>
      </c>
      <c r="E563" s="121"/>
      <c r="F563" s="121" t="s">
        <v>747</v>
      </c>
      <c r="G563" s="121"/>
      <c r="H563" s="121" t="s">
        <v>686</v>
      </c>
      <c r="I563" s="121"/>
      <c r="J563" s="121" t="s">
        <v>747</v>
      </c>
      <c r="K563" s="121"/>
      <c r="L563" s="121" t="s">
        <v>149</v>
      </c>
      <c r="M563" s="121"/>
      <c r="N563" s="123"/>
      <c r="O563" s="121"/>
      <c r="P563" s="121" t="s">
        <v>113</v>
      </c>
      <c r="Q563" s="121"/>
      <c r="R563" s="124">
        <v>62.53</v>
      </c>
      <c r="S563" s="121"/>
      <c r="T563" s="124">
        <f t="shared" si="9"/>
        <v>16329.19</v>
      </c>
    </row>
    <row r="564" spans="2:20" x14ac:dyDescent="0.4">
      <c r="B564" s="121" t="s">
        <v>108</v>
      </c>
      <c r="C564" s="121"/>
      <c r="D564" s="122">
        <v>41904</v>
      </c>
      <c r="E564" s="121"/>
      <c r="F564" s="121" t="s">
        <v>747</v>
      </c>
      <c r="G564" s="121"/>
      <c r="H564" s="121" t="s">
        <v>686</v>
      </c>
      <c r="I564" s="121"/>
      <c r="J564" s="121" t="s">
        <v>747</v>
      </c>
      <c r="K564" s="121"/>
      <c r="L564" s="121"/>
      <c r="M564" s="121"/>
      <c r="N564" s="123"/>
      <c r="O564" s="121"/>
      <c r="P564" s="121" t="s">
        <v>113</v>
      </c>
      <c r="Q564" s="121"/>
      <c r="R564" s="124">
        <v>458.57</v>
      </c>
      <c r="S564" s="121"/>
      <c r="T564" s="124">
        <f t="shared" si="9"/>
        <v>16787.759999999998</v>
      </c>
    </row>
    <row r="565" spans="2:20" x14ac:dyDescent="0.4">
      <c r="B565" s="121" t="s">
        <v>108</v>
      </c>
      <c r="C565" s="121"/>
      <c r="D565" s="122">
        <v>41908</v>
      </c>
      <c r="E565" s="121"/>
      <c r="F565" s="121" t="s">
        <v>748</v>
      </c>
      <c r="G565" s="121"/>
      <c r="H565" s="121" t="s">
        <v>597</v>
      </c>
      <c r="I565" s="121"/>
      <c r="J565" s="121" t="s">
        <v>748</v>
      </c>
      <c r="K565" s="121"/>
      <c r="L565" s="121"/>
      <c r="M565" s="121"/>
      <c r="N565" s="123"/>
      <c r="O565" s="121"/>
      <c r="P565" s="121" t="s">
        <v>113</v>
      </c>
      <c r="Q565" s="121"/>
      <c r="R565" s="124">
        <v>4347.99</v>
      </c>
      <c r="S565" s="121"/>
      <c r="T565" s="124">
        <f t="shared" si="9"/>
        <v>21135.75</v>
      </c>
    </row>
    <row r="566" spans="2:20" x14ac:dyDescent="0.4">
      <c r="B566" s="121" t="s">
        <v>135</v>
      </c>
      <c r="C566" s="121"/>
      <c r="D566" s="122">
        <v>41912</v>
      </c>
      <c r="E566" s="121"/>
      <c r="F566" s="121" t="s">
        <v>233</v>
      </c>
      <c r="G566" s="121"/>
      <c r="H566" s="121"/>
      <c r="I566" s="121"/>
      <c r="J566" s="121" t="s">
        <v>749</v>
      </c>
      <c r="K566" s="121"/>
      <c r="L566" s="121" t="s">
        <v>149</v>
      </c>
      <c r="M566" s="121"/>
      <c r="N566" s="123"/>
      <c r="O566" s="121"/>
      <c r="P566" s="121" t="s">
        <v>138</v>
      </c>
      <c r="Q566" s="121"/>
      <c r="R566" s="124">
        <v>-62.53</v>
      </c>
      <c r="S566" s="121"/>
      <c r="T566" s="124">
        <f t="shared" si="9"/>
        <v>21073.22</v>
      </c>
    </row>
    <row r="567" spans="2:20" x14ac:dyDescent="0.4">
      <c r="B567" s="121" t="s">
        <v>313</v>
      </c>
      <c r="C567" s="121"/>
      <c r="D567" s="122">
        <v>41927</v>
      </c>
      <c r="E567" s="121"/>
      <c r="F567" s="121"/>
      <c r="G567" s="121"/>
      <c r="H567" s="121"/>
      <c r="I567" s="121"/>
      <c r="J567" s="121" t="s">
        <v>313</v>
      </c>
      <c r="K567" s="121"/>
      <c r="L567" s="121" t="s">
        <v>149</v>
      </c>
      <c r="M567" s="121"/>
      <c r="N567" s="123"/>
      <c r="O567" s="121"/>
      <c r="P567" s="121" t="s">
        <v>205</v>
      </c>
      <c r="Q567" s="121"/>
      <c r="R567" s="124">
        <v>-16.57</v>
      </c>
      <c r="S567" s="121"/>
      <c r="T567" s="124">
        <f t="shared" si="9"/>
        <v>21056.65</v>
      </c>
    </row>
    <row r="568" spans="2:20" x14ac:dyDescent="0.4">
      <c r="B568" s="121" t="s">
        <v>313</v>
      </c>
      <c r="C568" s="121"/>
      <c r="D568" s="122">
        <v>41927</v>
      </c>
      <c r="E568" s="121"/>
      <c r="F568" s="121"/>
      <c r="G568" s="121"/>
      <c r="H568" s="121"/>
      <c r="I568" s="121"/>
      <c r="J568" s="121" t="s">
        <v>313</v>
      </c>
      <c r="K568" s="121"/>
      <c r="L568" s="121"/>
      <c r="M568" s="121"/>
      <c r="N568" s="123"/>
      <c r="O568" s="121"/>
      <c r="P568" s="121" t="s">
        <v>205</v>
      </c>
      <c r="Q568" s="121"/>
      <c r="R568" s="124">
        <v>-121.54</v>
      </c>
      <c r="S568" s="121"/>
      <c r="T568" s="124">
        <f t="shared" si="9"/>
        <v>20935.11</v>
      </c>
    </row>
    <row r="569" spans="2:20" x14ac:dyDescent="0.4">
      <c r="B569" s="121" t="s">
        <v>108</v>
      </c>
      <c r="C569" s="121"/>
      <c r="D569" s="122">
        <v>41942</v>
      </c>
      <c r="E569" s="121"/>
      <c r="F569" s="121" t="s">
        <v>750</v>
      </c>
      <c r="G569" s="121"/>
      <c r="H569" s="121" t="s">
        <v>701</v>
      </c>
      <c r="I569" s="121"/>
      <c r="J569" s="121" t="s">
        <v>750</v>
      </c>
      <c r="K569" s="121"/>
      <c r="L569" s="121"/>
      <c r="M569" s="121"/>
      <c r="N569" s="123"/>
      <c r="O569" s="121"/>
      <c r="P569" s="121" t="s">
        <v>113</v>
      </c>
      <c r="Q569" s="121"/>
      <c r="R569" s="124">
        <v>225.77</v>
      </c>
      <c r="S569" s="121"/>
      <c r="T569" s="124">
        <f t="shared" si="9"/>
        <v>21160.880000000001</v>
      </c>
    </row>
    <row r="570" spans="2:20" x14ac:dyDescent="0.4">
      <c r="B570" s="121" t="s">
        <v>135</v>
      </c>
      <c r="C570" s="121"/>
      <c r="D570" s="122">
        <v>41943</v>
      </c>
      <c r="E570" s="121"/>
      <c r="F570" s="121" t="s">
        <v>240</v>
      </c>
      <c r="G570" s="121"/>
      <c r="H570" s="121"/>
      <c r="I570" s="121"/>
      <c r="J570" s="121" t="s">
        <v>751</v>
      </c>
      <c r="K570" s="121"/>
      <c r="L570" s="121" t="s">
        <v>149</v>
      </c>
      <c r="M570" s="121"/>
      <c r="N570" s="123"/>
      <c r="O570" s="121"/>
      <c r="P570" s="121" t="s">
        <v>138</v>
      </c>
      <c r="Q570" s="121"/>
      <c r="R570" s="124">
        <v>16.57</v>
      </c>
      <c r="S570" s="121"/>
      <c r="T570" s="124">
        <f t="shared" si="9"/>
        <v>21177.45</v>
      </c>
    </row>
    <row r="571" spans="2:20" x14ac:dyDescent="0.4">
      <c r="B571" s="121" t="s">
        <v>108</v>
      </c>
      <c r="C571" s="121"/>
      <c r="D571" s="122">
        <v>41949</v>
      </c>
      <c r="E571" s="121"/>
      <c r="F571" s="121" t="s">
        <v>752</v>
      </c>
      <c r="G571" s="121"/>
      <c r="H571" s="121" t="s">
        <v>701</v>
      </c>
      <c r="I571" s="121"/>
      <c r="J571" s="121" t="s">
        <v>752</v>
      </c>
      <c r="K571" s="121"/>
      <c r="L571" s="121"/>
      <c r="M571" s="121"/>
      <c r="N571" s="123"/>
      <c r="O571" s="121"/>
      <c r="P571" s="121" t="s">
        <v>113</v>
      </c>
      <c r="Q571" s="121"/>
      <c r="R571" s="124">
        <v>57</v>
      </c>
      <c r="S571" s="121"/>
      <c r="T571" s="124">
        <f t="shared" si="9"/>
        <v>21234.45</v>
      </c>
    </row>
    <row r="572" spans="2:20" x14ac:dyDescent="0.4">
      <c r="B572" s="121" t="s">
        <v>108</v>
      </c>
      <c r="C572" s="121"/>
      <c r="D572" s="122">
        <v>41985</v>
      </c>
      <c r="E572" s="121"/>
      <c r="F572" s="121" t="s">
        <v>753</v>
      </c>
      <c r="G572" s="121"/>
      <c r="H572" s="121" t="s">
        <v>701</v>
      </c>
      <c r="I572" s="121"/>
      <c r="J572" s="121" t="s">
        <v>753</v>
      </c>
      <c r="K572" s="121"/>
      <c r="L572" s="121"/>
      <c r="M572" s="121"/>
      <c r="N572" s="123"/>
      <c r="O572" s="121"/>
      <c r="P572" s="121" t="s">
        <v>113</v>
      </c>
      <c r="Q572" s="121"/>
      <c r="R572" s="124">
        <v>57</v>
      </c>
      <c r="S572" s="121"/>
      <c r="T572" s="124">
        <f t="shared" si="9"/>
        <v>21291.45</v>
      </c>
    </row>
    <row r="573" spans="2:20" x14ac:dyDescent="0.4">
      <c r="B573" s="121" t="s">
        <v>108</v>
      </c>
      <c r="C573" s="121"/>
      <c r="D573" s="122">
        <v>42012</v>
      </c>
      <c r="E573" s="121"/>
      <c r="F573" s="121" t="s">
        <v>754</v>
      </c>
      <c r="G573" s="121"/>
      <c r="H573" s="121" t="s">
        <v>701</v>
      </c>
      <c r="I573" s="121"/>
      <c r="J573" s="121" t="s">
        <v>754</v>
      </c>
      <c r="K573" s="121"/>
      <c r="L573" s="121"/>
      <c r="M573" s="121"/>
      <c r="N573" s="123"/>
      <c r="O573" s="121"/>
      <c r="P573" s="121" t="s">
        <v>113</v>
      </c>
      <c r="Q573" s="121"/>
      <c r="R573" s="124">
        <v>57</v>
      </c>
      <c r="S573" s="121"/>
      <c r="T573" s="124">
        <f t="shared" si="9"/>
        <v>21348.45</v>
      </c>
    </row>
    <row r="574" spans="2:20" x14ac:dyDescent="0.4">
      <c r="B574" s="121" t="s">
        <v>108</v>
      </c>
      <c r="C574" s="121"/>
      <c r="D574" s="122">
        <v>42019</v>
      </c>
      <c r="E574" s="121"/>
      <c r="F574" s="121" t="s">
        <v>755</v>
      </c>
      <c r="G574" s="121"/>
      <c r="H574" s="121" t="s">
        <v>701</v>
      </c>
      <c r="I574" s="121"/>
      <c r="J574" s="121" t="s">
        <v>755</v>
      </c>
      <c r="K574" s="121"/>
      <c r="L574" s="121"/>
      <c r="M574" s="121"/>
      <c r="N574" s="123"/>
      <c r="O574" s="121"/>
      <c r="P574" s="121" t="s">
        <v>113</v>
      </c>
      <c r="Q574" s="121"/>
      <c r="R574" s="124">
        <v>459.31</v>
      </c>
      <c r="S574" s="121"/>
      <c r="T574" s="124">
        <f t="shared" si="9"/>
        <v>21807.759999999998</v>
      </c>
    </row>
    <row r="575" spans="2:20" x14ac:dyDescent="0.4">
      <c r="B575" s="121" t="s">
        <v>108</v>
      </c>
      <c r="C575" s="121"/>
      <c r="D575" s="122">
        <v>42094</v>
      </c>
      <c r="E575" s="121"/>
      <c r="F575" s="121"/>
      <c r="G575" s="121"/>
      <c r="H575" s="121" t="s">
        <v>732</v>
      </c>
      <c r="I575" s="121"/>
      <c r="J575" s="121"/>
      <c r="K575" s="121"/>
      <c r="L575" s="121"/>
      <c r="M575" s="121"/>
      <c r="N575" s="123"/>
      <c r="O575" s="121"/>
      <c r="P575" s="121" t="s">
        <v>113</v>
      </c>
      <c r="Q575" s="121"/>
      <c r="R575" s="124">
        <v>138.11000000000001</v>
      </c>
      <c r="S575" s="121"/>
      <c r="T575" s="124">
        <f t="shared" si="9"/>
        <v>21945.87</v>
      </c>
    </row>
    <row r="576" spans="2:20" x14ac:dyDescent="0.4">
      <c r="B576" s="121" t="s">
        <v>108</v>
      </c>
      <c r="C576" s="121"/>
      <c r="D576" s="122">
        <v>42094</v>
      </c>
      <c r="E576" s="121"/>
      <c r="F576" s="121"/>
      <c r="G576" s="121"/>
      <c r="H576" s="121" t="s">
        <v>732</v>
      </c>
      <c r="I576" s="121"/>
      <c r="J576" s="121"/>
      <c r="K576" s="121"/>
      <c r="L576" s="121"/>
      <c r="M576" s="121"/>
      <c r="N576" s="123"/>
      <c r="O576" s="121"/>
      <c r="P576" s="121" t="s">
        <v>113</v>
      </c>
      <c r="Q576" s="121"/>
      <c r="R576" s="124"/>
      <c r="S576" s="121"/>
      <c r="T576" s="124">
        <f t="shared" si="9"/>
        <v>21945.87</v>
      </c>
    </row>
    <row r="577" spans="2:20" x14ac:dyDescent="0.4">
      <c r="B577" s="121" t="s">
        <v>108</v>
      </c>
      <c r="C577" s="121"/>
      <c r="D577" s="122">
        <v>42102</v>
      </c>
      <c r="E577" s="121"/>
      <c r="F577" s="121" t="s">
        <v>756</v>
      </c>
      <c r="G577" s="121"/>
      <c r="H577" s="121" t="s">
        <v>701</v>
      </c>
      <c r="I577" s="121"/>
      <c r="J577" s="121" t="s">
        <v>756</v>
      </c>
      <c r="K577" s="121"/>
      <c r="L577" s="121" t="s">
        <v>149</v>
      </c>
      <c r="M577" s="121"/>
      <c r="N577" s="123"/>
      <c r="O577" s="121"/>
      <c r="P577" s="121" t="s">
        <v>113</v>
      </c>
      <c r="Q577" s="121"/>
      <c r="R577" s="124">
        <v>56.16</v>
      </c>
      <c r="S577" s="121"/>
      <c r="T577" s="124">
        <f t="shared" si="9"/>
        <v>22002.03</v>
      </c>
    </row>
    <row r="578" spans="2:20" x14ac:dyDescent="0.4">
      <c r="B578" s="121" t="s">
        <v>108</v>
      </c>
      <c r="C578" s="121"/>
      <c r="D578" s="122">
        <v>42102</v>
      </c>
      <c r="E578" s="121"/>
      <c r="F578" s="121" t="s">
        <v>756</v>
      </c>
      <c r="G578" s="121"/>
      <c r="H578" s="121" t="s">
        <v>701</v>
      </c>
      <c r="I578" s="121"/>
      <c r="J578" s="121" t="s">
        <v>756</v>
      </c>
      <c r="K578" s="121"/>
      <c r="L578" s="121"/>
      <c r="M578" s="121"/>
      <c r="N578" s="123"/>
      <c r="O578" s="121"/>
      <c r="P578" s="121" t="s">
        <v>113</v>
      </c>
      <c r="Q578" s="121"/>
      <c r="R578" s="124">
        <v>411.84</v>
      </c>
      <c r="S578" s="121"/>
      <c r="T578" s="124">
        <f t="shared" si="9"/>
        <v>22413.87</v>
      </c>
    </row>
    <row r="579" spans="2:20" x14ac:dyDescent="0.4">
      <c r="B579" s="121" t="s">
        <v>135</v>
      </c>
      <c r="C579" s="121"/>
      <c r="D579" s="122">
        <v>42124</v>
      </c>
      <c r="E579" s="121"/>
      <c r="F579" s="121" t="s">
        <v>240</v>
      </c>
      <c r="G579" s="121"/>
      <c r="H579" s="121"/>
      <c r="I579" s="121"/>
      <c r="J579" s="121" t="s">
        <v>757</v>
      </c>
      <c r="K579" s="121"/>
      <c r="L579" s="121" t="s">
        <v>149</v>
      </c>
      <c r="M579" s="121"/>
      <c r="N579" s="123"/>
      <c r="O579" s="121"/>
      <c r="P579" s="121" t="s">
        <v>138</v>
      </c>
      <c r="Q579" s="121"/>
      <c r="R579" s="124">
        <v>-56.16</v>
      </c>
      <c r="S579" s="121"/>
      <c r="T579" s="124">
        <f t="shared" si="9"/>
        <v>22357.71</v>
      </c>
    </row>
    <row r="580" spans="2:20" x14ac:dyDescent="0.4">
      <c r="B580" s="121" t="s">
        <v>108</v>
      </c>
      <c r="C580" s="121"/>
      <c r="D580" s="122">
        <v>42159</v>
      </c>
      <c r="E580" s="121"/>
      <c r="F580" s="121" t="s">
        <v>758</v>
      </c>
      <c r="G580" s="121"/>
      <c r="H580" s="121" t="s">
        <v>597</v>
      </c>
      <c r="I580" s="121"/>
      <c r="J580" s="121" t="s">
        <v>758</v>
      </c>
      <c r="K580" s="121"/>
      <c r="L580" s="121" t="s">
        <v>149</v>
      </c>
      <c r="M580" s="121"/>
      <c r="N580" s="123"/>
      <c r="O580" s="121"/>
      <c r="P580" s="121" t="s">
        <v>113</v>
      </c>
      <c r="Q580" s="121"/>
      <c r="R580" s="124">
        <v>450.08</v>
      </c>
      <c r="S580" s="121"/>
      <c r="T580" s="124">
        <f t="shared" si="9"/>
        <v>22807.79</v>
      </c>
    </row>
    <row r="581" spans="2:20" x14ac:dyDescent="0.4">
      <c r="B581" s="121" t="s">
        <v>108</v>
      </c>
      <c r="C581" s="121"/>
      <c r="D581" s="122">
        <v>42159</v>
      </c>
      <c r="E581" s="121"/>
      <c r="F581" s="121" t="s">
        <v>758</v>
      </c>
      <c r="G581" s="121"/>
      <c r="H581" s="121" t="s">
        <v>597</v>
      </c>
      <c r="I581" s="121"/>
      <c r="J581" s="121" t="s">
        <v>758</v>
      </c>
      <c r="K581" s="121"/>
      <c r="L581" s="121"/>
      <c r="M581" s="121"/>
      <c r="N581" s="123"/>
      <c r="O581" s="121"/>
      <c r="P581" s="121" t="s">
        <v>113</v>
      </c>
      <c r="Q581" s="121"/>
      <c r="R581" s="124">
        <v>3300.57</v>
      </c>
      <c r="S581" s="121"/>
      <c r="T581" s="124">
        <f t="shared" si="9"/>
        <v>26108.36</v>
      </c>
    </row>
    <row r="582" spans="2:20" x14ac:dyDescent="0.4">
      <c r="B582" s="121" t="s">
        <v>135</v>
      </c>
      <c r="C582" s="121"/>
      <c r="D582" s="122">
        <v>42185</v>
      </c>
      <c r="E582" s="121"/>
      <c r="F582" s="121" t="s">
        <v>212</v>
      </c>
      <c r="G582" s="121"/>
      <c r="H582" s="121"/>
      <c r="I582" s="121"/>
      <c r="J582" s="121" t="s">
        <v>759</v>
      </c>
      <c r="K582" s="121"/>
      <c r="L582" s="121" t="s">
        <v>149</v>
      </c>
      <c r="M582" s="121"/>
      <c r="N582" s="123"/>
      <c r="O582" s="121"/>
      <c r="P582" s="121" t="s">
        <v>138</v>
      </c>
      <c r="Q582" s="121"/>
      <c r="R582" s="124">
        <v>-450.08</v>
      </c>
      <c r="S582" s="121"/>
      <c r="T582" s="124">
        <f t="shared" si="9"/>
        <v>25658.28</v>
      </c>
    </row>
    <row r="583" spans="2:20" x14ac:dyDescent="0.4">
      <c r="B583" s="121" t="s">
        <v>108</v>
      </c>
      <c r="C583" s="121"/>
      <c r="D583" s="122">
        <v>42213</v>
      </c>
      <c r="E583" s="121"/>
      <c r="F583" s="121" t="s">
        <v>760</v>
      </c>
      <c r="G583" s="121"/>
      <c r="H583" s="121" t="s">
        <v>701</v>
      </c>
      <c r="I583" s="121"/>
      <c r="J583" s="121" t="s">
        <v>760</v>
      </c>
      <c r="K583" s="121"/>
      <c r="L583" s="121" t="s">
        <v>149</v>
      </c>
      <c r="M583" s="121"/>
      <c r="N583" s="123"/>
      <c r="O583" s="121"/>
      <c r="P583" s="121" t="s">
        <v>113</v>
      </c>
      <c r="Q583" s="121"/>
      <c r="R583" s="124">
        <v>82.44</v>
      </c>
      <c r="S583" s="121"/>
      <c r="T583" s="124">
        <f t="shared" si="9"/>
        <v>25740.720000000001</v>
      </c>
    </row>
    <row r="584" spans="2:20" x14ac:dyDescent="0.4">
      <c r="B584" s="121" t="s">
        <v>108</v>
      </c>
      <c r="C584" s="121"/>
      <c r="D584" s="122">
        <v>42213</v>
      </c>
      <c r="E584" s="121"/>
      <c r="F584" s="121" t="s">
        <v>760</v>
      </c>
      <c r="G584" s="121"/>
      <c r="H584" s="121" t="s">
        <v>701</v>
      </c>
      <c r="I584" s="121"/>
      <c r="J584" s="121" t="s">
        <v>760</v>
      </c>
      <c r="K584" s="121"/>
      <c r="L584" s="121"/>
      <c r="M584" s="121"/>
      <c r="N584" s="123"/>
      <c r="O584" s="121"/>
      <c r="P584" s="121" t="s">
        <v>113</v>
      </c>
      <c r="Q584" s="121"/>
      <c r="R584" s="124">
        <v>604.59</v>
      </c>
      <c r="S584" s="121"/>
      <c r="T584" s="124">
        <f t="shared" si="9"/>
        <v>26345.31</v>
      </c>
    </row>
    <row r="585" spans="2:20" x14ac:dyDescent="0.4">
      <c r="B585" s="121" t="s">
        <v>135</v>
      </c>
      <c r="C585" s="121"/>
      <c r="D585" s="122">
        <v>42216</v>
      </c>
      <c r="E585" s="121"/>
      <c r="F585" s="121" t="s">
        <v>422</v>
      </c>
      <c r="G585" s="121"/>
      <c r="H585" s="121"/>
      <c r="I585" s="121"/>
      <c r="J585" s="121" t="s">
        <v>761</v>
      </c>
      <c r="K585" s="121"/>
      <c r="L585" s="121" t="s">
        <v>149</v>
      </c>
      <c r="M585" s="121"/>
      <c r="N585" s="123"/>
      <c r="O585" s="121"/>
      <c r="P585" s="121" t="s">
        <v>138</v>
      </c>
      <c r="Q585" s="121"/>
      <c r="R585" s="124">
        <v>-82.44</v>
      </c>
      <c r="S585" s="121"/>
      <c r="T585" s="124">
        <f t="shared" si="9"/>
        <v>26262.87</v>
      </c>
    </row>
    <row r="586" spans="2:20" x14ac:dyDescent="0.4">
      <c r="B586" s="121" t="s">
        <v>108</v>
      </c>
      <c r="C586" s="121"/>
      <c r="D586" s="122">
        <v>42226</v>
      </c>
      <c r="E586" s="121"/>
      <c r="F586" s="121" t="s">
        <v>762</v>
      </c>
      <c r="G586" s="121"/>
      <c r="H586" s="121" t="s">
        <v>597</v>
      </c>
      <c r="I586" s="121"/>
      <c r="J586" s="121" t="s">
        <v>762</v>
      </c>
      <c r="K586" s="121"/>
      <c r="L586" s="121" t="s">
        <v>149</v>
      </c>
      <c r="M586" s="121"/>
      <c r="N586" s="123"/>
      <c r="O586" s="121"/>
      <c r="P586" s="121" t="s">
        <v>113</v>
      </c>
      <c r="Q586" s="121"/>
      <c r="R586" s="124">
        <v>211.2</v>
      </c>
      <c r="S586" s="121"/>
      <c r="T586" s="124">
        <f t="shared" si="9"/>
        <v>26474.07</v>
      </c>
    </row>
    <row r="587" spans="2:20" x14ac:dyDescent="0.4">
      <c r="B587" s="121" t="s">
        <v>108</v>
      </c>
      <c r="C587" s="121"/>
      <c r="D587" s="122">
        <v>42226</v>
      </c>
      <c r="E587" s="121"/>
      <c r="F587" s="121" t="s">
        <v>762</v>
      </c>
      <c r="G587" s="121"/>
      <c r="H587" s="121" t="s">
        <v>597</v>
      </c>
      <c r="I587" s="121"/>
      <c r="J587" s="121" t="s">
        <v>762</v>
      </c>
      <c r="K587" s="121"/>
      <c r="L587" s="121"/>
      <c r="M587" s="121"/>
      <c r="N587" s="123"/>
      <c r="O587" s="121"/>
      <c r="P587" s="121" t="s">
        <v>113</v>
      </c>
      <c r="Q587" s="121"/>
      <c r="R587" s="124">
        <v>1548.8</v>
      </c>
      <c r="S587" s="121"/>
      <c r="T587" s="124">
        <f t="shared" si="9"/>
        <v>28022.87</v>
      </c>
    </row>
    <row r="588" spans="2:20" x14ac:dyDescent="0.4">
      <c r="B588" s="121" t="s">
        <v>108</v>
      </c>
      <c r="C588" s="121"/>
      <c r="D588" s="122">
        <v>42236</v>
      </c>
      <c r="E588" s="121"/>
      <c r="F588" s="121" t="s">
        <v>763</v>
      </c>
      <c r="G588" s="121"/>
      <c r="H588" s="121" t="s">
        <v>696</v>
      </c>
      <c r="I588" s="121"/>
      <c r="J588" s="121" t="s">
        <v>763</v>
      </c>
      <c r="K588" s="121"/>
      <c r="L588" s="121" t="s">
        <v>149</v>
      </c>
      <c r="M588" s="121"/>
      <c r="N588" s="123"/>
      <c r="O588" s="121"/>
      <c r="P588" s="121" t="s">
        <v>113</v>
      </c>
      <c r="Q588" s="121"/>
      <c r="R588" s="124">
        <v>115.99</v>
      </c>
      <c r="S588" s="121"/>
      <c r="T588" s="124">
        <f t="shared" ref="T588:T651" si="10">ROUND(T587+R588,5)</f>
        <v>28138.86</v>
      </c>
    </row>
    <row r="589" spans="2:20" x14ac:dyDescent="0.4">
      <c r="B589" s="121" t="s">
        <v>108</v>
      </c>
      <c r="C589" s="121"/>
      <c r="D589" s="122">
        <v>42236</v>
      </c>
      <c r="E589" s="121"/>
      <c r="F589" s="121" t="s">
        <v>763</v>
      </c>
      <c r="G589" s="121"/>
      <c r="H589" s="121" t="s">
        <v>696</v>
      </c>
      <c r="I589" s="121"/>
      <c r="J589" s="121" t="s">
        <v>763</v>
      </c>
      <c r="K589" s="121"/>
      <c r="L589" s="121"/>
      <c r="M589" s="121"/>
      <c r="N589" s="123"/>
      <c r="O589" s="121"/>
      <c r="P589" s="121" t="s">
        <v>113</v>
      </c>
      <c r="Q589" s="121"/>
      <c r="R589" s="124">
        <v>850.63</v>
      </c>
      <c r="S589" s="121"/>
      <c r="T589" s="124">
        <f t="shared" si="10"/>
        <v>28989.49</v>
      </c>
    </row>
    <row r="590" spans="2:20" x14ac:dyDescent="0.4">
      <c r="B590" s="121" t="s">
        <v>135</v>
      </c>
      <c r="C590" s="121"/>
      <c r="D590" s="122">
        <v>42247</v>
      </c>
      <c r="E590" s="121"/>
      <c r="F590" s="121" t="s">
        <v>212</v>
      </c>
      <c r="G590" s="121"/>
      <c r="H590" s="121"/>
      <c r="I590" s="121"/>
      <c r="J590" s="121" t="s">
        <v>764</v>
      </c>
      <c r="K590" s="121"/>
      <c r="L590" s="121" t="s">
        <v>149</v>
      </c>
      <c r="M590" s="121"/>
      <c r="N590" s="123"/>
      <c r="O590" s="121"/>
      <c r="P590" s="121" t="s">
        <v>138</v>
      </c>
      <c r="Q590" s="121"/>
      <c r="R590" s="124">
        <v>-327.19</v>
      </c>
      <c r="S590" s="121"/>
      <c r="T590" s="124">
        <f t="shared" si="10"/>
        <v>28662.3</v>
      </c>
    </row>
    <row r="591" spans="2:20" x14ac:dyDescent="0.4">
      <c r="B591" s="121" t="s">
        <v>135</v>
      </c>
      <c r="C591" s="121"/>
      <c r="D591" s="122">
        <v>42277</v>
      </c>
      <c r="E591" s="121"/>
      <c r="F591" s="121" t="s">
        <v>242</v>
      </c>
      <c r="G591" s="121"/>
      <c r="H591" s="121"/>
      <c r="I591" s="121"/>
      <c r="J591" s="121" t="s">
        <v>765</v>
      </c>
      <c r="K591" s="121"/>
      <c r="L591" s="121" t="s">
        <v>149</v>
      </c>
      <c r="M591" s="121"/>
      <c r="N591" s="123"/>
      <c r="O591" s="121"/>
      <c r="P591" s="121" t="s">
        <v>138</v>
      </c>
      <c r="Q591" s="121"/>
      <c r="R591" s="124">
        <v>-640.67999999999995</v>
      </c>
      <c r="S591" s="121"/>
      <c r="T591" s="124">
        <f t="shared" si="10"/>
        <v>28021.62</v>
      </c>
    </row>
    <row r="592" spans="2:20" x14ac:dyDescent="0.4">
      <c r="B592" s="121" t="s">
        <v>135</v>
      </c>
      <c r="C592" s="121"/>
      <c r="D592" s="122">
        <v>42277</v>
      </c>
      <c r="E592" s="121"/>
      <c r="F592" s="121" t="s">
        <v>240</v>
      </c>
      <c r="G592" s="121"/>
      <c r="H592" s="121"/>
      <c r="I592" s="121"/>
      <c r="J592" s="121" t="s">
        <v>766</v>
      </c>
      <c r="K592" s="121"/>
      <c r="L592" s="121" t="s">
        <v>149</v>
      </c>
      <c r="M592" s="121"/>
      <c r="N592" s="123"/>
      <c r="O592" s="121"/>
      <c r="P592" s="121" t="s">
        <v>138</v>
      </c>
      <c r="Q592" s="121"/>
      <c r="R592" s="124">
        <v>640.67999999999995</v>
      </c>
      <c r="S592" s="121"/>
      <c r="T592" s="124">
        <f t="shared" si="10"/>
        <v>28662.3</v>
      </c>
    </row>
    <row r="593" spans="2:20" x14ac:dyDescent="0.4">
      <c r="B593" s="121" t="s">
        <v>108</v>
      </c>
      <c r="C593" s="121"/>
      <c r="D593" s="122">
        <v>42383</v>
      </c>
      <c r="E593" s="121"/>
      <c r="F593" s="121" t="s">
        <v>767</v>
      </c>
      <c r="G593" s="121"/>
      <c r="H593" s="121" t="s">
        <v>597</v>
      </c>
      <c r="I593" s="121"/>
      <c r="J593" s="121" t="s">
        <v>767</v>
      </c>
      <c r="K593" s="121"/>
      <c r="L593" s="121" t="s">
        <v>149</v>
      </c>
      <c r="M593" s="121"/>
      <c r="N593" s="123"/>
      <c r="O593" s="121"/>
      <c r="P593" s="121" t="s">
        <v>113</v>
      </c>
      <c r="Q593" s="121"/>
      <c r="R593" s="124">
        <v>11.25</v>
      </c>
      <c r="S593" s="121"/>
      <c r="T593" s="124">
        <f t="shared" si="10"/>
        <v>28673.55</v>
      </c>
    </row>
    <row r="594" spans="2:20" x14ac:dyDescent="0.4">
      <c r="B594" s="121" t="s">
        <v>108</v>
      </c>
      <c r="C594" s="121"/>
      <c r="D594" s="122">
        <v>42383</v>
      </c>
      <c r="E594" s="121"/>
      <c r="F594" s="121" t="s">
        <v>767</v>
      </c>
      <c r="G594" s="121"/>
      <c r="H594" s="121" t="s">
        <v>597</v>
      </c>
      <c r="I594" s="121"/>
      <c r="J594" s="121" t="s">
        <v>767</v>
      </c>
      <c r="K594" s="121"/>
      <c r="L594" s="121"/>
      <c r="M594" s="121"/>
      <c r="N594" s="123"/>
      <c r="O594" s="121"/>
      <c r="P594" s="121" t="s">
        <v>113</v>
      </c>
      <c r="Q594" s="121"/>
      <c r="R594" s="124">
        <v>113.75</v>
      </c>
      <c r="S594" s="121"/>
      <c r="T594" s="124">
        <f t="shared" si="10"/>
        <v>28787.3</v>
      </c>
    </row>
    <row r="595" spans="2:20" x14ac:dyDescent="0.4">
      <c r="B595" s="121" t="s">
        <v>108</v>
      </c>
      <c r="C595" s="121"/>
      <c r="D595" s="122">
        <v>42395</v>
      </c>
      <c r="E595" s="121"/>
      <c r="F595" s="121" t="s">
        <v>768</v>
      </c>
      <c r="G595" s="121"/>
      <c r="H595" s="121" t="s">
        <v>701</v>
      </c>
      <c r="I595" s="121"/>
      <c r="J595" s="121" t="s">
        <v>768</v>
      </c>
      <c r="K595" s="121"/>
      <c r="L595" s="121" t="s">
        <v>149</v>
      </c>
      <c r="M595" s="121"/>
      <c r="N595" s="123"/>
      <c r="O595" s="121"/>
      <c r="P595" s="121" t="s">
        <v>113</v>
      </c>
      <c r="Q595" s="121"/>
      <c r="R595" s="124">
        <v>78.349999999999994</v>
      </c>
      <c r="S595" s="121"/>
      <c r="T595" s="124">
        <f t="shared" si="10"/>
        <v>28865.65</v>
      </c>
    </row>
    <row r="596" spans="2:20" x14ac:dyDescent="0.4">
      <c r="B596" s="121" t="s">
        <v>108</v>
      </c>
      <c r="C596" s="121"/>
      <c r="D596" s="122">
        <v>42395</v>
      </c>
      <c r="E596" s="121"/>
      <c r="F596" s="121" t="s">
        <v>768</v>
      </c>
      <c r="G596" s="121"/>
      <c r="H596" s="121" t="s">
        <v>701</v>
      </c>
      <c r="I596" s="121"/>
      <c r="J596" s="121" t="s">
        <v>768</v>
      </c>
      <c r="K596" s="121"/>
      <c r="L596" s="121"/>
      <c r="M596" s="121"/>
      <c r="N596" s="123"/>
      <c r="O596" s="121"/>
      <c r="P596" s="121" t="s">
        <v>113</v>
      </c>
      <c r="Q596" s="121"/>
      <c r="R596" s="124">
        <v>792.23</v>
      </c>
      <c r="S596" s="121"/>
      <c r="T596" s="124">
        <f t="shared" si="10"/>
        <v>29657.88</v>
      </c>
    </row>
    <row r="597" spans="2:20" x14ac:dyDescent="0.4">
      <c r="B597" s="121" t="s">
        <v>135</v>
      </c>
      <c r="C597" s="121"/>
      <c r="D597" s="122">
        <v>42400</v>
      </c>
      <c r="E597" s="121"/>
      <c r="F597" s="121" t="s">
        <v>212</v>
      </c>
      <c r="G597" s="121"/>
      <c r="H597" s="121"/>
      <c r="I597" s="121"/>
      <c r="J597" s="121" t="s">
        <v>769</v>
      </c>
      <c r="K597" s="121"/>
      <c r="L597" s="121" t="s">
        <v>149</v>
      </c>
      <c r="M597" s="121"/>
      <c r="N597" s="123"/>
      <c r="O597" s="121"/>
      <c r="P597" s="121" t="s">
        <v>138</v>
      </c>
      <c r="Q597" s="121"/>
      <c r="R597" s="124">
        <v>-89.6</v>
      </c>
      <c r="S597" s="121"/>
      <c r="T597" s="124">
        <f t="shared" si="10"/>
        <v>29568.28</v>
      </c>
    </row>
    <row r="598" spans="2:20" x14ac:dyDescent="0.4">
      <c r="B598" s="121" t="s">
        <v>108</v>
      </c>
      <c r="C598" s="121"/>
      <c r="D598" s="122">
        <v>42403</v>
      </c>
      <c r="E598" s="121"/>
      <c r="F598" s="121" t="s">
        <v>770</v>
      </c>
      <c r="G598" s="121"/>
      <c r="H598" s="121" t="s">
        <v>701</v>
      </c>
      <c r="I598" s="121"/>
      <c r="J598" s="121" t="s">
        <v>770</v>
      </c>
      <c r="K598" s="121"/>
      <c r="L598" s="121" t="s">
        <v>149</v>
      </c>
      <c r="M598" s="121"/>
      <c r="N598" s="123"/>
      <c r="O598" s="121"/>
      <c r="P598" s="121" t="s">
        <v>113</v>
      </c>
      <c r="Q598" s="121"/>
      <c r="R598" s="124">
        <v>39.11</v>
      </c>
      <c r="S598" s="121"/>
      <c r="T598" s="124">
        <f t="shared" si="10"/>
        <v>29607.39</v>
      </c>
    </row>
    <row r="599" spans="2:20" x14ac:dyDescent="0.4">
      <c r="B599" s="121" t="s">
        <v>108</v>
      </c>
      <c r="C599" s="121"/>
      <c r="D599" s="122">
        <v>42403</v>
      </c>
      <c r="E599" s="121"/>
      <c r="F599" s="121" t="s">
        <v>770</v>
      </c>
      <c r="G599" s="121"/>
      <c r="H599" s="121" t="s">
        <v>701</v>
      </c>
      <c r="I599" s="121"/>
      <c r="J599" s="121" t="s">
        <v>770</v>
      </c>
      <c r="K599" s="121"/>
      <c r="L599" s="121"/>
      <c r="M599" s="121"/>
      <c r="N599" s="123"/>
      <c r="O599" s="121"/>
      <c r="P599" s="121" t="s">
        <v>113</v>
      </c>
      <c r="Q599" s="121"/>
      <c r="R599" s="124">
        <v>395.41</v>
      </c>
      <c r="S599" s="121"/>
      <c r="T599" s="124">
        <f t="shared" si="10"/>
        <v>30002.799999999999</v>
      </c>
    </row>
    <row r="600" spans="2:20" x14ac:dyDescent="0.4">
      <c r="B600" s="121" t="s">
        <v>108</v>
      </c>
      <c r="C600" s="121"/>
      <c r="D600" s="122">
        <v>42416</v>
      </c>
      <c r="E600" s="121"/>
      <c r="F600" s="121" t="s">
        <v>771</v>
      </c>
      <c r="G600" s="121"/>
      <c r="H600" s="121" t="s">
        <v>701</v>
      </c>
      <c r="I600" s="121"/>
      <c r="J600" s="121" t="s">
        <v>771</v>
      </c>
      <c r="K600" s="121"/>
      <c r="L600" s="121" t="s">
        <v>149</v>
      </c>
      <c r="M600" s="121"/>
      <c r="N600" s="123"/>
      <c r="O600" s="121"/>
      <c r="P600" s="121" t="s">
        <v>113</v>
      </c>
      <c r="Q600" s="121"/>
      <c r="R600" s="124">
        <v>15.53</v>
      </c>
      <c r="S600" s="121"/>
      <c r="T600" s="124">
        <f t="shared" si="10"/>
        <v>30018.33</v>
      </c>
    </row>
    <row r="601" spans="2:20" x14ac:dyDescent="0.4">
      <c r="B601" s="121" t="s">
        <v>108</v>
      </c>
      <c r="C601" s="121"/>
      <c r="D601" s="122">
        <v>42416</v>
      </c>
      <c r="E601" s="121"/>
      <c r="F601" s="121" t="s">
        <v>771</v>
      </c>
      <c r="G601" s="121"/>
      <c r="H601" s="121" t="s">
        <v>701</v>
      </c>
      <c r="I601" s="121"/>
      <c r="J601" s="121" t="s">
        <v>771</v>
      </c>
      <c r="K601" s="121"/>
      <c r="L601" s="121"/>
      <c r="M601" s="121"/>
      <c r="N601" s="123"/>
      <c r="O601" s="121"/>
      <c r="P601" s="121" t="s">
        <v>113</v>
      </c>
      <c r="Q601" s="121"/>
      <c r="R601" s="124">
        <v>156.97</v>
      </c>
      <c r="S601" s="121"/>
      <c r="T601" s="124">
        <f t="shared" si="10"/>
        <v>30175.3</v>
      </c>
    </row>
    <row r="602" spans="2:20" x14ac:dyDescent="0.4">
      <c r="B602" s="121" t="s">
        <v>108</v>
      </c>
      <c r="C602" s="121"/>
      <c r="D602" s="122">
        <v>42417</v>
      </c>
      <c r="E602" s="121"/>
      <c r="F602" s="121" t="s">
        <v>772</v>
      </c>
      <c r="G602" s="121"/>
      <c r="H602" s="121" t="s">
        <v>701</v>
      </c>
      <c r="I602" s="121"/>
      <c r="J602" s="121" t="s">
        <v>772</v>
      </c>
      <c r="K602" s="121"/>
      <c r="L602" s="121" t="s">
        <v>149</v>
      </c>
      <c r="M602" s="121"/>
      <c r="N602" s="123"/>
      <c r="O602" s="121"/>
      <c r="P602" s="121" t="s">
        <v>113</v>
      </c>
      <c r="Q602" s="121"/>
      <c r="R602" s="124">
        <v>4.29</v>
      </c>
      <c r="S602" s="121"/>
      <c r="T602" s="124">
        <f t="shared" si="10"/>
        <v>30179.59</v>
      </c>
    </row>
    <row r="603" spans="2:20" x14ac:dyDescent="0.4">
      <c r="B603" s="121" t="s">
        <v>108</v>
      </c>
      <c r="C603" s="121"/>
      <c r="D603" s="122">
        <v>42417</v>
      </c>
      <c r="E603" s="121"/>
      <c r="F603" s="121" t="s">
        <v>772</v>
      </c>
      <c r="G603" s="121"/>
      <c r="H603" s="121" t="s">
        <v>701</v>
      </c>
      <c r="I603" s="121"/>
      <c r="J603" s="121" t="s">
        <v>772</v>
      </c>
      <c r="K603" s="121"/>
      <c r="L603" s="121"/>
      <c r="M603" s="121"/>
      <c r="N603" s="123"/>
      <c r="O603" s="121"/>
      <c r="P603" s="121" t="s">
        <v>113</v>
      </c>
      <c r="Q603" s="121"/>
      <c r="R603" s="124">
        <v>43.41</v>
      </c>
      <c r="S603" s="121"/>
      <c r="T603" s="124">
        <f t="shared" si="10"/>
        <v>30223</v>
      </c>
    </row>
    <row r="604" spans="2:20" x14ac:dyDescent="0.4">
      <c r="B604" s="121" t="s">
        <v>108</v>
      </c>
      <c r="C604" s="121"/>
      <c r="D604" s="122">
        <v>42424</v>
      </c>
      <c r="E604" s="121"/>
      <c r="F604" s="121" t="s">
        <v>773</v>
      </c>
      <c r="G604" s="121"/>
      <c r="H604" s="121" t="s">
        <v>701</v>
      </c>
      <c r="I604" s="121"/>
      <c r="J604" s="121" t="s">
        <v>773</v>
      </c>
      <c r="K604" s="121"/>
      <c r="L604" s="121" t="s">
        <v>149</v>
      </c>
      <c r="M604" s="121"/>
      <c r="N604" s="123"/>
      <c r="O604" s="121"/>
      <c r="P604" s="121" t="s">
        <v>113</v>
      </c>
      <c r="Q604" s="121"/>
      <c r="R604" s="124">
        <v>16.48</v>
      </c>
      <c r="S604" s="121"/>
      <c r="T604" s="124">
        <f t="shared" si="10"/>
        <v>30239.48</v>
      </c>
    </row>
    <row r="605" spans="2:20" x14ac:dyDescent="0.4">
      <c r="B605" s="121" t="s">
        <v>108</v>
      </c>
      <c r="C605" s="121"/>
      <c r="D605" s="122">
        <v>42424</v>
      </c>
      <c r="E605" s="121"/>
      <c r="F605" s="121" t="s">
        <v>773</v>
      </c>
      <c r="G605" s="121"/>
      <c r="H605" s="121" t="s">
        <v>701</v>
      </c>
      <c r="I605" s="121"/>
      <c r="J605" s="121" t="s">
        <v>773</v>
      </c>
      <c r="K605" s="121"/>
      <c r="L605" s="121"/>
      <c r="M605" s="121"/>
      <c r="N605" s="123"/>
      <c r="O605" s="121"/>
      <c r="P605" s="121" t="s">
        <v>113</v>
      </c>
      <c r="Q605" s="121"/>
      <c r="R605" s="124">
        <v>166.58</v>
      </c>
      <c r="S605" s="121"/>
      <c r="T605" s="124">
        <f t="shared" si="10"/>
        <v>30406.06</v>
      </c>
    </row>
    <row r="606" spans="2:20" x14ac:dyDescent="0.4">
      <c r="B606" s="121" t="s">
        <v>108</v>
      </c>
      <c r="C606" s="121"/>
      <c r="D606" s="122">
        <v>42424</v>
      </c>
      <c r="E606" s="121"/>
      <c r="F606" s="121" t="s">
        <v>774</v>
      </c>
      <c r="G606" s="121"/>
      <c r="H606" s="121" t="s">
        <v>701</v>
      </c>
      <c r="I606" s="121"/>
      <c r="J606" s="121" t="s">
        <v>774</v>
      </c>
      <c r="K606" s="121"/>
      <c r="L606" s="121" t="s">
        <v>149</v>
      </c>
      <c r="M606" s="121"/>
      <c r="N606" s="123"/>
      <c r="O606" s="121"/>
      <c r="P606" s="121" t="s">
        <v>113</v>
      </c>
      <c r="Q606" s="121"/>
      <c r="R606" s="124">
        <v>15.3</v>
      </c>
      <c r="S606" s="121"/>
      <c r="T606" s="124">
        <f t="shared" si="10"/>
        <v>30421.360000000001</v>
      </c>
    </row>
    <row r="607" spans="2:20" x14ac:dyDescent="0.4">
      <c r="B607" s="121" t="s">
        <v>108</v>
      </c>
      <c r="C607" s="121"/>
      <c r="D607" s="122">
        <v>42424</v>
      </c>
      <c r="E607" s="121"/>
      <c r="F607" s="121" t="s">
        <v>774</v>
      </c>
      <c r="G607" s="121"/>
      <c r="H607" s="121" t="s">
        <v>701</v>
      </c>
      <c r="I607" s="121"/>
      <c r="J607" s="121" t="s">
        <v>774</v>
      </c>
      <c r="K607" s="121"/>
      <c r="L607" s="121"/>
      <c r="M607" s="121"/>
      <c r="N607" s="123"/>
      <c r="O607" s="121"/>
      <c r="P607" s="121" t="s">
        <v>113</v>
      </c>
      <c r="Q607" s="121"/>
      <c r="R607" s="124">
        <v>154.69999999999999</v>
      </c>
      <c r="S607" s="121"/>
      <c r="T607" s="124">
        <f t="shared" si="10"/>
        <v>30576.06</v>
      </c>
    </row>
    <row r="608" spans="2:20" x14ac:dyDescent="0.4">
      <c r="B608" s="121" t="s">
        <v>135</v>
      </c>
      <c r="C608" s="121"/>
      <c r="D608" s="122">
        <v>42429</v>
      </c>
      <c r="E608" s="121"/>
      <c r="F608" s="121" t="s">
        <v>242</v>
      </c>
      <c r="G608" s="121"/>
      <c r="H608" s="121"/>
      <c r="I608" s="121"/>
      <c r="J608" s="121" t="s">
        <v>775</v>
      </c>
      <c r="K608" s="121"/>
      <c r="L608" s="121" t="s">
        <v>149</v>
      </c>
      <c r="M608" s="121"/>
      <c r="N608" s="123"/>
      <c r="O608" s="121"/>
      <c r="P608" s="121" t="s">
        <v>138</v>
      </c>
      <c r="Q608" s="121"/>
      <c r="R608" s="124">
        <v>-90.71</v>
      </c>
      <c r="S608" s="121"/>
      <c r="T608" s="124">
        <f t="shared" si="10"/>
        <v>30485.35</v>
      </c>
    </row>
    <row r="609" spans="2:20" x14ac:dyDescent="0.4">
      <c r="B609" s="121" t="s">
        <v>108</v>
      </c>
      <c r="C609" s="121"/>
      <c r="D609" s="122">
        <v>42478</v>
      </c>
      <c r="E609" s="121"/>
      <c r="F609" s="121" t="s">
        <v>776</v>
      </c>
      <c r="G609" s="121"/>
      <c r="H609" s="121" t="s">
        <v>701</v>
      </c>
      <c r="I609" s="121"/>
      <c r="J609" s="121" t="s">
        <v>776</v>
      </c>
      <c r="K609" s="121"/>
      <c r="L609" s="121" t="s">
        <v>149</v>
      </c>
      <c r="M609" s="121"/>
      <c r="N609" s="123"/>
      <c r="O609" s="121"/>
      <c r="P609" s="121" t="s">
        <v>113</v>
      </c>
      <c r="Q609" s="121"/>
      <c r="R609" s="124">
        <v>52.96</v>
      </c>
      <c r="S609" s="121"/>
      <c r="T609" s="124">
        <f t="shared" si="10"/>
        <v>30538.31</v>
      </c>
    </row>
    <row r="610" spans="2:20" x14ac:dyDescent="0.4">
      <c r="B610" s="121" t="s">
        <v>108</v>
      </c>
      <c r="C610" s="121"/>
      <c r="D610" s="122">
        <v>42478</v>
      </c>
      <c r="E610" s="121"/>
      <c r="F610" s="121" t="s">
        <v>776</v>
      </c>
      <c r="G610" s="121"/>
      <c r="H610" s="121" t="s">
        <v>701</v>
      </c>
      <c r="I610" s="121"/>
      <c r="J610" s="121" t="s">
        <v>776</v>
      </c>
      <c r="K610" s="121"/>
      <c r="L610" s="121"/>
      <c r="M610" s="121"/>
      <c r="N610" s="123"/>
      <c r="O610" s="121"/>
      <c r="P610" s="121" t="s">
        <v>113</v>
      </c>
      <c r="Q610" s="121"/>
      <c r="R610" s="124">
        <v>535.45000000000005</v>
      </c>
      <c r="S610" s="121"/>
      <c r="T610" s="124">
        <f t="shared" si="10"/>
        <v>31073.759999999998</v>
      </c>
    </row>
    <row r="611" spans="2:20" x14ac:dyDescent="0.4">
      <c r="B611" s="121" t="s">
        <v>108</v>
      </c>
      <c r="C611" s="121"/>
      <c r="D611" s="122">
        <v>42478</v>
      </c>
      <c r="E611" s="121"/>
      <c r="F611" s="121" t="s">
        <v>777</v>
      </c>
      <c r="G611" s="121"/>
      <c r="H611" s="121" t="s">
        <v>701</v>
      </c>
      <c r="I611" s="121"/>
      <c r="J611" s="121" t="s">
        <v>777</v>
      </c>
      <c r="K611" s="121"/>
      <c r="L611" s="121" t="s">
        <v>149</v>
      </c>
      <c r="M611" s="121"/>
      <c r="N611" s="123"/>
      <c r="O611" s="121"/>
      <c r="P611" s="121" t="s">
        <v>113</v>
      </c>
      <c r="Q611" s="121"/>
      <c r="R611" s="124">
        <v>8.7799999999999994</v>
      </c>
      <c r="S611" s="121"/>
      <c r="T611" s="124">
        <f t="shared" si="10"/>
        <v>31082.54</v>
      </c>
    </row>
    <row r="612" spans="2:20" x14ac:dyDescent="0.4">
      <c r="B612" s="121" t="s">
        <v>108</v>
      </c>
      <c r="C612" s="121"/>
      <c r="D612" s="122">
        <v>42478</v>
      </c>
      <c r="E612" s="121"/>
      <c r="F612" s="121" t="s">
        <v>777</v>
      </c>
      <c r="G612" s="121"/>
      <c r="H612" s="121" t="s">
        <v>701</v>
      </c>
      <c r="I612" s="121"/>
      <c r="J612" s="121" t="s">
        <v>777</v>
      </c>
      <c r="K612" s="121"/>
      <c r="L612" s="121"/>
      <c r="M612" s="121"/>
      <c r="N612" s="123"/>
      <c r="O612" s="121"/>
      <c r="P612" s="121" t="s">
        <v>113</v>
      </c>
      <c r="Q612" s="121"/>
      <c r="R612" s="124">
        <v>88.75</v>
      </c>
      <c r="S612" s="121"/>
      <c r="T612" s="124">
        <f t="shared" si="10"/>
        <v>31171.29</v>
      </c>
    </row>
    <row r="613" spans="2:20" x14ac:dyDescent="0.4">
      <c r="B613" s="121" t="s">
        <v>108</v>
      </c>
      <c r="C613" s="121"/>
      <c r="D613" s="122">
        <v>42478</v>
      </c>
      <c r="E613" s="121"/>
      <c r="F613" s="121" t="s">
        <v>778</v>
      </c>
      <c r="G613" s="121"/>
      <c r="H613" s="121" t="s">
        <v>701</v>
      </c>
      <c r="I613" s="121"/>
      <c r="J613" s="121" t="s">
        <v>778</v>
      </c>
      <c r="K613" s="121"/>
      <c r="L613" s="121" t="s">
        <v>149</v>
      </c>
      <c r="M613" s="121"/>
      <c r="N613" s="123"/>
      <c r="O613" s="121"/>
      <c r="P613" s="121" t="s">
        <v>113</v>
      </c>
      <c r="Q613" s="121"/>
      <c r="R613" s="124">
        <v>16.2</v>
      </c>
      <c r="S613" s="121"/>
      <c r="T613" s="124">
        <f t="shared" si="10"/>
        <v>31187.49</v>
      </c>
    </row>
    <row r="614" spans="2:20" x14ac:dyDescent="0.4">
      <c r="B614" s="121" t="s">
        <v>108</v>
      </c>
      <c r="C614" s="121"/>
      <c r="D614" s="122">
        <v>42478</v>
      </c>
      <c r="E614" s="121"/>
      <c r="F614" s="121" t="s">
        <v>778</v>
      </c>
      <c r="G614" s="121"/>
      <c r="H614" s="121" t="s">
        <v>701</v>
      </c>
      <c r="I614" s="121"/>
      <c r="J614" s="121" t="s">
        <v>778</v>
      </c>
      <c r="K614" s="121"/>
      <c r="L614" s="121"/>
      <c r="M614" s="121"/>
      <c r="N614" s="123"/>
      <c r="O614" s="121"/>
      <c r="P614" s="121" t="s">
        <v>113</v>
      </c>
      <c r="Q614" s="121"/>
      <c r="R614" s="124">
        <v>163.80000000000001</v>
      </c>
      <c r="S614" s="121"/>
      <c r="T614" s="124">
        <f t="shared" si="10"/>
        <v>31351.29</v>
      </c>
    </row>
    <row r="615" spans="2:20" x14ac:dyDescent="0.4">
      <c r="B615" s="121" t="s">
        <v>135</v>
      </c>
      <c r="C615" s="121"/>
      <c r="D615" s="122">
        <v>42490</v>
      </c>
      <c r="E615" s="121"/>
      <c r="F615" s="121" t="s">
        <v>242</v>
      </c>
      <c r="G615" s="121"/>
      <c r="H615" s="121"/>
      <c r="I615" s="121"/>
      <c r="J615" s="121" t="s">
        <v>779</v>
      </c>
      <c r="K615" s="121"/>
      <c r="L615" s="121" t="s">
        <v>149</v>
      </c>
      <c r="M615" s="121"/>
      <c r="N615" s="123"/>
      <c r="O615" s="121"/>
      <c r="P615" s="121" t="s">
        <v>138</v>
      </c>
      <c r="Q615" s="121"/>
      <c r="R615" s="124">
        <v>-77.94</v>
      </c>
      <c r="S615" s="121"/>
      <c r="T615" s="124">
        <f t="shared" si="10"/>
        <v>31273.35</v>
      </c>
    </row>
    <row r="616" spans="2:20" x14ac:dyDescent="0.4">
      <c r="B616" s="121" t="s">
        <v>108</v>
      </c>
      <c r="C616" s="121"/>
      <c r="D616" s="122">
        <v>42494</v>
      </c>
      <c r="E616" s="121"/>
      <c r="F616" s="121" t="s">
        <v>780</v>
      </c>
      <c r="G616" s="121"/>
      <c r="H616" s="121" t="s">
        <v>701</v>
      </c>
      <c r="I616" s="121"/>
      <c r="J616" s="121" t="s">
        <v>780</v>
      </c>
      <c r="K616" s="121"/>
      <c r="L616" s="121" t="s">
        <v>149</v>
      </c>
      <c r="M616" s="121"/>
      <c r="N616" s="123"/>
      <c r="O616" s="121"/>
      <c r="P616" s="121" t="s">
        <v>113</v>
      </c>
      <c r="Q616" s="121"/>
      <c r="R616" s="124">
        <v>6.53</v>
      </c>
      <c r="S616" s="121"/>
      <c r="T616" s="124">
        <f t="shared" si="10"/>
        <v>31279.88</v>
      </c>
    </row>
    <row r="617" spans="2:20" x14ac:dyDescent="0.4">
      <c r="B617" s="121" t="s">
        <v>108</v>
      </c>
      <c r="C617" s="121"/>
      <c r="D617" s="122">
        <v>42494</v>
      </c>
      <c r="E617" s="121"/>
      <c r="F617" s="121" t="s">
        <v>780</v>
      </c>
      <c r="G617" s="121"/>
      <c r="H617" s="121" t="s">
        <v>701</v>
      </c>
      <c r="I617" s="121"/>
      <c r="J617" s="121" t="s">
        <v>780</v>
      </c>
      <c r="K617" s="121"/>
      <c r="L617" s="121"/>
      <c r="M617" s="121"/>
      <c r="N617" s="123"/>
      <c r="O617" s="121"/>
      <c r="P617" s="121" t="s">
        <v>113</v>
      </c>
      <c r="Q617" s="121"/>
      <c r="R617" s="124">
        <v>66.040000000000006</v>
      </c>
      <c r="S617" s="121"/>
      <c r="T617" s="124">
        <f t="shared" si="10"/>
        <v>31345.919999999998</v>
      </c>
    </row>
    <row r="618" spans="2:20" x14ac:dyDescent="0.4">
      <c r="B618" s="121" t="s">
        <v>135</v>
      </c>
      <c r="C618" s="121"/>
      <c r="D618" s="122">
        <v>42521</v>
      </c>
      <c r="E618" s="121"/>
      <c r="F618" s="121" t="s">
        <v>240</v>
      </c>
      <c r="G618" s="121"/>
      <c r="H618" s="121"/>
      <c r="I618" s="121"/>
      <c r="J618" s="121" t="s">
        <v>781</v>
      </c>
      <c r="K618" s="121"/>
      <c r="L618" s="121" t="s">
        <v>149</v>
      </c>
      <c r="M618" s="121"/>
      <c r="N618" s="123"/>
      <c r="O618" s="121"/>
      <c r="P618" s="121" t="s">
        <v>138</v>
      </c>
      <c r="Q618" s="121"/>
      <c r="R618" s="124">
        <v>-6.53</v>
      </c>
      <c r="S618" s="121"/>
      <c r="T618" s="124">
        <f t="shared" si="10"/>
        <v>31339.39</v>
      </c>
    </row>
    <row r="619" spans="2:20" x14ac:dyDescent="0.4">
      <c r="B619" s="121" t="s">
        <v>108</v>
      </c>
      <c r="C619" s="121"/>
      <c r="D619" s="122">
        <v>42527</v>
      </c>
      <c r="E619" s="121"/>
      <c r="F619" s="121" t="s">
        <v>782</v>
      </c>
      <c r="G619" s="121"/>
      <c r="H619" s="121" t="s">
        <v>701</v>
      </c>
      <c r="I619" s="121"/>
      <c r="J619" s="121" t="s">
        <v>782</v>
      </c>
      <c r="K619" s="121"/>
      <c r="L619" s="121" t="s">
        <v>149</v>
      </c>
      <c r="M619" s="121"/>
      <c r="N619" s="123"/>
      <c r="O619" s="121"/>
      <c r="P619" s="121" t="s">
        <v>113</v>
      </c>
      <c r="Q619" s="121"/>
      <c r="R619" s="124">
        <v>89.9</v>
      </c>
      <c r="S619" s="121"/>
      <c r="T619" s="124">
        <f t="shared" si="10"/>
        <v>31429.29</v>
      </c>
    </row>
    <row r="620" spans="2:20" x14ac:dyDescent="0.4">
      <c r="B620" s="121" t="s">
        <v>108</v>
      </c>
      <c r="C620" s="121"/>
      <c r="D620" s="122">
        <v>42527</v>
      </c>
      <c r="E620" s="121"/>
      <c r="F620" s="121" t="s">
        <v>782</v>
      </c>
      <c r="G620" s="121"/>
      <c r="H620" s="121" t="s">
        <v>701</v>
      </c>
      <c r="I620" s="121"/>
      <c r="J620" s="121" t="s">
        <v>782</v>
      </c>
      <c r="K620" s="121"/>
      <c r="L620" s="121"/>
      <c r="M620" s="121"/>
      <c r="N620" s="123"/>
      <c r="O620" s="121"/>
      <c r="P620" s="121" t="s">
        <v>113</v>
      </c>
      <c r="Q620" s="121"/>
      <c r="R620" s="124">
        <v>908.96</v>
      </c>
      <c r="S620" s="121"/>
      <c r="T620" s="124">
        <f t="shared" si="10"/>
        <v>32338.25</v>
      </c>
    </row>
    <row r="621" spans="2:20" x14ac:dyDescent="0.4">
      <c r="B621" s="121" t="s">
        <v>108</v>
      </c>
      <c r="C621" s="121"/>
      <c r="D621" s="122">
        <v>42544</v>
      </c>
      <c r="E621" s="121"/>
      <c r="F621" s="121" t="s">
        <v>783</v>
      </c>
      <c r="G621" s="121"/>
      <c r="H621" s="121" t="s">
        <v>701</v>
      </c>
      <c r="I621" s="121"/>
      <c r="J621" s="121" t="s">
        <v>783</v>
      </c>
      <c r="K621" s="121"/>
      <c r="L621" s="121" t="s">
        <v>149</v>
      </c>
      <c r="M621" s="121"/>
      <c r="N621" s="123"/>
      <c r="O621" s="121"/>
      <c r="P621" s="121" t="s">
        <v>113</v>
      </c>
      <c r="Q621" s="121"/>
      <c r="R621" s="124">
        <v>8.1</v>
      </c>
      <c r="S621" s="121"/>
      <c r="T621" s="124">
        <f t="shared" si="10"/>
        <v>32346.35</v>
      </c>
    </row>
    <row r="622" spans="2:20" x14ac:dyDescent="0.4">
      <c r="B622" s="121" t="s">
        <v>108</v>
      </c>
      <c r="C622" s="121"/>
      <c r="D622" s="122">
        <v>42544</v>
      </c>
      <c r="E622" s="121"/>
      <c r="F622" s="121" t="s">
        <v>783</v>
      </c>
      <c r="G622" s="121"/>
      <c r="H622" s="121" t="s">
        <v>701</v>
      </c>
      <c r="I622" s="121"/>
      <c r="J622" s="121" t="s">
        <v>783</v>
      </c>
      <c r="K622" s="121"/>
      <c r="L622" s="121"/>
      <c r="M622" s="121"/>
      <c r="N622" s="123"/>
      <c r="O622" s="121"/>
      <c r="P622" s="121" t="s">
        <v>113</v>
      </c>
      <c r="Q622" s="121"/>
      <c r="R622" s="124">
        <v>81.93</v>
      </c>
      <c r="S622" s="121"/>
      <c r="T622" s="124">
        <f t="shared" si="10"/>
        <v>32428.28</v>
      </c>
    </row>
    <row r="623" spans="2:20" x14ac:dyDescent="0.4">
      <c r="B623" s="121" t="s">
        <v>135</v>
      </c>
      <c r="C623" s="121"/>
      <c r="D623" s="122">
        <v>42551</v>
      </c>
      <c r="E623" s="121"/>
      <c r="F623" s="121" t="s">
        <v>240</v>
      </c>
      <c r="G623" s="121"/>
      <c r="H623" s="121"/>
      <c r="I623" s="121"/>
      <c r="J623" s="121" t="s">
        <v>784</v>
      </c>
      <c r="K623" s="121"/>
      <c r="L623" s="121" t="s">
        <v>149</v>
      </c>
      <c r="M623" s="121"/>
      <c r="N623" s="123"/>
      <c r="O623" s="121"/>
      <c r="P623" s="121" t="s">
        <v>138</v>
      </c>
      <c r="Q623" s="121"/>
      <c r="R623" s="124">
        <v>-98</v>
      </c>
      <c r="S623" s="121"/>
      <c r="T623" s="124">
        <f t="shared" si="10"/>
        <v>32330.28</v>
      </c>
    </row>
    <row r="624" spans="2:20" x14ac:dyDescent="0.4">
      <c r="B624" s="121" t="s">
        <v>108</v>
      </c>
      <c r="C624" s="121"/>
      <c r="D624" s="122">
        <v>42573</v>
      </c>
      <c r="E624" s="121"/>
      <c r="F624" s="121" t="s">
        <v>785</v>
      </c>
      <c r="G624" s="121"/>
      <c r="H624" s="121" t="s">
        <v>732</v>
      </c>
      <c r="I624" s="121"/>
      <c r="J624" s="121" t="s">
        <v>786</v>
      </c>
      <c r="K624" s="121"/>
      <c r="L624" s="121" t="s">
        <v>149</v>
      </c>
      <c r="M624" s="121"/>
      <c r="N624" s="123"/>
      <c r="O624" s="121"/>
      <c r="P624" s="121" t="s">
        <v>113</v>
      </c>
      <c r="Q624" s="121"/>
      <c r="R624" s="124">
        <v>58.9</v>
      </c>
      <c r="S624" s="121"/>
      <c r="T624" s="124">
        <f t="shared" si="10"/>
        <v>32389.18</v>
      </c>
    </row>
    <row r="625" spans="2:20" x14ac:dyDescent="0.4">
      <c r="B625" s="121" t="s">
        <v>108</v>
      </c>
      <c r="C625" s="121"/>
      <c r="D625" s="122">
        <v>42573</v>
      </c>
      <c r="E625" s="121"/>
      <c r="F625" s="121" t="s">
        <v>785</v>
      </c>
      <c r="G625" s="121"/>
      <c r="H625" s="121" t="s">
        <v>732</v>
      </c>
      <c r="I625" s="121"/>
      <c r="J625" s="121" t="s">
        <v>786</v>
      </c>
      <c r="K625" s="121"/>
      <c r="L625" s="121"/>
      <c r="M625" s="121"/>
      <c r="N625" s="123"/>
      <c r="O625" s="121"/>
      <c r="P625" s="121" t="s">
        <v>113</v>
      </c>
      <c r="Q625" s="121"/>
      <c r="R625" s="124">
        <v>595.54</v>
      </c>
      <c r="S625" s="121"/>
      <c r="T625" s="124">
        <f t="shared" si="10"/>
        <v>32984.720000000001</v>
      </c>
    </row>
    <row r="626" spans="2:20" x14ac:dyDescent="0.4">
      <c r="B626" s="121" t="s">
        <v>108</v>
      </c>
      <c r="C626" s="121"/>
      <c r="D626" s="122">
        <v>42576</v>
      </c>
      <c r="E626" s="121"/>
      <c r="F626" s="121" t="s">
        <v>787</v>
      </c>
      <c r="G626" s="121"/>
      <c r="H626" s="121" t="s">
        <v>597</v>
      </c>
      <c r="I626" s="121"/>
      <c r="J626" s="121" t="s">
        <v>788</v>
      </c>
      <c r="K626" s="121"/>
      <c r="L626" s="121" t="s">
        <v>149</v>
      </c>
      <c r="M626" s="121"/>
      <c r="N626" s="123"/>
      <c r="O626" s="121"/>
      <c r="P626" s="121" t="s">
        <v>113</v>
      </c>
      <c r="Q626" s="121"/>
      <c r="R626" s="124">
        <v>211.73</v>
      </c>
      <c r="S626" s="121"/>
      <c r="T626" s="124">
        <f t="shared" si="10"/>
        <v>33196.449999999997</v>
      </c>
    </row>
    <row r="627" spans="2:20" x14ac:dyDescent="0.4">
      <c r="B627" s="121" t="s">
        <v>108</v>
      </c>
      <c r="C627" s="121"/>
      <c r="D627" s="122">
        <v>42576</v>
      </c>
      <c r="E627" s="121"/>
      <c r="F627" s="121" t="s">
        <v>787</v>
      </c>
      <c r="G627" s="121"/>
      <c r="H627" s="121" t="s">
        <v>597</v>
      </c>
      <c r="I627" s="121"/>
      <c r="J627" s="121" t="s">
        <v>788</v>
      </c>
      <c r="K627" s="121"/>
      <c r="L627" s="121"/>
      <c r="M627" s="121"/>
      <c r="N627" s="123"/>
      <c r="O627" s="121"/>
      <c r="P627" s="121" t="s">
        <v>113</v>
      </c>
      <c r="Q627" s="121"/>
      <c r="R627" s="124">
        <v>2140.87</v>
      </c>
      <c r="S627" s="121"/>
      <c r="T627" s="124">
        <f t="shared" si="10"/>
        <v>35337.32</v>
      </c>
    </row>
    <row r="628" spans="2:20" x14ac:dyDescent="0.4">
      <c r="B628" s="121" t="s">
        <v>135</v>
      </c>
      <c r="C628" s="121"/>
      <c r="D628" s="122">
        <v>42582</v>
      </c>
      <c r="E628" s="121"/>
      <c r="F628" s="121" t="s">
        <v>222</v>
      </c>
      <c r="G628" s="121"/>
      <c r="H628" s="121"/>
      <c r="I628" s="121"/>
      <c r="J628" s="121" t="s">
        <v>789</v>
      </c>
      <c r="K628" s="121"/>
      <c r="L628" s="121" t="s">
        <v>149</v>
      </c>
      <c r="M628" s="121"/>
      <c r="N628" s="123"/>
      <c r="O628" s="121"/>
      <c r="P628" s="121" t="s">
        <v>138</v>
      </c>
      <c r="Q628" s="121"/>
      <c r="R628" s="124">
        <v>-482.36</v>
      </c>
      <c r="S628" s="121"/>
      <c r="T628" s="124">
        <f t="shared" si="10"/>
        <v>34854.959999999999</v>
      </c>
    </row>
    <row r="629" spans="2:20" x14ac:dyDescent="0.4">
      <c r="B629" s="121" t="s">
        <v>135</v>
      </c>
      <c r="C629" s="121"/>
      <c r="D629" s="122">
        <v>42582</v>
      </c>
      <c r="E629" s="121"/>
      <c r="F629" s="121" t="s">
        <v>242</v>
      </c>
      <c r="G629" s="121"/>
      <c r="H629" s="121"/>
      <c r="I629" s="121"/>
      <c r="J629" s="121" t="s">
        <v>790</v>
      </c>
      <c r="K629" s="121"/>
      <c r="L629" s="121"/>
      <c r="M629" s="121"/>
      <c r="N629" s="123"/>
      <c r="O629" s="121"/>
      <c r="P629" s="121" t="s">
        <v>791</v>
      </c>
      <c r="Q629" s="121"/>
      <c r="R629" s="124">
        <v>0</v>
      </c>
      <c r="S629" s="121"/>
      <c r="T629" s="124">
        <f t="shared" si="10"/>
        <v>34854.959999999999</v>
      </c>
    </row>
    <row r="630" spans="2:20" x14ac:dyDescent="0.4">
      <c r="B630" s="121" t="s">
        <v>135</v>
      </c>
      <c r="C630" s="121"/>
      <c r="D630" s="122">
        <v>42582</v>
      </c>
      <c r="E630" s="121"/>
      <c r="F630" s="121" t="s">
        <v>422</v>
      </c>
      <c r="G630" s="121"/>
      <c r="H630" s="121"/>
      <c r="I630" s="121"/>
      <c r="J630" s="121" t="s">
        <v>792</v>
      </c>
      <c r="K630" s="121"/>
      <c r="L630" s="121" t="s">
        <v>149</v>
      </c>
      <c r="M630" s="121"/>
      <c r="N630" s="123"/>
      <c r="O630" s="121"/>
      <c r="P630" s="121" t="s">
        <v>138</v>
      </c>
      <c r="Q630" s="121"/>
      <c r="R630" s="124">
        <v>211.73</v>
      </c>
      <c r="S630" s="121"/>
      <c r="T630" s="124">
        <f t="shared" si="10"/>
        <v>35066.69</v>
      </c>
    </row>
    <row r="631" spans="2:20" x14ac:dyDescent="0.4">
      <c r="B631" s="121" t="s">
        <v>108</v>
      </c>
      <c r="C631" s="121"/>
      <c r="D631" s="122">
        <v>42590</v>
      </c>
      <c r="E631" s="121"/>
      <c r="F631" s="121" t="s">
        <v>793</v>
      </c>
      <c r="G631" s="121"/>
      <c r="H631" s="121" t="s">
        <v>701</v>
      </c>
      <c r="I631" s="121"/>
      <c r="J631" s="121" t="s">
        <v>794</v>
      </c>
      <c r="K631" s="121"/>
      <c r="L631" s="121" t="s">
        <v>149</v>
      </c>
      <c r="M631" s="121"/>
      <c r="N631" s="123"/>
      <c r="O631" s="121"/>
      <c r="P631" s="121" t="s">
        <v>113</v>
      </c>
      <c r="Q631" s="121"/>
      <c r="R631" s="124">
        <v>30.01</v>
      </c>
      <c r="S631" s="121"/>
      <c r="T631" s="124">
        <f t="shared" si="10"/>
        <v>35096.699999999997</v>
      </c>
    </row>
    <row r="632" spans="2:20" x14ac:dyDescent="0.4">
      <c r="B632" s="121" t="s">
        <v>108</v>
      </c>
      <c r="C632" s="121"/>
      <c r="D632" s="122">
        <v>42590</v>
      </c>
      <c r="E632" s="121"/>
      <c r="F632" s="121" t="s">
        <v>793</v>
      </c>
      <c r="G632" s="121"/>
      <c r="H632" s="121" t="s">
        <v>701</v>
      </c>
      <c r="I632" s="121"/>
      <c r="J632" s="121" t="s">
        <v>794</v>
      </c>
      <c r="K632" s="121"/>
      <c r="L632" s="121"/>
      <c r="M632" s="121"/>
      <c r="N632" s="123"/>
      <c r="O632" s="121"/>
      <c r="P632" s="121" t="s">
        <v>113</v>
      </c>
      <c r="Q632" s="121"/>
      <c r="R632" s="124">
        <v>303.42</v>
      </c>
      <c r="S632" s="121"/>
      <c r="T632" s="124">
        <f t="shared" si="10"/>
        <v>35400.120000000003</v>
      </c>
    </row>
    <row r="633" spans="2:20" x14ac:dyDescent="0.4">
      <c r="B633" s="121" t="s">
        <v>135</v>
      </c>
      <c r="C633" s="121"/>
      <c r="D633" s="122">
        <v>42613</v>
      </c>
      <c r="E633" s="121"/>
      <c r="F633" s="121" t="s">
        <v>222</v>
      </c>
      <c r="G633" s="121"/>
      <c r="H633" s="121"/>
      <c r="I633" s="121"/>
      <c r="J633" s="121" t="s">
        <v>795</v>
      </c>
      <c r="K633" s="121"/>
      <c r="L633" s="121" t="s">
        <v>149</v>
      </c>
      <c r="M633" s="121"/>
      <c r="N633" s="123"/>
      <c r="O633" s="121"/>
      <c r="P633" s="121" t="s">
        <v>138</v>
      </c>
      <c r="Q633" s="121"/>
      <c r="R633" s="124">
        <v>-30.01</v>
      </c>
      <c r="S633" s="121"/>
      <c r="T633" s="124">
        <f t="shared" si="10"/>
        <v>35370.11</v>
      </c>
    </row>
    <row r="634" spans="2:20" x14ac:dyDescent="0.4">
      <c r="B634" s="121" t="s">
        <v>108</v>
      </c>
      <c r="C634" s="121"/>
      <c r="D634" s="122">
        <v>42646</v>
      </c>
      <c r="E634" s="121"/>
      <c r="F634" s="121" t="s">
        <v>796</v>
      </c>
      <c r="G634" s="121"/>
      <c r="H634" s="121" t="s">
        <v>597</v>
      </c>
      <c r="I634" s="121"/>
      <c r="J634" s="121" t="s">
        <v>797</v>
      </c>
      <c r="K634" s="121"/>
      <c r="L634" s="121" t="s">
        <v>149</v>
      </c>
      <c r="M634" s="121"/>
      <c r="N634" s="123"/>
      <c r="O634" s="121"/>
      <c r="P634" s="121" t="s">
        <v>113</v>
      </c>
      <c r="Q634" s="121"/>
      <c r="R634" s="124">
        <v>208.24</v>
      </c>
      <c r="S634" s="121"/>
      <c r="T634" s="124">
        <f t="shared" si="10"/>
        <v>35578.35</v>
      </c>
    </row>
    <row r="635" spans="2:20" x14ac:dyDescent="0.4">
      <c r="B635" s="121" t="s">
        <v>108</v>
      </c>
      <c r="C635" s="121"/>
      <c r="D635" s="122">
        <v>42646</v>
      </c>
      <c r="E635" s="121"/>
      <c r="F635" s="121" t="s">
        <v>796</v>
      </c>
      <c r="G635" s="121"/>
      <c r="H635" s="121" t="s">
        <v>597</v>
      </c>
      <c r="I635" s="121"/>
      <c r="J635" s="121" t="s">
        <v>797</v>
      </c>
      <c r="K635" s="121"/>
      <c r="L635" s="121"/>
      <c r="M635" s="121"/>
      <c r="N635" s="123"/>
      <c r="O635" s="121"/>
      <c r="P635" s="121" t="s">
        <v>113</v>
      </c>
      <c r="Q635" s="121"/>
      <c r="R635" s="124">
        <v>2105.56</v>
      </c>
      <c r="S635" s="121"/>
      <c r="T635" s="124">
        <f t="shared" si="10"/>
        <v>37683.910000000003</v>
      </c>
    </row>
    <row r="636" spans="2:20" x14ac:dyDescent="0.4">
      <c r="B636" s="121" t="s">
        <v>108</v>
      </c>
      <c r="C636" s="121"/>
      <c r="D636" s="122">
        <v>42668</v>
      </c>
      <c r="E636" s="121"/>
      <c r="F636" s="121" t="s">
        <v>798</v>
      </c>
      <c r="G636" s="121"/>
      <c r="H636" s="121" t="s">
        <v>597</v>
      </c>
      <c r="I636" s="121"/>
      <c r="J636" s="121" t="s">
        <v>798</v>
      </c>
      <c r="K636" s="121"/>
      <c r="L636" s="121" t="s">
        <v>149</v>
      </c>
      <c r="M636" s="121"/>
      <c r="N636" s="123"/>
      <c r="O636" s="121"/>
      <c r="P636" s="121" t="s">
        <v>113</v>
      </c>
      <c r="Q636" s="121"/>
      <c r="R636" s="124">
        <v>123.3</v>
      </c>
      <c r="S636" s="121"/>
      <c r="T636" s="124">
        <f t="shared" si="10"/>
        <v>37807.21</v>
      </c>
    </row>
    <row r="637" spans="2:20" x14ac:dyDescent="0.4">
      <c r="B637" s="121" t="s">
        <v>108</v>
      </c>
      <c r="C637" s="121"/>
      <c r="D637" s="122">
        <v>42668</v>
      </c>
      <c r="E637" s="121"/>
      <c r="F637" s="121" t="s">
        <v>798</v>
      </c>
      <c r="G637" s="121"/>
      <c r="H637" s="121" t="s">
        <v>597</v>
      </c>
      <c r="I637" s="121"/>
      <c r="J637" s="121" t="s">
        <v>798</v>
      </c>
      <c r="K637" s="121"/>
      <c r="L637" s="121"/>
      <c r="M637" s="121"/>
      <c r="N637" s="123"/>
      <c r="O637" s="121"/>
      <c r="P637" s="121" t="s">
        <v>113</v>
      </c>
      <c r="Q637" s="121"/>
      <c r="R637" s="124">
        <v>1246.7</v>
      </c>
      <c r="S637" s="121"/>
      <c r="T637" s="124">
        <f t="shared" si="10"/>
        <v>39053.910000000003</v>
      </c>
    </row>
    <row r="638" spans="2:20" x14ac:dyDescent="0.4">
      <c r="B638" s="121" t="s">
        <v>135</v>
      </c>
      <c r="C638" s="121"/>
      <c r="D638" s="122">
        <v>42674</v>
      </c>
      <c r="E638" s="121"/>
      <c r="F638" s="121" t="s">
        <v>233</v>
      </c>
      <c r="G638" s="121"/>
      <c r="H638" s="121"/>
      <c r="I638" s="121"/>
      <c r="J638" s="121" t="s">
        <v>799</v>
      </c>
      <c r="K638" s="121"/>
      <c r="L638" s="121" t="s">
        <v>149</v>
      </c>
      <c r="M638" s="121"/>
      <c r="N638" s="123"/>
      <c r="O638" s="121"/>
      <c r="P638" s="121" t="s">
        <v>138</v>
      </c>
      <c r="Q638" s="121"/>
      <c r="R638" s="124">
        <v>-331.54</v>
      </c>
      <c r="S638" s="121"/>
      <c r="T638" s="124">
        <f t="shared" si="10"/>
        <v>38722.370000000003</v>
      </c>
    </row>
    <row r="639" spans="2:20" x14ac:dyDescent="0.4">
      <c r="B639" s="121" t="s">
        <v>108</v>
      </c>
      <c r="C639" s="121"/>
      <c r="D639" s="122">
        <v>42702</v>
      </c>
      <c r="E639" s="121"/>
      <c r="F639" s="121" t="s">
        <v>800</v>
      </c>
      <c r="G639" s="121"/>
      <c r="H639" s="121" t="s">
        <v>701</v>
      </c>
      <c r="I639" s="121"/>
      <c r="J639" s="121" t="s">
        <v>800</v>
      </c>
      <c r="K639" s="121"/>
      <c r="L639" s="121" t="s">
        <v>149</v>
      </c>
      <c r="M639" s="121"/>
      <c r="N639" s="123"/>
      <c r="O639" s="121"/>
      <c r="P639" s="121" t="s">
        <v>113</v>
      </c>
      <c r="Q639" s="121"/>
      <c r="R639" s="124">
        <v>32.81</v>
      </c>
      <c r="S639" s="121"/>
      <c r="T639" s="124">
        <f t="shared" si="10"/>
        <v>38755.18</v>
      </c>
    </row>
    <row r="640" spans="2:20" x14ac:dyDescent="0.4">
      <c r="B640" s="121" t="s">
        <v>108</v>
      </c>
      <c r="C640" s="121"/>
      <c r="D640" s="122">
        <v>42702</v>
      </c>
      <c r="E640" s="121"/>
      <c r="F640" s="121" t="s">
        <v>800</v>
      </c>
      <c r="G640" s="121"/>
      <c r="H640" s="121" t="s">
        <v>701</v>
      </c>
      <c r="I640" s="121"/>
      <c r="J640" s="121" t="s">
        <v>800</v>
      </c>
      <c r="K640" s="121"/>
      <c r="L640" s="121"/>
      <c r="M640" s="121"/>
      <c r="N640" s="123"/>
      <c r="O640" s="121"/>
      <c r="P640" s="121" t="s">
        <v>113</v>
      </c>
      <c r="Q640" s="121"/>
      <c r="R640" s="124">
        <v>331.75</v>
      </c>
      <c r="S640" s="121"/>
      <c r="T640" s="124">
        <f t="shared" si="10"/>
        <v>39086.93</v>
      </c>
    </row>
    <row r="641" spans="2:20" x14ac:dyDescent="0.4">
      <c r="B641" s="121" t="s">
        <v>135</v>
      </c>
      <c r="C641" s="121"/>
      <c r="D641" s="122">
        <v>42704</v>
      </c>
      <c r="E641" s="121"/>
      <c r="F641" s="121" t="s">
        <v>801</v>
      </c>
      <c r="G641" s="121"/>
      <c r="H641" s="121"/>
      <c r="I641" s="121"/>
      <c r="J641" s="121" t="s">
        <v>802</v>
      </c>
      <c r="K641" s="121"/>
      <c r="L641" s="121" t="s">
        <v>149</v>
      </c>
      <c r="M641" s="121"/>
      <c r="N641" s="123"/>
      <c r="O641" s="121"/>
      <c r="P641" s="121" t="s">
        <v>138</v>
      </c>
      <c r="Q641" s="121"/>
      <c r="R641" s="124">
        <v>-32.81</v>
      </c>
      <c r="S641" s="121"/>
      <c r="T641" s="124">
        <f t="shared" si="10"/>
        <v>39054.120000000003</v>
      </c>
    </row>
    <row r="642" spans="2:20" x14ac:dyDescent="0.4">
      <c r="B642" s="121" t="s">
        <v>135</v>
      </c>
      <c r="C642" s="121"/>
      <c r="D642" s="122">
        <v>42735</v>
      </c>
      <c r="E642" s="121"/>
      <c r="F642" s="121" t="s">
        <v>803</v>
      </c>
      <c r="G642" s="121"/>
      <c r="H642" s="121"/>
      <c r="I642" s="121"/>
      <c r="J642" s="121" t="s">
        <v>804</v>
      </c>
      <c r="K642" s="121"/>
      <c r="L642" s="121"/>
      <c r="M642" s="121"/>
      <c r="N642" s="123"/>
      <c r="O642" s="121"/>
      <c r="P642" s="121" t="s">
        <v>805</v>
      </c>
      <c r="Q642" s="121"/>
      <c r="R642" s="124">
        <v>-65</v>
      </c>
      <c r="S642" s="121"/>
      <c r="T642" s="124">
        <f t="shared" si="10"/>
        <v>38989.120000000003</v>
      </c>
    </row>
    <row r="643" spans="2:20" x14ac:dyDescent="0.4">
      <c r="B643" s="121" t="s">
        <v>108</v>
      </c>
      <c r="C643" s="121"/>
      <c r="D643" s="122">
        <v>42788</v>
      </c>
      <c r="E643" s="121"/>
      <c r="F643" s="121" t="s">
        <v>806</v>
      </c>
      <c r="G643" s="121"/>
      <c r="H643" s="121" t="s">
        <v>732</v>
      </c>
      <c r="I643" s="121"/>
      <c r="J643" s="121" t="s">
        <v>807</v>
      </c>
      <c r="K643" s="121"/>
      <c r="L643" s="121" t="s">
        <v>149</v>
      </c>
      <c r="M643" s="121"/>
      <c r="N643" s="123"/>
      <c r="O643" s="121"/>
      <c r="P643" s="121" t="s">
        <v>113</v>
      </c>
      <c r="Q643" s="121"/>
      <c r="R643" s="124">
        <v>47.53</v>
      </c>
      <c r="S643" s="121"/>
      <c r="T643" s="124">
        <f t="shared" si="10"/>
        <v>39036.65</v>
      </c>
    </row>
    <row r="644" spans="2:20" x14ac:dyDescent="0.4">
      <c r="B644" s="121" t="s">
        <v>108</v>
      </c>
      <c r="C644" s="121"/>
      <c r="D644" s="122">
        <v>42788</v>
      </c>
      <c r="E644" s="121"/>
      <c r="F644" s="121" t="s">
        <v>806</v>
      </c>
      <c r="G644" s="121"/>
      <c r="H644" s="121" t="s">
        <v>732</v>
      </c>
      <c r="I644" s="121"/>
      <c r="J644" s="121" t="s">
        <v>807</v>
      </c>
      <c r="K644" s="121"/>
      <c r="L644" s="121"/>
      <c r="M644" s="121"/>
      <c r="N644" s="123"/>
      <c r="O644" s="121"/>
      <c r="P644" s="121" t="s">
        <v>113</v>
      </c>
      <c r="Q644" s="121"/>
      <c r="R644" s="124">
        <v>480.54</v>
      </c>
      <c r="S644" s="121"/>
      <c r="T644" s="124">
        <f t="shared" si="10"/>
        <v>39517.19</v>
      </c>
    </row>
    <row r="645" spans="2:20" x14ac:dyDescent="0.4">
      <c r="B645" s="121" t="s">
        <v>135</v>
      </c>
      <c r="C645" s="121"/>
      <c r="D645" s="122">
        <v>42794</v>
      </c>
      <c r="E645" s="121"/>
      <c r="F645" s="121" t="s">
        <v>233</v>
      </c>
      <c r="G645" s="121"/>
      <c r="H645" s="121"/>
      <c r="I645" s="121"/>
      <c r="J645" s="121" t="s">
        <v>808</v>
      </c>
      <c r="K645" s="121"/>
      <c r="L645" s="121" t="s">
        <v>149</v>
      </c>
      <c r="M645" s="121"/>
      <c r="N645" s="123"/>
      <c r="O645" s="121"/>
      <c r="P645" s="121" t="s">
        <v>138</v>
      </c>
      <c r="Q645" s="121"/>
      <c r="R645" s="124">
        <v>-47.53</v>
      </c>
      <c r="S645" s="121"/>
      <c r="T645" s="124">
        <f t="shared" si="10"/>
        <v>39469.660000000003</v>
      </c>
    </row>
    <row r="646" spans="2:20" x14ac:dyDescent="0.4">
      <c r="B646" s="121" t="s">
        <v>108</v>
      </c>
      <c r="C646" s="121"/>
      <c r="D646" s="122">
        <v>42802</v>
      </c>
      <c r="E646" s="121"/>
      <c r="F646" s="121" t="s">
        <v>809</v>
      </c>
      <c r="G646" s="121"/>
      <c r="H646" s="121" t="s">
        <v>701</v>
      </c>
      <c r="I646" s="121"/>
      <c r="J646" s="121" t="s">
        <v>809</v>
      </c>
      <c r="K646" s="121"/>
      <c r="L646" s="121" t="s">
        <v>149</v>
      </c>
      <c r="M646" s="121"/>
      <c r="N646" s="123"/>
      <c r="O646" s="121"/>
      <c r="P646" s="121" t="s">
        <v>113</v>
      </c>
      <c r="Q646" s="121"/>
      <c r="R646" s="124">
        <v>3.47</v>
      </c>
      <c r="S646" s="121"/>
      <c r="T646" s="124">
        <f t="shared" si="10"/>
        <v>39473.129999999997</v>
      </c>
    </row>
    <row r="647" spans="2:20" x14ac:dyDescent="0.4">
      <c r="B647" s="121" t="s">
        <v>108</v>
      </c>
      <c r="C647" s="121"/>
      <c r="D647" s="122">
        <v>42802</v>
      </c>
      <c r="E647" s="121"/>
      <c r="F647" s="121" t="s">
        <v>809</v>
      </c>
      <c r="G647" s="121"/>
      <c r="H647" s="121" t="s">
        <v>701</v>
      </c>
      <c r="I647" s="121"/>
      <c r="J647" s="121" t="s">
        <v>809</v>
      </c>
      <c r="K647" s="121"/>
      <c r="L647" s="121"/>
      <c r="M647" s="121"/>
      <c r="N647" s="123"/>
      <c r="O647" s="121"/>
      <c r="P647" s="121" t="s">
        <v>113</v>
      </c>
      <c r="Q647" s="121"/>
      <c r="R647" s="124">
        <v>35.08</v>
      </c>
      <c r="S647" s="121"/>
      <c r="T647" s="124">
        <f t="shared" si="10"/>
        <v>39508.21</v>
      </c>
    </row>
    <row r="648" spans="2:20" x14ac:dyDescent="0.4">
      <c r="B648" s="121" t="s">
        <v>135</v>
      </c>
      <c r="C648" s="121"/>
      <c r="D648" s="122">
        <v>42825</v>
      </c>
      <c r="E648" s="121"/>
      <c r="F648" s="121" t="s">
        <v>233</v>
      </c>
      <c r="G648" s="121"/>
      <c r="H648" s="121"/>
      <c r="I648" s="121"/>
      <c r="J648" s="121" t="s">
        <v>810</v>
      </c>
      <c r="K648" s="121"/>
      <c r="L648" s="121" t="s">
        <v>149</v>
      </c>
      <c r="M648" s="121"/>
      <c r="N648" s="123"/>
      <c r="O648" s="121"/>
      <c r="P648" s="121" t="s">
        <v>138</v>
      </c>
      <c r="Q648" s="121"/>
      <c r="R648" s="124">
        <v>-3.47</v>
      </c>
      <c r="S648" s="121"/>
      <c r="T648" s="124">
        <f t="shared" si="10"/>
        <v>39504.74</v>
      </c>
    </row>
    <row r="649" spans="2:20" x14ac:dyDescent="0.4">
      <c r="B649" s="121" t="s">
        <v>108</v>
      </c>
      <c r="C649" s="121"/>
      <c r="D649" s="122">
        <v>42859</v>
      </c>
      <c r="E649" s="121"/>
      <c r="F649" s="121" t="s">
        <v>811</v>
      </c>
      <c r="G649" s="121"/>
      <c r="H649" s="121" t="s">
        <v>597</v>
      </c>
      <c r="I649" s="121"/>
      <c r="J649" s="121" t="s">
        <v>811</v>
      </c>
      <c r="K649" s="121"/>
      <c r="L649" s="121" t="s">
        <v>149</v>
      </c>
      <c r="M649" s="121"/>
      <c r="N649" s="123"/>
      <c r="O649" s="121"/>
      <c r="P649" s="121" t="s">
        <v>113</v>
      </c>
      <c r="Q649" s="121"/>
      <c r="R649" s="124">
        <v>184.96</v>
      </c>
      <c r="S649" s="121"/>
      <c r="T649" s="124">
        <f t="shared" si="10"/>
        <v>39689.699999999997</v>
      </c>
    </row>
    <row r="650" spans="2:20" x14ac:dyDescent="0.4">
      <c r="B650" s="121" t="s">
        <v>108</v>
      </c>
      <c r="C650" s="121"/>
      <c r="D650" s="122">
        <v>42859</v>
      </c>
      <c r="E650" s="121"/>
      <c r="F650" s="121" t="s">
        <v>811</v>
      </c>
      <c r="G650" s="121"/>
      <c r="H650" s="121" t="s">
        <v>597</v>
      </c>
      <c r="I650" s="121"/>
      <c r="J650" s="121" t="s">
        <v>811</v>
      </c>
      <c r="K650" s="121"/>
      <c r="L650" s="121"/>
      <c r="M650" s="121"/>
      <c r="N650" s="123"/>
      <c r="O650" s="121"/>
      <c r="P650" s="121" t="s">
        <v>113</v>
      </c>
      <c r="Q650" s="121"/>
      <c r="R650" s="124">
        <v>1870.17</v>
      </c>
      <c r="S650" s="121"/>
      <c r="T650" s="124">
        <f t="shared" si="10"/>
        <v>41559.870000000003</v>
      </c>
    </row>
    <row r="651" spans="2:20" x14ac:dyDescent="0.4">
      <c r="B651" s="121" t="s">
        <v>135</v>
      </c>
      <c r="C651" s="121"/>
      <c r="D651" s="122">
        <v>42886</v>
      </c>
      <c r="E651" s="121"/>
      <c r="F651" s="121" t="s">
        <v>240</v>
      </c>
      <c r="G651" s="121"/>
      <c r="H651" s="121"/>
      <c r="I651" s="121"/>
      <c r="J651" s="121" t="s">
        <v>812</v>
      </c>
      <c r="K651" s="121"/>
      <c r="L651" s="121" t="s">
        <v>149</v>
      </c>
      <c r="M651" s="121"/>
      <c r="N651" s="123"/>
      <c r="O651" s="121"/>
      <c r="P651" s="121" t="s">
        <v>138</v>
      </c>
      <c r="Q651" s="121"/>
      <c r="R651" s="124">
        <v>-184.96</v>
      </c>
      <c r="S651" s="121"/>
      <c r="T651" s="124">
        <f t="shared" si="10"/>
        <v>41374.910000000003</v>
      </c>
    </row>
    <row r="652" spans="2:20" x14ac:dyDescent="0.4">
      <c r="B652" s="121" t="s">
        <v>108</v>
      </c>
      <c r="C652" s="121"/>
      <c r="D652" s="122">
        <v>42925</v>
      </c>
      <c r="E652" s="121"/>
      <c r="F652" s="121" t="s">
        <v>813</v>
      </c>
      <c r="G652" s="121"/>
      <c r="H652" s="121" t="s">
        <v>701</v>
      </c>
      <c r="I652" s="121"/>
      <c r="J652" s="121" t="s">
        <v>813</v>
      </c>
      <c r="K652" s="121"/>
      <c r="L652" s="121" t="s">
        <v>149</v>
      </c>
      <c r="M652" s="121"/>
      <c r="N652" s="123"/>
      <c r="O652" s="121"/>
      <c r="P652" s="121" t="s">
        <v>113</v>
      </c>
      <c r="Q652" s="121"/>
      <c r="R652" s="124">
        <v>83.27</v>
      </c>
      <c r="S652" s="121"/>
      <c r="T652" s="124">
        <f t="shared" ref="T652:T715" si="11">ROUND(T651+R652,5)</f>
        <v>41458.18</v>
      </c>
    </row>
    <row r="653" spans="2:20" x14ac:dyDescent="0.4">
      <c r="B653" s="121" t="s">
        <v>108</v>
      </c>
      <c r="C653" s="121"/>
      <c r="D653" s="122">
        <v>42925</v>
      </c>
      <c r="E653" s="121"/>
      <c r="F653" s="121" t="s">
        <v>813</v>
      </c>
      <c r="G653" s="121"/>
      <c r="H653" s="121" t="s">
        <v>701</v>
      </c>
      <c r="I653" s="121"/>
      <c r="J653" s="121" t="s">
        <v>813</v>
      </c>
      <c r="K653" s="121"/>
      <c r="L653" s="121"/>
      <c r="M653" s="121"/>
      <c r="N653" s="123"/>
      <c r="O653" s="121"/>
      <c r="P653" s="121" t="s">
        <v>113</v>
      </c>
      <c r="Q653" s="121"/>
      <c r="R653" s="124">
        <v>841.96</v>
      </c>
      <c r="S653" s="121"/>
      <c r="T653" s="124">
        <f t="shared" si="11"/>
        <v>42300.14</v>
      </c>
    </row>
    <row r="654" spans="2:20" x14ac:dyDescent="0.4">
      <c r="B654" s="121" t="s">
        <v>135</v>
      </c>
      <c r="C654" s="121"/>
      <c r="D654" s="122">
        <v>42947</v>
      </c>
      <c r="E654" s="121"/>
      <c r="F654" s="121" t="s">
        <v>233</v>
      </c>
      <c r="G654" s="121"/>
      <c r="H654" s="121"/>
      <c r="I654" s="121"/>
      <c r="J654" s="121" t="s">
        <v>814</v>
      </c>
      <c r="K654" s="121"/>
      <c r="L654" s="121" t="s">
        <v>149</v>
      </c>
      <c r="M654" s="121"/>
      <c r="N654" s="123"/>
      <c r="O654" s="121"/>
      <c r="P654" s="121" t="s">
        <v>138</v>
      </c>
      <c r="Q654" s="121"/>
      <c r="R654" s="124">
        <v>-83.27</v>
      </c>
      <c r="S654" s="121"/>
      <c r="T654" s="124">
        <f t="shared" si="11"/>
        <v>42216.87</v>
      </c>
    </row>
    <row r="655" spans="2:20" x14ac:dyDescent="0.4">
      <c r="B655" s="121" t="s">
        <v>108</v>
      </c>
      <c r="C655" s="121"/>
      <c r="D655" s="122">
        <v>43024</v>
      </c>
      <c r="E655" s="121"/>
      <c r="F655" s="121" t="s">
        <v>815</v>
      </c>
      <c r="G655" s="121"/>
      <c r="H655" s="121" t="s">
        <v>298</v>
      </c>
      <c r="I655" s="121"/>
      <c r="J655" s="121" t="s">
        <v>815</v>
      </c>
      <c r="K655" s="121"/>
      <c r="L655" s="121" t="s">
        <v>149</v>
      </c>
      <c r="M655" s="121"/>
      <c r="N655" s="123"/>
      <c r="O655" s="121"/>
      <c r="P655" s="121" t="s">
        <v>113</v>
      </c>
      <c r="Q655" s="121"/>
      <c r="R655" s="124">
        <v>30.22</v>
      </c>
      <c r="S655" s="121"/>
      <c r="T655" s="124">
        <f t="shared" si="11"/>
        <v>42247.09</v>
      </c>
    </row>
    <row r="656" spans="2:20" x14ac:dyDescent="0.4">
      <c r="B656" s="121" t="s">
        <v>108</v>
      </c>
      <c r="C656" s="121"/>
      <c r="D656" s="122">
        <v>43024</v>
      </c>
      <c r="E656" s="121"/>
      <c r="F656" s="121" t="s">
        <v>815</v>
      </c>
      <c r="G656" s="121"/>
      <c r="H656" s="121" t="s">
        <v>298</v>
      </c>
      <c r="I656" s="121"/>
      <c r="J656" s="121" t="s">
        <v>815</v>
      </c>
      <c r="K656" s="121"/>
      <c r="L656" s="121"/>
      <c r="M656" s="121"/>
      <c r="N656" s="123"/>
      <c r="O656" s="121"/>
      <c r="P656" s="121" t="s">
        <v>113</v>
      </c>
      <c r="Q656" s="121"/>
      <c r="R656" s="124">
        <v>305.60000000000002</v>
      </c>
      <c r="S656" s="121"/>
      <c r="T656" s="124">
        <f t="shared" si="11"/>
        <v>42552.69</v>
      </c>
    </row>
    <row r="657" spans="2:20" x14ac:dyDescent="0.4">
      <c r="B657" s="121" t="s">
        <v>108</v>
      </c>
      <c r="C657" s="121"/>
      <c r="D657" s="122">
        <v>43031</v>
      </c>
      <c r="E657" s="121"/>
      <c r="F657" s="121" t="s">
        <v>816</v>
      </c>
      <c r="G657" s="121"/>
      <c r="H657" s="121" t="s">
        <v>597</v>
      </c>
      <c r="I657" s="121"/>
      <c r="J657" s="121" t="s">
        <v>816</v>
      </c>
      <c r="K657" s="121"/>
      <c r="L657" s="121" t="s">
        <v>149</v>
      </c>
      <c r="M657" s="121"/>
      <c r="N657" s="123"/>
      <c r="O657" s="121"/>
      <c r="P657" s="121" t="s">
        <v>113</v>
      </c>
      <c r="Q657" s="121"/>
      <c r="R657" s="124">
        <v>152.33000000000001</v>
      </c>
      <c r="S657" s="121"/>
      <c r="T657" s="124">
        <f t="shared" si="11"/>
        <v>42705.02</v>
      </c>
    </row>
    <row r="658" spans="2:20" x14ac:dyDescent="0.4">
      <c r="B658" s="121" t="s">
        <v>108</v>
      </c>
      <c r="C658" s="121"/>
      <c r="D658" s="122">
        <v>43031</v>
      </c>
      <c r="E658" s="121"/>
      <c r="F658" s="121" t="s">
        <v>816</v>
      </c>
      <c r="G658" s="121"/>
      <c r="H658" s="121" t="s">
        <v>597</v>
      </c>
      <c r="I658" s="121"/>
      <c r="J658" s="121" t="s">
        <v>816</v>
      </c>
      <c r="K658" s="121"/>
      <c r="L658" s="121"/>
      <c r="M658" s="121"/>
      <c r="N658" s="123"/>
      <c r="O658" s="121"/>
      <c r="P658" s="121" t="s">
        <v>113</v>
      </c>
      <c r="Q658" s="121"/>
      <c r="R658" s="124">
        <v>1540.19</v>
      </c>
      <c r="S658" s="121"/>
      <c r="T658" s="124">
        <f t="shared" si="11"/>
        <v>44245.21</v>
      </c>
    </row>
    <row r="659" spans="2:20" x14ac:dyDescent="0.4">
      <c r="B659" s="121" t="s">
        <v>135</v>
      </c>
      <c r="C659" s="121"/>
      <c r="D659" s="122">
        <v>43039</v>
      </c>
      <c r="E659" s="121"/>
      <c r="F659" s="121" t="s">
        <v>240</v>
      </c>
      <c r="G659" s="121"/>
      <c r="H659" s="121"/>
      <c r="I659" s="121"/>
      <c r="J659" s="121" t="s">
        <v>817</v>
      </c>
      <c r="K659" s="121"/>
      <c r="L659" s="121" t="s">
        <v>149</v>
      </c>
      <c r="M659" s="121"/>
      <c r="N659" s="123"/>
      <c r="O659" s="121"/>
      <c r="P659" s="121" t="s">
        <v>138</v>
      </c>
      <c r="Q659" s="121"/>
      <c r="R659" s="124">
        <v>-182.55</v>
      </c>
      <c r="S659" s="121"/>
      <c r="T659" s="124">
        <f t="shared" si="11"/>
        <v>44062.66</v>
      </c>
    </row>
    <row r="660" spans="2:20" x14ac:dyDescent="0.4">
      <c r="B660" s="121" t="s">
        <v>108</v>
      </c>
      <c r="C660" s="121"/>
      <c r="D660" s="122">
        <v>43059</v>
      </c>
      <c r="E660" s="121"/>
      <c r="F660" s="121" t="s">
        <v>818</v>
      </c>
      <c r="G660" s="121"/>
      <c r="H660" s="121" t="s">
        <v>701</v>
      </c>
      <c r="I660" s="121"/>
      <c r="J660" s="121" t="s">
        <v>818</v>
      </c>
      <c r="K660" s="121"/>
      <c r="L660" s="121" t="s">
        <v>149</v>
      </c>
      <c r="M660" s="121"/>
      <c r="N660" s="123"/>
      <c r="O660" s="121"/>
      <c r="P660" s="121" t="s">
        <v>113</v>
      </c>
      <c r="Q660" s="121"/>
      <c r="R660" s="124">
        <v>61.8</v>
      </c>
      <c r="S660" s="121"/>
      <c r="T660" s="124">
        <f t="shared" si="11"/>
        <v>44124.46</v>
      </c>
    </row>
    <row r="661" spans="2:20" x14ac:dyDescent="0.4">
      <c r="B661" s="121" t="s">
        <v>108</v>
      </c>
      <c r="C661" s="121"/>
      <c r="D661" s="122">
        <v>43059</v>
      </c>
      <c r="E661" s="121"/>
      <c r="F661" s="121" t="s">
        <v>818</v>
      </c>
      <c r="G661" s="121"/>
      <c r="H661" s="121" t="s">
        <v>701</v>
      </c>
      <c r="I661" s="121"/>
      <c r="J661" s="121" t="s">
        <v>818</v>
      </c>
      <c r="K661" s="121"/>
      <c r="L661" s="121"/>
      <c r="M661" s="121"/>
      <c r="N661" s="123"/>
      <c r="O661" s="121"/>
      <c r="P661" s="121" t="s">
        <v>113</v>
      </c>
      <c r="Q661" s="121"/>
      <c r="R661" s="124">
        <v>624.84</v>
      </c>
      <c r="S661" s="121"/>
      <c r="T661" s="124">
        <f t="shared" si="11"/>
        <v>44749.3</v>
      </c>
    </row>
    <row r="662" spans="2:20" x14ac:dyDescent="0.4">
      <c r="B662" s="121" t="s">
        <v>135</v>
      </c>
      <c r="C662" s="121"/>
      <c r="D662" s="122">
        <v>43069</v>
      </c>
      <c r="E662" s="121"/>
      <c r="F662" s="121" t="s">
        <v>698</v>
      </c>
      <c r="G662" s="121"/>
      <c r="H662" s="121"/>
      <c r="I662" s="121"/>
      <c r="J662" s="121" t="s">
        <v>819</v>
      </c>
      <c r="K662" s="121"/>
      <c r="L662" s="121" t="s">
        <v>149</v>
      </c>
      <c r="M662" s="121"/>
      <c r="N662" s="123"/>
      <c r="O662" s="121"/>
      <c r="P662" s="121" t="s">
        <v>138</v>
      </c>
      <c r="Q662" s="121"/>
      <c r="R662" s="124">
        <v>-61.8</v>
      </c>
      <c r="S662" s="121"/>
      <c r="T662" s="124">
        <f t="shared" si="11"/>
        <v>44687.5</v>
      </c>
    </row>
    <row r="663" spans="2:20" x14ac:dyDescent="0.4">
      <c r="B663" s="121" t="s">
        <v>108</v>
      </c>
      <c r="C663" s="121"/>
      <c r="D663" s="122">
        <v>43073</v>
      </c>
      <c r="E663" s="121"/>
      <c r="F663" s="121" t="s">
        <v>820</v>
      </c>
      <c r="G663" s="121"/>
      <c r="H663" s="121" t="s">
        <v>597</v>
      </c>
      <c r="I663" s="121"/>
      <c r="J663" s="121" t="s">
        <v>820</v>
      </c>
      <c r="K663" s="121"/>
      <c r="L663" s="121" t="s">
        <v>149</v>
      </c>
      <c r="M663" s="121"/>
      <c r="N663" s="123"/>
      <c r="O663" s="121"/>
      <c r="P663" s="121" t="s">
        <v>113</v>
      </c>
      <c r="Q663" s="121"/>
      <c r="R663" s="124">
        <v>223.56</v>
      </c>
      <c r="S663" s="121"/>
      <c r="T663" s="124">
        <f t="shared" si="11"/>
        <v>44911.06</v>
      </c>
    </row>
    <row r="664" spans="2:20" x14ac:dyDescent="0.4">
      <c r="B664" s="121" t="s">
        <v>108</v>
      </c>
      <c r="C664" s="121"/>
      <c r="D664" s="122">
        <v>43073</v>
      </c>
      <c r="E664" s="121"/>
      <c r="F664" s="121" t="s">
        <v>820</v>
      </c>
      <c r="G664" s="121"/>
      <c r="H664" s="121" t="s">
        <v>597</v>
      </c>
      <c r="I664" s="121"/>
      <c r="J664" s="121" t="s">
        <v>820</v>
      </c>
      <c r="K664" s="121"/>
      <c r="L664" s="121"/>
      <c r="M664" s="121"/>
      <c r="N664" s="123"/>
      <c r="O664" s="121"/>
      <c r="P664" s="121" t="s">
        <v>113</v>
      </c>
      <c r="Q664" s="121"/>
      <c r="R664" s="124">
        <v>2260.44</v>
      </c>
      <c r="S664" s="121"/>
      <c r="T664" s="124">
        <f t="shared" si="11"/>
        <v>47171.5</v>
      </c>
    </row>
    <row r="665" spans="2:20" x14ac:dyDescent="0.4">
      <c r="B665" s="121" t="s">
        <v>135</v>
      </c>
      <c r="C665" s="121"/>
      <c r="D665" s="122">
        <v>43100</v>
      </c>
      <c r="E665" s="121"/>
      <c r="F665" s="121" t="s">
        <v>422</v>
      </c>
      <c r="G665" s="121"/>
      <c r="H665" s="121"/>
      <c r="I665" s="121"/>
      <c r="J665" s="121" t="s">
        <v>821</v>
      </c>
      <c r="K665" s="121"/>
      <c r="L665" s="121" t="s">
        <v>149</v>
      </c>
      <c r="M665" s="121"/>
      <c r="N665" s="123"/>
      <c r="O665" s="121"/>
      <c r="P665" s="121" t="s">
        <v>138</v>
      </c>
      <c r="Q665" s="121"/>
      <c r="R665" s="124">
        <v>-223.56</v>
      </c>
      <c r="S665" s="121"/>
      <c r="T665" s="124">
        <f t="shared" si="11"/>
        <v>46947.94</v>
      </c>
    </row>
    <row r="666" spans="2:20" x14ac:dyDescent="0.4">
      <c r="B666" s="121" t="s">
        <v>108</v>
      </c>
      <c r="C666" s="121"/>
      <c r="D666" s="122">
        <v>43139</v>
      </c>
      <c r="E666" s="121"/>
      <c r="F666" s="121" t="s">
        <v>822</v>
      </c>
      <c r="G666" s="121"/>
      <c r="H666" s="121" t="s">
        <v>732</v>
      </c>
      <c r="I666" s="121"/>
      <c r="J666" s="121" t="s">
        <v>822</v>
      </c>
      <c r="K666" s="121"/>
      <c r="L666" s="121" t="s">
        <v>149</v>
      </c>
      <c r="M666" s="121"/>
      <c r="N666" s="123"/>
      <c r="O666" s="121"/>
      <c r="P666" s="121" t="s">
        <v>113</v>
      </c>
      <c r="Q666" s="121"/>
      <c r="R666" s="124">
        <v>50.26</v>
      </c>
      <c r="S666" s="121"/>
      <c r="T666" s="124">
        <f t="shared" si="11"/>
        <v>46998.2</v>
      </c>
    </row>
    <row r="667" spans="2:20" x14ac:dyDescent="0.4">
      <c r="B667" s="121" t="s">
        <v>108</v>
      </c>
      <c r="C667" s="121"/>
      <c r="D667" s="122">
        <v>43139</v>
      </c>
      <c r="E667" s="121"/>
      <c r="F667" s="121" t="s">
        <v>822</v>
      </c>
      <c r="G667" s="121"/>
      <c r="H667" s="121" t="s">
        <v>732</v>
      </c>
      <c r="I667" s="121"/>
      <c r="J667" s="121" t="s">
        <v>822</v>
      </c>
      <c r="K667" s="121"/>
      <c r="L667" s="121"/>
      <c r="M667" s="121"/>
      <c r="N667" s="123"/>
      <c r="O667" s="121"/>
      <c r="P667" s="121" t="s">
        <v>113</v>
      </c>
      <c r="Q667" s="121"/>
      <c r="R667" s="124">
        <v>508.15</v>
      </c>
      <c r="S667" s="121"/>
      <c r="T667" s="124">
        <f t="shared" si="11"/>
        <v>47506.35</v>
      </c>
    </row>
    <row r="668" spans="2:20" x14ac:dyDescent="0.4">
      <c r="B668" s="121" t="s">
        <v>108</v>
      </c>
      <c r="C668" s="121"/>
      <c r="D668" s="122">
        <v>43144</v>
      </c>
      <c r="E668" s="121"/>
      <c r="F668" s="121" t="s">
        <v>823</v>
      </c>
      <c r="G668" s="121"/>
      <c r="H668" s="121" t="s">
        <v>701</v>
      </c>
      <c r="I668" s="121"/>
      <c r="J668" s="121" t="s">
        <v>823</v>
      </c>
      <c r="K668" s="121"/>
      <c r="L668" s="121" t="s">
        <v>149</v>
      </c>
      <c r="M668" s="121"/>
      <c r="N668" s="123"/>
      <c r="O668" s="121"/>
      <c r="P668" s="121" t="s">
        <v>113</v>
      </c>
      <c r="Q668" s="121"/>
      <c r="R668" s="124">
        <v>64.55</v>
      </c>
      <c r="S668" s="121"/>
      <c r="T668" s="124">
        <f t="shared" si="11"/>
        <v>47570.9</v>
      </c>
    </row>
    <row r="669" spans="2:20" x14ac:dyDescent="0.4">
      <c r="B669" s="121" t="s">
        <v>108</v>
      </c>
      <c r="C669" s="121"/>
      <c r="D669" s="122">
        <v>43144</v>
      </c>
      <c r="E669" s="121"/>
      <c r="F669" s="121" t="s">
        <v>823</v>
      </c>
      <c r="G669" s="121"/>
      <c r="H669" s="121" t="s">
        <v>701</v>
      </c>
      <c r="I669" s="121"/>
      <c r="J669" s="121" t="s">
        <v>823</v>
      </c>
      <c r="K669" s="121"/>
      <c r="L669" s="121"/>
      <c r="M669" s="121"/>
      <c r="N669" s="123"/>
      <c r="O669" s="121"/>
      <c r="P669" s="121" t="s">
        <v>113</v>
      </c>
      <c r="Q669" s="121"/>
      <c r="R669" s="124">
        <v>652.66</v>
      </c>
      <c r="S669" s="121"/>
      <c r="T669" s="124">
        <f t="shared" si="11"/>
        <v>48223.56</v>
      </c>
    </row>
    <row r="670" spans="2:20" x14ac:dyDescent="0.4">
      <c r="B670" s="121" t="s">
        <v>135</v>
      </c>
      <c r="C670" s="121"/>
      <c r="D670" s="122">
        <v>43159</v>
      </c>
      <c r="E670" s="121"/>
      <c r="F670" s="121" t="s">
        <v>240</v>
      </c>
      <c r="G670" s="121"/>
      <c r="H670" s="121"/>
      <c r="I670" s="121"/>
      <c r="J670" s="121" t="s">
        <v>824</v>
      </c>
      <c r="K670" s="121"/>
      <c r="L670" s="121" t="s">
        <v>149</v>
      </c>
      <c r="M670" s="121"/>
      <c r="N670" s="123"/>
      <c r="O670" s="121"/>
      <c r="P670" s="121" t="s">
        <v>138</v>
      </c>
      <c r="Q670" s="121"/>
      <c r="R670" s="124">
        <v>-114.81</v>
      </c>
      <c r="S670" s="121"/>
      <c r="T670" s="124">
        <f t="shared" si="11"/>
        <v>48108.75</v>
      </c>
    </row>
    <row r="671" spans="2:20" x14ac:dyDescent="0.4">
      <c r="B671" s="121" t="s">
        <v>108</v>
      </c>
      <c r="C671" s="121"/>
      <c r="D671" s="122">
        <v>43161</v>
      </c>
      <c r="E671" s="121"/>
      <c r="F671" s="121" t="s">
        <v>825</v>
      </c>
      <c r="G671" s="121"/>
      <c r="H671" s="121" t="s">
        <v>701</v>
      </c>
      <c r="I671" s="121"/>
      <c r="J671" s="121" t="s">
        <v>826</v>
      </c>
      <c r="K671" s="121"/>
      <c r="L671" s="121" t="s">
        <v>149</v>
      </c>
      <c r="M671" s="121"/>
      <c r="N671" s="123"/>
      <c r="O671" s="121"/>
      <c r="P671" s="121" t="s">
        <v>113</v>
      </c>
      <c r="Q671" s="121"/>
      <c r="R671" s="124">
        <v>2.35</v>
      </c>
      <c r="S671" s="121"/>
      <c r="T671" s="124">
        <f t="shared" si="11"/>
        <v>48111.1</v>
      </c>
    </row>
    <row r="672" spans="2:20" x14ac:dyDescent="0.4">
      <c r="B672" s="121" t="s">
        <v>108</v>
      </c>
      <c r="C672" s="121"/>
      <c r="D672" s="122">
        <v>43161</v>
      </c>
      <c r="E672" s="121"/>
      <c r="F672" s="121" t="s">
        <v>825</v>
      </c>
      <c r="G672" s="121"/>
      <c r="H672" s="121" t="s">
        <v>701</v>
      </c>
      <c r="I672" s="121"/>
      <c r="J672" s="121" t="s">
        <v>826</v>
      </c>
      <c r="K672" s="121"/>
      <c r="L672" s="121"/>
      <c r="M672" s="121"/>
      <c r="N672" s="123"/>
      <c r="O672" s="121"/>
      <c r="P672" s="121" t="s">
        <v>113</v>
      </c>
      <c r="Q672" s="121"/>
      <c r="R672" s="124">
        <v>23.77</v>
      </c>
      <c r="S672" s="121"/>
      <c r="T672" s="124">
        <f t="shared" si="11"/>
        <v>48134.87</v>
      </c>
    </row>
    <row r="673" spans="2:20" x14ac:dyDescent="0.4">
      <c r="B673" s="121" t="s">
        <v>108</v>
      </c>
      <c r="C673" s="121"/>
      <c r="D673" s="122">
        <v>43175</v>
      </c>
      <c r="E673" s="121"/>
      <c r="F673" s="121" t="s">
        <v>827</v>
      </c>
      <c r="G673" s="121"/>
      <c r="H673" s="121" t="s">
        <v>701</v>
      </c>
      <c r="I673" s="121"/>
      <c r="J673" s="121" t="s">
        <v>827</v>
      </c>
      <c r="K673" s="121"/>
      <c r="L673" s="121" t="s">
        <v>149</v>
      </c>
      <c r="M673" s="121"/>
      <c r="N673" s="123"/>
      <c r="O673" s="121"/>
      <c r="P673" s="121" t="s">
        <v>113</v>
      </c>
      <c r="Q673" s="121"/>
      <c r="R673" s="124">
        <v>37.32</v>
      </c>
      <c r="S673" s="121"/>
      <c r="T673" s="124">
        <f t="shared" si="11"/>
        <v>48172.19</v>
      </c>
    </row>
    <row r="674" spans="2:20" x14ac:dyDescent="0.4">
      <c r="B674" s="121" t="s">
        <v>108</v>
      </c>
      <c r="C674" s="121"/>
      <c r="D674" s="122">
        <v>43175</v>
      </c>
      <c r="E674" s="121"/>
      <c r="F674" s="121" t="s">
        <v>827</v>
      </c>
      <c r="G674" s="121"/>
      <c r="H674" s="121" t="s">
        <v>701</v>
      </c>
      <c r="I674" s="121"/>
      <c r="J674" s="121" t="s">
        <v>827</v>
      </c>
      <c r="K674" s="121"/>
      <c r="L674" s="121"/>
      <c r="M674" s="121"/>
      <c r="N674" s="123"/>
      <c r="O674" s="121"/>
      <c r="P674" s="121" t="s">
        <v>113</v>
      </c>
      <c r="Q674" s="121"/>
      <c r="R674" s="124">
        <v>377.38</v>
      </c>
      <c r="S674" s="121"/>
      <c r="T674" s="124">
        <f t="shared" si="11"/>
        <v>48549.57</v>
      </c>
    </row>
    <row r="675" spans="2:20" x14ac:dyDescent="0.4">
      <c r="B675" s="121" t="s">
        <v>135</v>
      </c>
      <c r="C675" s="121"/>
      <c r="D675" s="122">
        <v>43190</v>
      </c>
      <c r="E675" s="121"/>
      <c r="F675" s="121" t="s">
        <v>240</v>
      </c>
      <c r="G675" s="121"/>
      <c r="H675" s="121"/>
      <c r="I675" s="121"/>
      <c r="J675" s="121" t="s">
        <v>828</v>
      </c>
      <c r="K675" s="121"/>
      <c r="L675" s="121" t="s">
        <v>149</v>
      </c>
      <c r="M675" s="121"/>
      <c r="N675" s="123"/>
      <c r="O675" s="121"/>
      <c r="P675" s="121" t="s">
        <v>138</v>
      </c>
      <c r="Q675" s="121"/>
      <c r="R675" s="124">
        <v>-39.67</v>
      </c>
      <c r="S675" s="121"/>
      <c r="T675" s="124">
        <f t="shared" si="11"/>
        <v>48509.9</v>
      </c>
    </row>
    <row r="676" spans="2:20" x14ac:dyDescent="0.4">
      <c r="B676" s="121" t="s">
        <v>108</v>
      </c>
      <c r="C676" s="121"/>
      <c r="D676" s="122">
        <v>43195</v>
      </c>
      <c r="E676" s="121"/>
      <c r="F676" s="121" t="s">
        <v>829</v>
      </c>
      <c r="G676" s="121"/>
      <c r="H676" s="121" t="s">
        <v>701</v>
      </c>
      <c r="I676" s="121"/>
      <c r="J676" s="121" t="s">
        <v>829</v>
      </c>
      <c r="K676" s="121"/>
      <c r="L676" s="121" t="s">
        <v>149</v>
      </c>
      <c r="M676" s="121"/>
      <c r="N676" s="123"/>
      <c r="O676" s="121"/>
      <c r="P676" s="121" t="s">
        <v>113</v>
      </c>
      <c r="Q676" s="121"/>
      <c r="R676" s="124">
        <v>34.5</v>
      </c>
      <c r="S676" s="121"/>
      <c r="T676" s="124">
        <f t="shared" si="11"/>
        <v>48544.4</v>
      </c>
    </row>
    <row r="677" spans="2:20" x14ac:dyDescent="0.4">
      <c r="B677" s="121" t="s">
        <v>108</v>
      </c>
      <c r="C677" s="121"/>
      <c r="D677" s="122">
        <v>43195</v>
      </c>
      <c r="E677" s="121"/>
      <c r="F677" s="121" t="s">
        <v>829</v>
      </c>
      <c r="G677" s="121"/>
      <c r="H677" s="121" t="s">
        <v>701</v>
      </c>
      <c r="I677" s="121"/>
      <c r="J677" s="121" t="s">
        <v>829</v>
      </c>
      <c r="K677" s="121"/>
      <c r="L677" s="121"/>
      <c r="M677" s="121"/>
      <c r="N677" s="123"/>
      <c r="O677" s="121"/>
      <c r="P677" s="121" t="s">
        <v>113</v>
      </c>
      <c r="Q677" s="121"/>
      <c r="R677" s="124">
        <v>348.78</v>
      </c>
      <c r="S677" s="121"/>
      <c r="T677" s="124">
        <f t="shared" si="11"/>
        <v>48893.18</v>
      </c>
    </row>
    <row r="678" spans="2:20" x14ac:dyDescent="0.4">
      <c r="B678" s="121" t="s">
        <v>108</v>
      </c>
      <c r="C678" s="121"/>
      <c r="D678" s="122">
        <v>43195</v>
      </c>
      <c r="E678" s="121"/>
      <c r="F678" s="121" t="s">
        <v>830</v>
      </c>
      <c r="G678" s="121"/>
      <c r="H678" s="121" t="s">
        <v>701</v>
      </c>
      <c r="I678" s="121"/>
      <c r="J678" s="121" t="s">
        <v>829</v>
      </c>
      <c r="K678" s="121"/>
      <c r="L678" s="121" t="s">
        <v>149</v>
      </c>
      <c r="M678" s="121"/>
      <c r="N678" s="123"/>
      <c r="O678" s="121"/>
      <c r="P678" s="121" t="s">
        <v>113</v>
      </c>
      <c r="Q678" s="121"/>
      <c r="R678" s="124">
        <v>34.5</v>
      </c>
      <c r="S678" s="121"/>
      <c r="T678" s="124">
        <f t="shared" si="11"/>
        <v>48927.68</v>
      </c>
    </row>
    <row r="679" spans="2:20" x14ac:dyDescent="0.4">
      <c r="B679" s="121" t="s">
        <v>108</v>
      </c>
      <c r="C679" s="121"/>
      <c r="D679" s="122">
        <v>43195</v>
      </c>
      <c r="E679" s="121"/>
      <c r="F679" s="121" t="s">
        <v>830</v>
      </c>
      <c r="G679" s="121"/>
      <c r="H679" s="121" t="s">
        <v>701</v>
      </c>
      <c r="I679" s="121"/>
      <c r="J679" s="121" t="s">
        <v>829</v>
      </c>
      <c r="K679" s="121"/>
      <c r="L679" s="121"/>
      <c r="M679" s="121"/>
      <c r="N679" s="123"/>
      <c r="O679" s="121"/>
      <c r="P679" s="121" t="s">
        <v>113</v>
      </c>
      <c r="Q679" s="121"/>
      <c r="R679" s="124">
        <v>348.78</v>
      </c>
      <c r="S679" s="121"/>
      <c r="T679" s="124">
        <f t="shared" si="11"/>
        <v>49276.46</v>
      </c>
    </row>
    <row r="680" spans="2:20" x14ac:dyDescent="0.4">
      <c r="B680" s="121" t="s">
        <v>135</v>
      </c>
      <c r="C680" s="121"/>
      <c r="D680" s="122">
        <v>43220</v>
      </c>
      <c r="E680" s="121"/>
      <c r="F680" s="121" t="s">
        <v>240</v>
      </c>
      <c r="G680" s="121"/>
      <c r="H680" s="121"/>
      <c r="I680" s="121"/>
      <c r="J680" s="121" t="s">
        <v>831</v>
      </c>
      <c r="K680" s="121"/>
      <c r="L680" s="121" t="s">
        <v>149</v>
      </c>
      <c r="M680" s="121"/>
      <c r="N680" s="123"/>
      <c r="O680" s="121"/>
      <c r="P680" s="121" t="s">
        <v>138</v>
      </c>
      <c r="Q680" s="121"/>
      <c r="R680" s="124">
        <v>-69</v>
      </c>
      <c r="S680" s="121"/>
      <c r="T680" s="124">
        <f t="shared" si="11"/>
        <v>49207.46</v>
      </c>
    </row>
    <row r="681" spans="2:20" x14ac:dyDescent="0.4">
      <c r="B681" s="121" t="s">
        <v>108</v>
      </c>
      <c r="C681" s="121"/>
      <c r="D681" s="122">
        <v>43256</v>
      </c>
      <c r="E681" s="121"/>
      <c r="F681" s="121" t="s">
        <v>832</v>
      </c>
      <c r="G681" s="121"/>
      <c r="H681" s="121" t="s">
        <v>732</v>
      </c>
      <c r="I681" s="121"/>
      <c r="J681" s="121" t="s">
        <v>833</v>
      </c>
      <c r="K681" s="121"/>
      <c r="L681" s="121" t="s">
        <v>149</v>
      </c>
      <c r="M681" s="121"/>
      <c r="N681" s="123"/>
      <c r="O681" s="121"/>
      <c r="P681" s="121" t="s">
        <v>113</v>
      </c>
      <c r="Q681" s="121"/>
      <c r="R681" s="124">
        <v>25.13</v>
      </c>
      <c r="S681" s="121"/>
      <c r="T681" s="124">
        <f t="shared" si="11"/>
        <v>49232.59</v>
      </c>
    </row>
    <row r="682" spans="2:20" x14ac:dyDescent="0.4">
      <c r="B682" s="121" t="s">
        <v>108</v>
      </c>
      <c r="C682" s="121"/>
      <c r="D682" s="122">
        <v>43256</v>
      </c>
      <c r="E682" s="121"/>
      <c r="F682" s="121" t="s">
        <v>832</v>
      </c>
      <c r="G682" s="121"/>
      <c r="H682" s="121" t="s">
        <v>732</v>
      </c>
      <c r="I682" s="121"/>
      <c r="J682" s="121" t="s">
        <v>833</v>
      </c>
      <c r="K682" s="121"/>
      <c r="L682" s="121"/>
      <c r="M682" s="121"/>
      <c r="N682" s="123"/>
      <c r="O682" s="121"/>
      <c r="P682" s="121" t="s">
        <v>113</v>
      </c>
      <c r="Q682" s="121"/>
      <c r="R682" s="124">
        <v>254.07</v>
      </c>
      <c r="S682" s="121"/>
      <c r="T682" s="124">
        <f t="shared" si="11"/>
        <v>49486.66</v>
      </c>
    </row>
    <row r="683" spans="2:20" x14ac:dyDescent="0.4">
      <c r="B683" s="121" t="s">
        <v>108</v>
      </c>
      <c r="C683" s="121"/>
      <c r="D683" s="122">
        <v>43270</v>
      </c>
      <c r="E683" s="121"/>
      <c r="F683" s="121" t="s">
        <v>834</v>
      </c>
      <c r="G683" s="121"/>
      <c r="H683" s="121" t="s">
        <v>701</v>
      </c>
      <c r="I683" s="121"/>
      <c r="J683" s="121" t="s">
        <v>834</v>
      </c>
      <c r="K683" s="121"/>
      <c r="L683" s="121" t="s">
        <v>149</v>
      </c>
      <c r="M683" s="121"/>
      <c r="N683" s="123"/>
      <c r="O683" s="121"/>
      <c r="P683" s="121" t="s">
        <v>113</v>
      </c>
      <c r="Q683" s="121"/>
      <c r="R683" s="124">
        <v>76.59</v>
      </c>
      <c r="S683" s="121"/>
      <c r="T683" s="124">
        <f t="shared" si="11"/>
        <v>49563.25</v>
      </c>
    </row>
    <row r="684" spans="2:20" x14ac:dyDescent="0.4">
      <c r="B684" s="121" t="s">
        <v>108</v>
      </c>
      <c r="C684" s="121"/>
      <c r="D684" s="122">
        <v>43270</v>
      </c>
      <c r="E684" s="121"/>
      <c r="F684" s="121" t="s">
        <v>834</v>
      </c>
      <c r="G684" s="121"/>
      <c r="H684" s="121" t="s">
        <v>701</v>
      </c>
      <c r="I684" s="121"/>
      <c r="J684" s="121" t="s">
        <v>834</v>
      </c>
      <c r="K684" s="121"/>
      <c r="L684" s="121"/>
      <c r="M684" s="121"/>
      <c r="N684" s="123"/>
      <c r="O684" s="121"/>
      <c r="P684" s="121" t="s">
        <v>113</v>
      </c>
      <c r="Q684" s="121"/>
      <c r="R684" s="124">
        <v>774.44</v>
      </c>
      <c r="S684" s="121"/>
      <c r="T684" s="124">
        <f t="shared" si="11"/>
        <v>50337.69</v>
      </c>
    </row>
    <row r="685" spans="2:20" x14ac:dyDescent="0.4">
      <c r="B685" s="121" t="s">
        <v>108</v>
      </c>
      <c r="C685" s="121"/>
      <c r="D685" s="122">
        <v>43280</v>
      </c>
      <c r="E685" s="121"/>
      <c r="F685" s="121" t="s">
        <v>835</v>
      </c>
      <c r="G685" s="121"/>
      <c r="H685" s="121" t="s">
        <v>701</v>
      </c>
      <c r="I685" s="121"/>
      <c r="J685" s="121" t="s">
        <v>835</v>
      </c>
      <c r="K685" s="121"/>
      <c r="L685" s="121" t="s">
        <v>149</v>
      </c>
      <c r="M685" s="121"/>
      <c r="N685" s="123"/>
      <c r="O685" s="121"/>
      <c r="P685" s="121" t="s">
        <v>113</v>
      </c>
      <c r="Q685" s="121"/>
      <c r="R685" s="124">
        <v>15.17</v>
      </c>
      <c r="S685" s="121"/>
      <c r="T685" s="124">
        <f t="shared" si="11"/>
        <v>50352.86</v>
      </c>
    </row>
    <row r="686" spans="2:20" x14ac:dyDescent="0.4">
      <c r="B686" s="121" t="s">
        <v>108</v>
      </c>
      <c r="C686" s="121"/>
      <c r="D686" s="122">
        <v>43280</v>
      </c>
      <c r="E686" s="121"/>
      <c r="F686" s="121" t="s">
        <v>835</v>
      </c>
      <c r="G686" s="121"/>
      <c r="H686" s="121" t="s">
        <v>701</v>
      </c>
      <c r="I686" s="121"/>
      <c r="J686" s="121" t="s">
        <v>835</v>
      </c>
      <c r="K686" s="121"/>
      <c r="L686" s="121"/>
      <c r="M686" s="121"/>
      <c r="N686" s="123"/>
      <c r="O686" s="121"/>
      <c r="P686" s="121" t="s">
        <v>113</v>
      </c>
      <c r="Q686" s="121"/>
      <c r="R686" s="124">
        <v>153.34</v>
      </c>
      <c r="S686" s="121"/>
      <c r="T686" s="124">
        <f t="shared" si="11"/>
        <v>50506.2</v>
      </c>
    </row>
    <row r="687" spans="2:20" x14ac:dyDescent="0.4">
      <c r="B687" s="121" t="s">
        <v>135</v>
      </c>
      <c r="C687" s="121"/>
      <c r="D687" s="122">
        <v>43281</v>
      </c>
      <c r="E687" s="121"/>
      <c r="F687" s="121" t="s">
        <v>240</v>
      </c>
      <c r="G687" s="121"/>
      <c r="H687" s="121"/>
      <c r="I687" s="121"/>
      <c r="J687" s="121" t="s">
        <v>836</v>
      </c>
      <c r="K687" s="121"/>
      <c r="L687" s="121" t="s">
        <v>149</v>
      </c>
      <c r="M687" s="121"/>
      <c r="N687" s="123"/>
      <c r="O687" s="121"/>
      <c r="P687" s="121" t="s">
        <v>138</v>
      </c>
      <c r="Q687" s="121"/>
      <c r="R687" s="124">
        <v>-116.89</v>
      </c>
      <c r="S687" s="121"/>
      <c r="T687" s="124">
        <f t="shared" si="11"/>
        <v>50389.31</v>
      </c>
    </row>
    <row r="688" spans="2:20" x14ac:dyDescent="0.4">
      <c r="B688" s="121" t="s">
        <v>108</v>
      </c>
      <c r="C688" s="121"/>
      <c r="D688" s="122">
        <v>43313</v>
      </c>
      <c r="E688" s="121"/>
      <c r="F688" s="121" t="s">
        <v>837</v>
      </c>
      <c r="G688" s="121"/>
      <c r="H688" s="121" t="s">
        <v>701</v>
      </c>
      <c r="I688" s="121"/>
      <c r="J688" s="121" t="s">
        <v>838</v>
      </c>
      <c r="K688" s="121"/>
      <c r="L688" s="121" t="s">
        <v>149</v>
      </c>
      <c r="M688" s="121"/>
      <c r="N688" s="123"/>
      <c r="O688" s="121"/>
      <c r="P688" s="121" t="s">
        <v>113</v>
      </c>
      <c r="Q688" s="121"/>
      <c r="R688" s="124">
        <v>4.05</v>
      </c>
      <c r="S688" s="121"/>
      <c r="T688" s="124">
        <f t="shared" si="11"/>
        <v>50393.36</v>
      </c>
    </row>
    <row r="689" spans="2:20" x14ac:dyDescent="0.4">
      <c r="B689" s="121" t="s">
        <v>108</v>
      </c>
      <c r="C689" s="121"/>
      <c r="D689" s="122">
        <v>43313</v>
      </c>
      <c r="E689" s="121"/>
      <c r="F689" s="121" t="s">
        <v>837</v>
      </c>
      <c r="G689" s="121"/>
      <c r="H689" s="121" t="s">
        <v>701</v>
      </c>
      <c r="I689" s="121"/>
      <c r="J689" s="121" t="s">
        <v>838</v>
      </c>
      <c r="K689" s="121"/>
      <c r="L689" s="121"/>
      <c r="M689" s="121"/>
      <c r="N689" s="123"/>
      <c r="O689" s="121"/>
      <c r="P689" s="121" t="s">
        <v>113</v>
      </c>
      <c r="Q689" s="121"/>
      <c r="R689" s="124">
        <v>40.950000000000003</v>
      </c>
      <c r="S689" s="121"/>
      <c r="T689" s="124">
        <f t="shared" si="11"/>
        <v>50434.31</v>
      </c>
    </row>
    <row r="690" spans="2:20" x14ac:dyDescent="0.4">
      <c r="B690" s="121" t="s">
        <v>135</v>
      </c>
      <c r="C690" s="121"/>
      <c r="D690" s="122">
        <v>43343</v>
      </c>
      <c r="E690" s="121"/>
      <c r="F690" s="121" t="s">
        <v>233</v>
      </c>
      <c r="G690" s="121"/>
      <c r="H690" s="121"/>
      <c r="I690" s="121"/>
      <c r="J690" s="121" t="s">
        <v>839</v>
      </c>
      <c r="K690" s="121"/>
      <c r="L690" s="121" t="s">
        <v>149</v>
      </c>
      <c r="M690" s="121"/>
      <c r="N690" s="123"/>
      <c r="O690" s="121"/>
      <c r="P690" s="121" t="s">
        <v>138</v>
      </c>
      <c r="Q690" s="121"/>
      <c r="R690" s="124">
        <v>-4.05</v>
      </c>
      <c r="S690" s="121"/>
      <c r="T690" s="124">
        <f t="shared" si="11"/>
        <v>50430.26</v>
      </c>
    </row>
    <row r="691" spans="2:20" x14ac:dyDescent="0.4">
      <c r="B691" s="121" t="s">
        <v>108</v>
      </c>
      <c r="C691" s="121"/>
      <c r="D691" s="122">
        <v>43348</v>
      </c>
      <c r="E691" s="121"/>
      <c r="F691" s="121" t="s">
        <v>840</v>
      </c>
      <c r="G691" s="121"/>
      <c r="H691" s="121" t="s">
        <v>732</v>
      </c>
      <c r="I691" s="121"/>
      <c r="J691" s="121" t="s">
        <v>841</v>
      </c>
      <c r="K691" s="121"/>
      <c r="L691" s="121" t="s">
        <v>149</v>
      </c>
      <c r="M691" s="121"/>
      <c r="N691" s="123"/>
      <c r="O691" s="121"/>
      <c r="P691" s="121" t="s">
        <v>113</v>
      </c>
      <c r="Q691" s="121"/>
      <c r="R691" s="124">
        <v>10.050000000000001</v>
      </c>
      <c r="S691" s="121"/>
      <c r="T691" s="124">
        <f t="shared" si="11"/>
        <v>50440.31</v>
      </c>
    </row>
    <row r="692" spans="2:20" x14ac:dyDescent="0.4">
      <c r="B692" s="121" t="s">
        <v>108</v>
      </c>
      <c r="C692" s="121"/>
      <c r="D692" s="122">
        <v>43348</v>
      </c>
      <c r="E692" s="121"/>
      <c r="F692" s="121" t="s">
        <v>840</v>
      </c>
      <c r="G692" s="121"/>
      <c r="H692" s="121" t="s">
        <v>732</v>
      </c>
      <c r="I692" s="121"/>
      <c r="J692" s="121" t="s">
        <v>841</v>
      </c>
      <c r="K692" s="121"/>
      <c r="L692" s="121"/>
      <c r="M692" s="121"/>
      <c r="N692" s="123"/>
      <c r="O692" s="121"/>
      <c r="P692" s="121" t="s">
        <v>113</v>
      </c>
      <c r="Q692" s="121"/>
      <c r="R692" s="124">
        <v>101.63</v>
      </c>
      <c r="S692" s="121"/>
      <c r="T692" s="124">
        <f t="shared" si="11"/>
        <v>50541.94</v>
      </c>
    </row>
    <row r="693" spans="2:20" x14ac:dyDescent="0.4">
      <c r="B693" s="121" t="s">
        <v>108</v>
      </c>
      <c r="C693" s="121"/>
      <c r="D693" s="122">
        <v>43354</v>
      </c>
      <c r="E693" s="121"/>
      <c r="F693" s="121" t="s">
        <v>842</v>
      </c>
      <c r="G693" s="121"/>
      <c r="H693" s="121" t="s">
        <v>843</v>
      </c>
      <c r="I693" s="121"/>
      <c r="J693" s="121" t="s">
        <v>844</v>
      </c>
      <c r="K693" s="121"/>
      <c r="L693" s="121"/>
      <c r="M693" s="121"/>
      <c r="N693" s="123"/>
      <c r="O693" s="121"/>
      <c r="P693" s="121" t="s">
        <v>113</v>
      </c>
      <c r="Q693" s="121"/>
      <c r="R693" s="124">
        <v>200</v>
      </c>
      <c r="S693" s="121"/>
      <c r="T693" s="124">
        <f t="shared" si="11"/>
        <v>50741.94</v>
      </c>
    </row>
    <row r="694" spans="2:20" x14ac:dyDescent="0.4">
      <c r="B694" s="121" t="s">
        <v>108</v>
      </c>
      <c r="C694" s="121"/>
      <c r="D694" s="122">
        <v>43361</v>
      </c>
      <c r="E694" s="121"/>
      <c r="F694" s="121" t="s">
        <v>845</v>
      </c>
      <c r="G694" s="121"/>
      <c r="H694" s="121" t="s">
        <v>701</v>
      </c>
      <c r="I694" s="121"/>
      <c r="J694" s="121" t="s">
        <v>846</v>
      </c>
      <c r="K694" s="121"/>
      <c r="L694" s="121" t="s">
        <v>149</v>
      </c>
      <c r="M694" s="121"/>
      <c r="N694" s="123"/>
      <c r="O694" s="121"/>
      <c r="P694" s="121" t="s">
        <v>113</v>
      </c>
      <c r="Q694" s="121"/>
      <c r="R694" s="124">
        <v>43.8</v>
      </c>
      <c r="S694" s="121"/>
      <c r="T694" s="124">
        <f t="shared" si="11"/>
        <v>50785.74</v>
      </c>
    </row>
    <row r="695" spans="2:20" x14ac:dyDescent="0.4">
      <c r="B695" s="121" t="s">
        <v>108</v>
      </c>
      <c r="C695" s="121"/>
      <c r="D695" s="122">
        <v>43361</v>
      </c>
      <c r="E695" s="121"/>
      <c r="F695" s="121" t="s">
        <v>845</v>
      </c>
      <c r="G695" s="121"/>
      <c r="H695" s="121" t="s">
        <v>701</v>
      </c>
      <c r="I695" s="121"/>
      <c r="J695" s="121" t="s">
        <v>846</v>
      </c>
      <c r="K695" s="121"/>
      <c r="L695" s="121"/>
      <c r="M695" s="121"/>
      <c r="N695" s="123"/>
      <c r="O695" s="121"/>
      <c r="P695" s="121" t="s">
        <v>113</v>
      </c>
      <c r="Q695" s="121"/>
      <c r="R695" s="124">
        <v>442.9</v>
      </c>
      <c r="S695" s="121"/>
      <c r="T695" s="124">
        <f t="shared" si="11"/>
        <v>51228.639999999999</v>
      </c>
    </row>
    <row r="696" spans="2:20" x14ac:dyDescent="0.4">
      <c r="B696" s="121" t="s">
        <v>135</v>
      </c>
      <c r="C696" s="121"/>
      <c r="D696" s="122">
        <v>43373</v>
      </c>
      <c r="E696" s="121"/>
      <c r="F696" s="121" t="s">
        <v>698</v>
      </c>
      <c r="G696" s="121"/>
      <c r="H696" s="121"/>
      <c r="I696" s="121"/>
      <c r="J696" s="121" t="s">
        <v>847</v>
      </c>
      <c r="K696" s="121"/>
      <c r="L696" s="121" t="s">
        <v>149</v>
      </c>
      <c r="M696" s="121"/>
      <c r="N696" s="123"/>
      <c r="O696" s="121"/>
      <c r="P696" s="121" t="s">
        <v>138</v>
      </c>
      <c r="Q696" s="121"/>
      <c r="R696" s="124">
        <v>-53.85</v>
      </c>
      <c r="S696" s="121"/>
      <c r="T696" s="124">
        <f t="shared" si="11"/>
        <v>51174.79</v>
      </c>
    </row>
    <row r="697" spans="2:20" x14ac:dyDescent="0.4">
      <c r="B697" s="121" t="s">
        <v>108</v>
      </c>
      <c r="C697" s="121"/>
      <c r="D697" s="122">
        <v>43434</v>
      </c>
      <c r="E697" s="121"/>
      <c r="F697" s="121" t="s">
        <v>848</v>
      </c>
      <c r="G697" s="121"/>
      <c r="H697" s="121" t="s">
        <v>597</v>
      </c>
      <c r="I697" s="121"/>
      <c r="J697" s="121" t="s">
        <v>848</v>
      </c>
      <c r="K697" s="121"/>
      <c r="L697" s="121" t="s">
        <v>149</v>
      </c>
      <c r="M697" s="121"/>
      <c r="N697" s="123"/>
      <c r="O697" s="121"/>
      <c r="P697" s="121" t="s">
        <v>113</v>
      </c>
      <c r="Q697" s="121"/>
      <c r="R697" s="124">
        <v>267.22000000000003</v>
      </c>
      <c r="S697" s="121"/>
      <c r="T697" s="124">
        <f t="shared" si="11"/>
        <v>51442.01</v>
      </c>
    </row>
    <row r="698" spans="2:20" x14ac:dyDescent="0.4">
      <c r="B698" s="121" t="s">
        <v>108</v>
      </c>
      <c r="C698" s="121"/>
      <c r="D698" s="122">
        <v>43434</v>
      </c>
      <c r="E698" s="121"/>
      <c r="F698" s="121" t="s">
        <v>848</v>
      </c>
      <c r="G698" s="121"/>
      <c r="H698" s="121" t="s">
        <v>597</v>
      </c>
      <c r="I698" s="121"/>
      <c r="J698" s="121" t="s">
        <v>848</v>
      </c>
      <c r="K698" s="121"/>
      <c r="L698" s="121"/>
      <c r="M698" s="121"/>
      <c r="N698" s="123"/>
      <c r="O698" s="121"/>
      <c r="P698" s="121" t="s">
        <v>113</v>
      </c>
      <c r="Q698" s="121"/>
      <c r="R698" s="124">
        <v>2701.84</v>
      </c>
      <c r="S698" s="121"/>
      <c r="T698" s="124">
        <f t="shared" si="11"/>
        <v>54143.85</v>
      </c>
    </row>
    <row r="699" spans="2:20" x14ac:dyDescent="0.4">
      <c r="B699" s="121" t="s">
        <v>135</v>
      </c>
      <c r="C699" s="121"/>
      <c r="D699" s="122">
        <v>43434</v>
      </c>
      <c r="E699" s="121"/>
      <c r="F699" s="121" t="s">
        <v>240</v>
      </c>
      <c r="G699" s="121"/>
      <c r="H699" s="121"/>
      <c r="I699" s="121"/>
      <c r="J699" s="121" t="s">
        <v>849</v>
      </c>
      <c r="K699" s="121"/>
      <c r="L699" s="121" t="s">
        <v>149</v>
      </c>
      <c r="M699" s="121"/>
      <c r="N699" s="123"/>
      <c r="O699" s="121"/>
      <c r="P699" s="121" t="s">
        <v>138</v>
      </c>
      <c r="Q699" s="121"/>
      <c r="R699" s="124">
        <v>-267.22000000000003</v>
      </c>
      <c r="S699" s="121"/>
      <c r="T699" s="124">
        <f t="shared" si="11"/>
        <v>53876.63</v>
      </c>
    </row>
    <row r="700" spans="2:20" x14ac:dyDescent="0.4">
      <c r="B700" s="121" t="s">
        <v>135</v>
      </c>
      <c r="C700" s="121"/>
      <c r="D700" s="122">
        <v>43465</v>
      </c>
      <c r="E700" s="121"/>
      <c r="F700" s="121" t="s">
        <v>850</v>
      </c>
      <c r="G700" s="121"/>
      <c r="H700" s="121"/>
      <c r="I700" s="121"/>
      <c r="J700" s="121" t="s">
        <v>851</v>
      </c>
      <c r="K700" s="121"/>
      <c r="L700" s="121"/>
      <c r="M700" s="121"/>
      <c r="N700" s="123"/>
      <c r="O700" s="121"/>
      <c r="P700" s="121" t="s">
        <v>852</v>
      </c>
      <c r="Q700" s="121"/>
      <c r="R700" s="124">
        <v>-231.69</v>
      </c>
      <c r="S700" s="121"/>
      <c r="T700" s="124">
        <f t="shared" si="11"/>
        <v>53644.94</v>
      </c>
    </row>
    <row r="701" spans="2:20" x14ac:dyDescent="0.4">
      <c r="B701" s="121" t="s">
        <v>108</v>
      </c>
      <c r="C701" s="121"/>
      <c r="D701" s="122">
        <v>43507</v>
      </c>
      <c r="E701" s="121"/>
      <c r="F701" s="121" t="s">
        <v>853</v>
      </c>
      <c r="G701" s="121"/>
      <c r="H701" s="121" t="s">
        <v>732</v>
      </c>
      <c r="I701" s="121"/>
      <c r="J701" s="121" t="s">
        <v>854</v>
      </c>
      <c r="K701" s="121"/>
      <c r="L701" s="121" t="s">
        <v>149</v>
      </c>
      <c r="M701" s="121"/>
      <c r="N701" s="123"/>
      <c r="O701" s="121"/>
      <c r="P701" s="121" t="s">
        <v>113</v>
      </c>
      <c r="Q701" s="121"/>
      <c r="R701" s="124">
        <v>44.17</v>
      </c>
      <c r="S701" s="121"/>
      <c r="T701" s="124">
        <f t="shared" si="11"/>
        <v>53689.11</v>
      </c>
    </row>
    <row r="702" spans="2:20" x14ac:dyDescent="0.4">
      <c r="B702" s="121" t="s">
        <v>108</v>
      </c>
      <c r="C702" s="121"/>
      <c r="D702" s="122">
        <v>43507</v>
      </c>
      <c r="E702" s="121"/>
      <c r="F702" s="121" t="s">
        <v>853</v>
      </c>
      <c r="G702" s="121"/>
      <c r="H702" s="121" t="s">
        <v>732</v>
      </c>
      <c r="I702" s="121"/>
      <c r="J702" s="121" t="s">
        <v>854</v>
      </c>
      <c r="K702" s="121"/>
      <c r="L702" s="121"/>
      <c r="M702" s="121"/>
      <c r="N702" s="123"/>
      <c r="O702" s="121"/>
      <c r="P702" s="121" t="s">
        <v>113</v>
      </c>
      <c r="Q702" s="121"/>
      <c r="R702" s="124">
        <v>446.61</v>
      </c>
      <c r="S702" s="121"/>
      <c r="T702" s="124">
        <f t="shared" si="11"/>
        <v>54135.72</v>
      </c>
    </row>
    <row r="703" spans="2:20" x14ac:dyDescent="0.4">
      <c r="B703" s="121" t="s">
        <v>135</v>
      </c>
      <c r="C703" s="121"/>
      <c r="D703" s="122">
        <v>43524</v>
      </c>
      <c r="E703" s="121"/>
      <c r="F703" s="121" t="s">
        <v>233</v>
      </c>
      <c r="G703" s="121"/>
      <c r="H703" s="121"/>
      <c r="I703" s="121"/>
      <c r="J703" s="121" t="s">
        <v>855</v>
      </c>
      <c r="K703" s="121"/>
      <c r="L703" s="121" t="s">
        <v>149</v>
      </c>
      <c r="M703" s="121"/>
      <c r="N703" s="123"/>
      <c r="O703" s="121"/>
      <c r="P703" s="121" t="s">
        <v>138</v>
      </c>
      <c r="Q703" s="121"/>
      <c r="R703" s="124">
        <v>-44.17</v>
      </c>
      <c r="S703" s="121"/>
      <c r="T703" s="124">
        <f t="shared" si="11"/>
        <v>54091.55</v>
      </c>
    </row>
    <row r="704" spans="2:20" x14ac:dyDescent="0.4">
      <c r="B704" s="121" t="s">
        <v>108</v>
      </c>
      <c r="C704" s="121"/>
      <c r="D704" s="122">
        <v>43682</v>
      </c>
      <c r="E704" s="121"/>
      <c r="F704" s="121" t="s">
        <v>856</v>
      </c>
      <c r="G704" s="121"/>
      <c r="H704" s="121" t="s">
        <v>732</v>
      </c>
      <c r="I704" s="121"/>
      <c r="J704" s="121" t="s">
        <v>856</v>
      </c>
      <c r="K704" s="121"/>
      <c r="L704" s="121" t="s">
        <v>149</v>
      </c>
      <c r="M704" s="121"/>
      <c r="N704" s="123"/>
      <c r="O704" s="121"/>
      <c r="P704" s="121" t="s">
        <v>113</v>
      </c>
      <c r="Q704" s="121"/>
      <c r="R704" s="124">
        <v>44.17</v>
      </c>
      <c r="S704" s="121"/>
      <c r="T704" s="124">
        <f t="shared" si="11"/>
        <v>54135.72</v>
      </c>
    </row>
    <row r="705" spans="2:20" x14ac:dyDescent="0.4">
      <c r="B705" s="121" t="s">
        <v>108</v>
      </c>
      <c r="C705" s="121"/>
      <c r="D705" s="122">
        <v>43682</v>
      </c>
      <c r="E705" s="121"/>
      <c r="F705" s="121" t="s">
        <v>856</v>
      </c>
      <c r="G705" s="121"/>
      <c r="H705" s="121" t="s">
        <v>732</v>
      </c>
      <c r="I705" s="121"/>
      <c r="J705" s="121" t="s">
        <v>856</v>
      </c>
      <c r="K705" s="121"/>
      <c r="L705" s="121"/>
      <c r="M705" s="121"/>
      <c r="N705" s="123"/>
      <c r="O705" s="121"/>
      <c r="P705" s="121" t="s">
        <v>113</v>
      </c>
      <c r="Q705" s="121"/>
      <c r="R705" s="124">
        <v>446.61</v>
      </c>
      <c r="S705" s="121"/>
      <c r="T705" s="124">
        <f t="shared" si="11"/>
        <v>54582.33</v>
      </c>
    </row>
    <row r="706" spans="2:20" x14ac:dyDescent="0.4">
      <c r="B706" s="121" t="s">
        <v>135</v>
      </c>
      <c r="C706" s="121"/>
      <c r="D706" s="122">
        <v>43708</v>
      </c>
      <c r="E706" s="121"/>
      <c r="F706" s="121" t="s">
        <v>446</v>
      </c>
      <c r="G706" s="121"/>
      <c r="H706" s="121"/>
      <c r="I706" s="121"/>
      <c r="J706" s="121" t="s">
        <v>857</v>
      </c>
      <c r="K706" s="121"/>
      <c r="L706" s="121" t="s">
        <v>149</v>
      </c>
      <c r="M706" s="121"/>
      <c r="N706" s="123"/>
      <c r="O706" s="121"/>
      <c r="P706" s="121" t="s">
        <v>138</v>
      </c>
      <c r="Q706" s="121"/>
      <c r="R706" s="124">
        <v>-44.17</v>
      </c>
      <c r="S706" s="121"/>
      <c r="T706" s="124">
        <f t="shared" si="11"/>
        <v>54538.16</v>
      </c>
    </row>
    <row r="707" spans="2:20" x14ac:dyDescent="0.4">
      <c r="B707" s="121" t="s">
        <v>108</v>
      </c>
      <c r="C707" s="121"/>
      <c r="D707" s="122">
        <v>43744</v>
      </c>
      <c r="E707" s="121"/>
      <c r="F707" s="121" t="s">
        <v>858</v>
      </c>
      <c r="G707" s="121"/>
      <c r="H707" s="121" t="s">
        <v>597</v>
      </c>
      <c r="I707" s="121"/>
      <c r="J707" s="121" t="s">
        <v>858</v>
      </c>
      <c r="K707" s="121"/>
      <c r="L707" s="121" t="s">
        <v>149</v>
      </c>
      <c r="M707" s="121"/>
      <c r="N707" s="123"/>
      <c r="O707" s="121"/>
      <c r="P707" s="121" t="s">
        <v>113</v>
      </c>
      <c r="Q707" s="121"/>
      <c r="R707" s="124">
        <v>502.28</v>
      </c>
      <c r="S707" s="121"/>
      <c r="T707" s="124">
        <f t="shared" si="11"/>
        <v>55040.44</v>
      </c>
    </row>
    <row r="708" spans="2:20" x14ac:dyDescent="0.4">
      <c r="B708" s="121" t="s">
        <v>108</v>
      </c>
      <c r="C708" s="121"/>
      <c r="D708" s="122">
        <v>43744</v>
      </c>
      <c r="E708" s="121"/>
      <c r="F708" s="121" t="s">
        <v>858</v>
      </c>
      <c r="G708" s="121"/>
      <c r="H708" s="121" t="s">
        <v>597</v>
      </c>
      <c r="I708" s="121"/>
      <c r="J708" s="121" t="s">
        <v>858</v>
      </c>
      <c r="K708" s="121"/>
      <c r="L708" s="121"/>
      <c r="M708" s="121"/>
      <c r="N708" s="123"/>
      <c r="O708" s="121"/>
      <c r="P708" s="121" t="s">
        <v>113</v>
      </c>
      <c r="Q708" s="121"/>
      <c r="R708" s="124">
        <v>5078.6499999999996</v>
      </c>
      <c r="S708" s="121"/>
      <c r="T708" s="124">
        <f t="shared" si="11"/>
        <v>60119.09</v>
      </c>
    </row>
    <row r="709" spans="2:20" x14ac:dyDescent="0.4">
      <c r="B709" s="121" t="s">
        <v>135</v>
      </c>
      <c r="C709" s="121"/>
      <c r="D709" s="122">
        <v>43769</v>
      </c>
      <c r="E709" s="121"/>
      <c r="F709" s="121" t="s">
        <v>698</v>
      </c>
      <c r="G709" s="121"/>
      <c r="H709" s="121"/>
      <c r="I709" s="121"/>
      <c r="J709" s="121" t="s">
        <v>859</v>
      </c>
      <c r="K709" s="121"/>
      <c r="L709" s="121" t="s">
        <v>149</v>
      </c>
      <c r="M709" s="121"/>
      <c r="N709" s="123"/>
      <c r="O709" s="121"/>
      <c r="P709" s="121" t="s">
        <v>138</v>
      </c>
      <c r="Q709" s="121"/>
      <c r="R709" s="124">
        <v>-502.28</v>
      </c>
      <c r="S709" s="121"/>
      <c r="T709" s="124">
        <f t="shared" si="11"/>
        <v>59616.81</v>
      </c>
    </row>
    <row r="710" spans="2:20" x14ac:dyDescent="0.4">
      <c r="B710" s="121" t="s">
        <v>108</v>
      </c>
      <c r="C710" s="121"/>
      <c r="D710" s="122">
        <v>43791</v>
      </c>
      <c r="E710" s="121"/>
      <c r="F710" s="121" t="s">
        <v>860</v>
      </c>
      <c r="G710" s="121"/>
      <c r="H710" s="121" t="s">
        <v>597</v>
      </c>
      <c r="I710" s="121"/>
      <c r="J710" s="121" t="s">
        <v>860</v>
      </c>
      <c r="K710" s="121"/>
      <c r="L710" s="121" t="s">
        <v>149</v>
      </c>
      <c r="M710" s="121"/>
      <c r="N710" s="123"/>
      <c r="O710" s="121"/>
      <c r="P710" s="121" t="s">
        <v>113</v>
      </c>
      <c r="Q710" s="121"/>
      <c r="R710" s="124">
        <v>161.55000000000001</v>
      </c>
      <c r="S710" s="121"/>
      <c r="T710" s="124">
        <f t="shared" si="11"/>
        <v>59778.36</v>
      </c>
    </row>
    <row r="711" spans="2:20" x14ac:dyDescent="0.4">
      <c r="B711" s="121" t="s">
        <v>108</v>
      </c>
      <c r="C711" s="121"/>
      <c r="D711" s="122">
        <v>43791</v>
      </c>
      <c r="E711" s="121"/>
      <c r="F711" s="121" t="s">
        <v>860</v>
      </c>
      <c r="G711" s="121"/>
      <c r="H711" s="121" t="s">
        <v>597</v>
      </c>
      <c r="I711" s="121"/>
      <c r="J711" s="121" t="s">
        <v>860</v>
      </c>
      <c r="K711" s="121"/>
      <c r="L711" s="121"/>
      <c r="M711" s="121"/>
      <c r="N711" s="123"/>
      <c r="O711" s="121"/>
      <c r="P711" s="121" t="s">
        <v>113</v>
      </c>
      <c r="Q711" s="121"/>
      <c r="R711" s="124">
        <v>1633.45</v>
      </c>
      <c r="S711" s="121"/>
      <c r="T711" s="124">
        <f t="shared" si="11"/>
        <v>61411.81</v>
      </c>
    </row>
    <row r="712" spans="2:20" x14ac:dyDescent="0.4">
      <c r="B712" s="121" t="s">
        <v>135</v>
      </c>
      <c r="C712" s="121"/>
      <c r="D712" s="122">
        <v>43799</v>
      </c>
      <c r="E712" s="121"/>
      <c r="F712" s="121" t="s">
        <v>233</v>
      </c>
      <c r="G712" s="121"/>
      <c r="H712" s="121"/>
      <c r="I712" s="121"/>
      <c r="J712" s="121" t="s">
        <v>861</v>
      </c>
      <c r="K712" s="121"/>
      <c r="L712" s="121" t="s">
        <v>149</v>
      </c>
      <c r="M712" s="121"/>
      <c r="N712" s="123"/>
      <c r="O712" s="121"/>
      <c r="P712" s="121" t="s">
        <v>138</v>
      </c>
      <c r="Q712" s="121"/>
      <c r="R712" s="124">
        <v>-161.55000000000001</v>
      </c>
      <c r="S712" s="121"/>
      <c r="T712" s="124">
        <f t="shared" si="11"/>
        <v>61250.26</v>
      </c>
    </row>
    <row r="713" spans="2:20" x14ac:dyDescent="0.4">
      <c r="B713" s="121" t="s">
        <v>108</v>
      </c>
      <c r="C713" s="121"/>
      <c r="D713" s="122">
        <v>43850</v>
      </c>
      <c r="E713" s="121"/>
      <c r="F713" s="121" t="s">
        <v>862</v>
      </c>
      <c r="G713" s="121"/>
      <c r="H713" s="121" t="s">
        <v>863</v>
      </c>
      <c r="I713" s="121"/>
      <c r="J713" s="121" t="s">
        <v>862</v>
      </c>
      <c r="K713" s="121"/>
      <c r="L713" s="121" t="s">
        <v>149</v>
      </c>
      <c r="M713" s="121"/>
      <c r="N713" s="123"/>
      <c r="O713" s="121"/>
      <c r="P713" s="121" t="s">
        <v>113</v>
      </c>
      <c r="Q713" s="121"/>
      <c r="R713" s="124">
        <v>310.12</v>
      </c>
      <c r="S713" s="121"/>
      <c r="T713" s="124">
        <f t="shared" si="11"/>
        <v>61560.38</v>
      </c>
    </row>
    <row r="714" spans="2:20" x14ac:dyDescent="0.4">
      <c r="B714" s="121" t="s">
        <v>108</v>
      </c>
      <c r="C714" s="121"/>
      <c r="D714" s="122">
        <v>43850</v>
      </c>
      <c r="E714" s="121"/>
      <c r="F714" s="121" t="s">
        <v>862</v>
      </c>
      <c r="G714" s="121"/>
      <c r="H714" s="121" t="s">
        <v>863</v>
      </c>
      <c r="I714" s="121"/>
      <c r="J714" s="121" t="s">
        <v>862</v>
      </c>
      <c r="K714" s="121"/>
      <c r="L714" s="121"/>
      <c r="M714" s="121"/>
      <c r="N714" s="123"/>
      <c r="O714" s="121"/>
      <c r="P714" s="121" t="s">
        <v>113</v>
      </c>
      <c r="Q714" s="121"/>
      <c r="R714" s="124">
        <v>3135.62</v>
      </c>
      <c r="S714" s="121"/>
      <c r="T714" s="124">
        <f t="shared" si="11"/>
        <v>64696</v>
      </c>
    </row>
    <row r="715" spans="2:20" x14ac:dyDescent="0.4">
      <c r="B715" s="121" t="s">
        <v>135</v>
      </c>
      <c r="C715" s="121"/>
      <c r="D715" s="122">
        <v>43861</v>
      </c>
      <c r="E715" s="121"/>
      <c r="F715" s="121" t="s">
        <v>422</v>
      </c>
      <c r="G715" s="121"/>
      <c r="H715" s="121"/>
      <c r="I715" s="121"/>
      <c r="J715" s="121" t="s">
        <v>864</v>
      </c>
      <c r="K715" s="121"/>
      <c r="L715" s="121" t="s">
        <v>149</v>
      </c>
      <c r="M715" s="121"/>
      <c r="N715" s="123"/>
      <c r="O715" s="121"/>
      <c r="P715" s="121" t="s">
        <v>138</v>
      </c>
      <c r="Q715" s="121"/>
      <c r="R715" s="124">
        <v>-310.12</v>
      </c>
      <c r="S715" s="121"/>
      <c r="T715" s="124">
        <f t="shared" si="11"/>
        <v>64385.88</v>
      </c>
    </row>
    <row r="716" spans="2:20" x14ac:dyDescent="0.4">
      <c r="B716" s="121" t="s">
        <v>108</v>
      </c>
      <c r="C716" s="121"/>
      <c r="D716" s="122">
        <v>43930</v>
      </c>
      <c r="E716" s="121"/>
      <c r="F716" s="121" t="s">
        <v>865</v>
      </c>
      <c r="G716" s="121"/>
      <c r="H716" s="121" t="s">
        <v>732</v>
      </c>
      <c r="I716" s="121"/>
      <c r="J716" s="121" t="s">
        <v>865</v>
      </c>
      <c r="K716" s="121"/>
      <c r="L716" s="121" t="s">
        <v>149</v>
      </c>
      <c r="M716" s="121"/>
      <c r="N716" s="123"/>
      <c r="O716" s="121"/>
      <c r="P716" s="121" t="s">
        <v>113</v>
      </c>
      <c r="Q716" s="121"/>
      <c r="R716" s="124">
        <v>16.510000000000002</v>
      </c>
      <c r="S716" s="121"/>
      <c r="T716" s="124">
        <f t="shared" ref="T716:T779" si="12">ROUND(T715+R716,5)</f>
        <v>64402.39</v>
      </c>
    </row>
    <row r="717" spans="2:20" x14ac:dyDescent="0.4">
      <c r="B717" s="121" t="s">
        <v>108</v>
      </c>
      <c r="C717" s="121"/>
      <c r="D717" s="122">
        <v>43930</v>
      </c>
      <c r="E717" s="121"/>
      <c r="F717" s="121" t="s">
        <v>865</v>
      </c>
      <c r="G717" s="121"/>
      <c r="H717" s="121" t="s">
        <v>732</v>
      </c>
      <c r="I717" s="121"/>
      <c r="J717" s="121" t="s">
        <v>865</v>
      </c>
      <c r="K717" s="121"/>
      <c r="L717" s="121"/>
      <c r="M717" s="121"/>
      <c r="N717" s="123"/>
      <c r="O717" s="121"/>
      <c r="P717" s="121" t="s">
        <v>113</v>
      </c>
      <c r="Q717" s="121"/>
      <c r="R717" s="124">
        <v>167.03</v>
      </c>
      <c r="S717" s="121"/>
      <c r="T717" s="124">
        <f t="shared" si="12"/>
        <v>64569.42</v>
      </c>
    </row>
    <row r="718" spans="2:20" x14ac:dyDescent="0.4">
      <c r="B718" s="121" t="s">
        <v>135</v>
      </c>
      <c r="C718" s="121"/>
      <c r="D718" s="122">
        <v>43951</v>
      </c>
      <c r="E718" s="121"/>
      <c r="F718" s="121" t="s">
        <v>233</v>
      </c>
      <c r="G718" s="121"/>
      <c r="H718" s="121"/>
      <c r="I718" s="121"/>
      <c r="J718" s="121" t="s">
        <v>866</v>
      </c>
      <c r="K718" s="121"/>
      <c r="L718" s="121" t="s">
        <v>149</v>
      </c>
      <c r="M718" s="121"/>
      <c r="N718" s="123"/>
      <c r="O718" s="121"/>
      <c r="P718" s="121" t="s">
        <v>138</v>
      </c>
      <c r="Q718" s="121"/>
      <c r="R718" s="124">
        <v>-16.510000000000002</v>
      </c>
      <c r="S718" s="121"/>
      <c r="T718" s="124">
        <f t="shared" si="12"/>
        <v>64552.91</v>
      </c>
    </row>
    <row r="719" spans="2:20" x14ac:dyDescent="0.4">
      <c r="B719" s="121" t="s">
        <v>108</v>
      </c>
      <c r="C719" s="121"/>
      <c r="D719" s="122">
        <v>43994</v>
      </c>
      <c r="E719" s="121"/>
      <c r="F719" s="121" t="s">
        <v>867</v>
      </c>
      <c r="G719" s="121"/>
      <c r="H719" s="121" t="s">
        <v>732</v>
      </c>
      <c r="I719" s="121"/>
      <c r="J719" s="121" t="s">
        <v>867</v>
      </c>
      <c r="K719" s="121"/>
      <c r="L719" s="121" t="s">
        <v>149</v>
      </c>
      <c r="M719" s="121"/>
      <c r="N719" s="123"/>
      <c r="O719" s="121"/>
      <c r="P719" s="121" t="s">
        <v>113</v>
      </c>
      <c r="Q719" s="121"/>
      <c r="R719" s="124">
        <v>22.94</v>
      </c>
      <c r="S719" s="121"/>
      <c r="T719" s="124">
        <f t="shared" si="12"/>
        <v>64575.85</v>
      </c>
    </row>
    <row r="720" spans="2:20" x14ac:dyDescent="0.4">
      <c r="B720" s="121" t="s">
        <v>108</v>
      </c>
      <c r="C720" s="121"/>
      <c r="D720" s="122">
        <v>43994</v>
      </c>
      <c r="E720" s="121"/>
      <c r="F720" s="121" t="s">
        <v>867</v>
      </c>
      <c r="G720" s="121"/>
      <c r="H720" s="121" t="s">
        <v>732</v>
      </c>
      <c r="I720" s="121"/>
      <c r="J720" s="121" t="s">
        <v>867</v>
      </c>
      <c r="K720" s="121"/>
      <c r="L720" s="121"/>
      <c r="M720" s="121"/>
      <c r="N720" s="123"/>
      <c r="O720" s="121"/>
      <c r="P720" s="121" t="s">
        <v>113</v>
      </c>
      <c r="Q720" s="121"/>
      <c r="R720" s="124">
        <v>231.99</v>
      </c>
      <c r="S720" s="121"/>
      <c r="T720" s="124">
        <f t="shared" si="12"/>
        <v>64807.839999999997</v>
      </c>
    </row>
    <row r="721" spans="2:20" x14ac:dyDescent="0.4">
      <c r="B721" s="121" t="s">
        <v>108</v>
      </c>
      <c r="C721" s="121"/>
      <c r="D721" s="122">
        <v>43999</v>
      </c>
      <c r="E721" s="121"/>
      <c r="F721" s="121" t="s">
        <v>868</v>
      </c>
      <c r="G721" s="121"/>
      <c r="H721" s="121" t="s">
        <v>863</v>
      </c>
      <c r="I721" s="121"/>
      <c r="J721" s="121" t="s">
        <v>869</v>
      </c>
      <c r="K721" s="121"/>
      <c r="L721" s="121" t="s">
        <v>149</v>
      </c>
      <c r="M721" s="121"/>
      <c r="N721" s="123"/>
      <c r="O721" s="121"/>
      <c r="P721" s="121" t="s">
        <v>113</v>
      </c>
      <c r="Q721" s="121"/>
      <c r="R721" s="124">
        <v>263.38</v>
      </c>
      <c r="S721" s="121"/>
      <c r="T721" s="124">
        <f t="shared" si="12"/>
        <v>65071.22</v>
      </c>
    </row>
    <row r="722" spans="2:20" x14ac:dyDescent="0.4">
      <c r="B722" s="121" t="s">
        <v>108</v>
      </c>
      <c r="C722" s="121"/>
      <c r="D722" s="122">
        <v>43999</v>
      </c>
      <c r="E722" s="121"/>
      <c r="F722" s="121" t="s">
        <v>868</v>
      </c>
      <c r="G722" s="121"/>
      <c r="H722" s="121" t="s">
        <v>863</v>
      </c>
      <c r="I722" s="121"/>
      <c r="J722" s="121" t="s">
        <v>869</v>
      </c>
      <c r="K722" s="121"/>
      <c r="L722" s="121"/>
      <c r="M722" s="121"/>
      <c r="N722" s="123"/>
      <c r="O722" s="121"/>
      <c r="P722" s="121" t="s">
        <v>113</v>
      </c>
      <c r="Q722" s="121"/>
      <c r="R722" s="124">
        <v>2663.04</v>
      </c>
      <c r="S722" s="121"/>
      <c r="T722" s="124">
        <f t="shared" si="12"/>
        <v>67734.259999999995</v>
      </c>
    </row>
    <row r="723" spans="2:20" x14ac:dyDescent="0.4">
      <c r="B723" s="121" t="s">
        <v>135</v>
      </c>
      <c r="C723" s="121"/>
      <c r="D723" s="122">
        <v>44012</v>
      </c>
      <c r="E723" s="121"/>
      <c r="F723" s="121" t="s">
        <v>222</v>
      </c>
      <c r="G723" s="121"/>
      <c r="H723" s="121"/>
      <c r="I723" s="121"/>
      <c r="J723" s="121" t="s">
        <v>870</v>
      </c>
      <c r="K723" s="121"/>
      <c r="L723" s="121" t="s">
        <v>149</v>
      </c>
      <c r="M723" s="121"/>
      <c r="N723" s="123"/>
      <c r="O723" s="121"/>
      <c r="P723" s="121" t="s">
        <v>138</v>
      </c>
      <c r="Q723" s="121"/>
      <c r="R723" s="124">
        <v>-22.94</v>
      </c>
      <c r="S723" s="121"/>
      <c r="T723" s="124">
        <f t="shared" si="12"/>
        <v>67711.320000000007</v>
      </c>
    </row>
    <row r="724" spans="2:20" x14ac:dyDescent="0.4">
      <c r="B724" s="121" t="s">
        <v>135</v>
      </c>
      <c r="C724" s="121"/>
      <c r="D724" s="122">
        <v>44012</v>
      </c>
      <c r="E724" s="121"/>
      <c r="F724" s="121" t="s">
        <v>871</v>
      </c>
      <c r="G724" s="121"/>
      <c r="H724" s="121"/>
      <c r="I724" s="121"/>
      <c r="J724" s="121" t="s">
        <v>870</v>
      </c>
      <c r="K724" s="121"/>
      <c r="L724" s="121" t="s">
        <v>149</v>
      </c>
      <c r="M724" s="121"/>
      <c r="N724" s="123"/>
      <c r="O724" s="121"/>
      <c r="P724" s="121" t="s">
        <v>138</v>
      </c>
      <c r="Q724" s="121"/>
      <c r="R724" s="124">
        <v>-263.38</v>
      </c>
      <c r="S724" s="121"/>
      <c r="T724" s="124">
        <f t="shared" si="12"/>
        <v>67447.94</v>
      </c>
    </row>
    <row r="725" spans="2:20" x14ac:dyDescent="0.4">
      <c r="B725" s="121" t="s">
        <v>108</v>
      </c>
      <c r="C725" s="121"/>
      <c r="D725" s="122">
        <v>44032</v>
      </c>
      <c r="E725" s="121"/>
      <c r="F725" s="121"/>
      <c r="G725" s="121"/>
      <c r="H725" s="121" t="s">
        <v>631</v>
      </c>
      <c r="I725" s="121"/>
      <c r="J725" s="121"/>
      <c r="K725" s="121"/>
      <c r="L725" s="121" t="s">
        <v>149</v>
      </c>
      <c r="M725" s="121"/>
      <c r="N725" s="123"/>
      <c r="O725" s="121"/>
      <c r="P725" s="121" t="s">
        <v>113</v>
      </c>
      <c r="Q725" s="121"/>
      <c r="R725" s="124">
        <v>202.53</v>
      </c>
      <c r="S725" s="121"/>
      <c r="T725" s="124">
        <f t="shared" si="12"/>
        <v>67650.47</v>
      </c>
    </row>
    <row r="726" spans="2:20" x14ac:dyDescent="0.4">
      <c r="B726" s="121" t="s">
        <v>108</v>
      </c>
      <c r="C726" s="121"/>
      <c r="D726" s="122">
        <v>44032</v>
      </c>
      <c r="E726" s="121"/>
      <c r="F726" s="121"/>
      <c r="G726" s="121"/>
      <c r="H726" s="121" t="s">
        <v>631</v>
      </c>
      <c r="I726" s="121"/>
      <c r="J726" s="121"/>
      <c r="K726" s="121"/>
      <c r="L726" s="121"/>
      <c r="M726" s="121"/>
      <c r="N726" s="123"/>
      <c r="O726" s="121"/>
      <c r="P726" s="121" t="s">
        <v>113</v>
      </c>
      <c r="Q726" s="121"/>
      <c r="R726" s="124">
        <v>2047.79</v>
      </c>
      <c r="S726" s="121"/>
      <c r="T726" s="124">
        <f t="shared" si="12"/>
        <v>69698.259999999995</v>
      </c>
    </row>
    <row r="727" spans="2:20" x14ac:dyDescent="0.4">
      <c r="B727" s="121" t="s">
        <v>135</v>
      </c>
      <c r="C727" s="121"/>
      <c r="D727" s="122">
        <v>44043</v>
      </c>
      <c r="E727" s="121"/>
      <c r="F727" s="121" t="s">
        <v>233</v>
      </c>
      <c r="G727" s="121"/>
      <c r="H727" s="121"/>
      <c r="I727" s="121"/>
      <c r="J727" s="121" t="s">
        <v>872</v>
      </c>
      <c r="K727" s="121"/>
      <c r="L727" s="121" t="s">
        <v>149</v>
      </c>
      <c r="M727" s="121"/>
      <c r="N727" s="123"/>
      <c r="O727" s="121"/>
      <c r="P727" s="121" t="s">
        <v>138</v>
      </c>
      <c r="Q727" s="121"/>
      <c r="R727" s="124">
        <v>-202.53</v>
      </c>
      <c r="S727" s="121"/>
      <c r="T727" s="124">
        <f t="shared" si="12"/>
        <v>69495.73</v>
      </c>
    </row>
    <row r="728" spans="2:20" x14ac:dyDescent="0.4">
      <c r="B728" s="121" t="s">
        <v>108</v>
      </c>
      <c r="C728" s="121"/>
      <c r="D728" s="122">
        <v>44068</v>
      </c>
      <c r="E728" s="121"/>
      <c r="F728" s="121" t="s">
        <v>873</v>
      </c>
      <c r="G728" s="121"/>
      <c r="H728" s="121" t="s">
        <v>732</v>
      </c>
      <c r="I728" s="121"/>
      <c r="J728" s="121" t="s">
        <v>873</v>
      </c>
      <c r="K728" s="121"/>
      <c r="L728" s="121" t="s">
        <v>149</v>
      </c>
      <c r="M728" s="121"/>
      <c r="N728" s="123"/>
      <c r="O728" s="121"/>
      <c r="P728" s="121" t="s">
        <v>113</v>
      </c>
      <c r="Q728" s="121"/>
      <c r="R728" s="124">
        <v>13.77</v>
      </c>
      <c r="S728" s="121"/>
      <c r="T728" s="124">
        <f t="shared" si="12"/>
        <v>69509.5</v>
      </c>
    </row>
    <row r="729" spans="2:20" x14ac:dyDescent="0.4">
      <c r="B729" s="121" t="s">
        <v>108</v>
      </c>
      <c r="C729" s="121"/>
      <c r="D729" s="122">
        <v>44068</v>
      </c>
      <c r="E729" s="121"/>
      <c r="F729" s="121" t="s">
        <v>873</v>
      </c>
      <c r="G729" s="121"/>
      <c r="H729" s="121" t="s">
        <v>732</v>
      </c>
      <c r="I729" s="121"/>
      <c r="J729" s="121" t="s">
        <v>873</v>
      </c>
      <c r="K729" s="121"/>
      <c r="L729" s="121"/>
      <c r="M729" s="121"/>
      <c r="N729" s="123"/>
      <c r="O729" s="121"/>
      <c r="P729" s="121" t="s">
        <v>113</v>
      </c>
      <c r="Q729" s="121"/>
      <c r="R729" s="124">
        <v>139.19</v>
      </c>
      <c r="S729" s="121"/>
      <c r="T729" s="124">
        <f t="shared" si="12"/>
        <v>69648.69</v>
      </c>
    </row>
    <row r="730" spans="2:20" x14ac:dyDescent="0.4">
      <c r="B730" s="121" t="s">
        <v>135</v>
      </c>
      <c r="C730" s="121"/>
      <c r="D730" s="122">
        <v>44074</v>
      </c>
      <c r="E730" s="121"/>
      <c r="F730" s="121" t="s">
        <v>233</v>
      </c>
      <c r="G730" s="121"/>
      <c r="H730" s="121"/>
      <c r="I730" s="121"/>
      <c r="J730" s="121" t="s">
        <v>874</v>
      </c>
      <c r="K730" s="121"/>
      <c r="L730" s="121" t="s">
        <v>149</v>
      </c>
      <c r="M730" s="121"/>
      <c r="N730" s="123"/>
      <c r="O730" s="121"/>
      <c r="P730" s="121" t="s">
        <v>138</v>
      </c>
      <c r="Q730" s="121"/>
      <c r="R730" s="124">
        <v>-13.77</v>
      </c>
      <c r="S730" s="121"/>
      <c r="T730" s="124">
        <f t="shared" si="12"/>
        <v>69634.92</v>
      </c>
    </row>
    <row r="731" spans="2:20" x14ac:dyDescent="0.4">
      <c r="B731" s="121" t="s">
        <v>108</v>
      </c>
      <c r="C731" s="121"/>
      <c r="D731" s="122">
        <v>44203</v>
      </c>
      <c r="E731" s="121"/>
      <c r="F731" s="121" t="s">
        <v>875</v>
      </c>
      <c r="G731" s="121"/>
      <c r="H731" s="121" t="s">
        <v>597</v>
      </c>
      <c r="I731" s="121"/>
      <c r="J731" s="121" t="s">
        <v>875</v>
      </c>
      <c r="K731" s="121"/>
      <c r="L731" s="121" t="s">
        <v>149</v>
      </c>
      <c r="M731" s="121"/>
      <c r="N731" s="123"/>
      <c r="O731" s="121"/>
      <c r="P731" s="121" t="s">
        <v>113</v>
      </c>
      <c r="Q731" s="121"/>
      <c r="R731" s="124">
        <v>218.25</v>
      </c>
      <c r="S731" s="121"/>
      <c r="T731" s="124">
        <f t="shared" si="12"/>
        <v>69853.17</v>
      </c>
    </row>
    <row r="732" spans="2:20" x14ac:dyDescent="0.4">
      <c r="B732" s="121" t="s">
        <v>108</v>
      </c>
      <c r="C732" s="121"/>
      <c r="D732" s="122">
        <v>44203</v>
      </c>
      <c r="E732" s="121"/>
      <c r="F732" s="121" t="s">
        <v>875</v>
      </c>
      <c r="G732" s="121"/>
      <c r="H732" s="121" t="s">
        <v>597</v>
      </c>
      <c r="I732" s="121"/>
      <c r="J732" s="121" t="s">
        <v>875</v>
      </c>
      <c r="K732" s="121"/>
      <c r="L732" s="121"/>
      <c r="M732" s="121"/>
      <c r="N732" s="123"/>
      <c r="O732" s="121"/>
      <c r="P732" s="121" t="s">
        <v>113</v>
      </c>
      <c r="Q732" s="121"/>
      <c r="R732" s="124">
        <v>2206.75</v>
      </c>
      <c r="S732" s="121"/>
      <c r="T732" s="124">
        <f t="shared" si="12"/>
        <v>72059.92</v>
      </c>
    </row>
    <row r="733" spans="2:20" x14ac:dyDescent="0.4">
      <c r="B733" s="121" t="s">
        <v>135</v>
      </c>
      <c r="C733" s="121"/>
      <c r="D733" s="122">
        <v>44227</v>
      </c>
      <c r="E733" s="121"/>
      <c r="F733" s="121" t="s">
        <v>233</v>
      </c>
      <c r="G733" s="121"/>
      <c r="H733" s="121"/>
      <c r="I733" s="121"/>
      <c r="J733" s="121" t="s">
        <v>876</v>
      </c>
      <c r="K733" s="121"/>
      <c r="L733" s="121" t="s">
        <v>149</v>
      </c>
      <c r="M733" s="121"/>
      <c r="N733" s="123"/>
      <c r="O733" s="121"/>
      <c r="P733" s="121" t="s">
        <v>138</v>
      </c>
      <c r="Q733" s="121"/>
      <c r="R733" s="124">
        <v>-218.25</v>
      </c>
      <c r="S733" s="121"/>
      <c r="T733" s="124">
        <f t="shared" si="12"/>
        <v>71841.67</v>
      </c>
    </row>
    <row r="734" spans="2:20" x14ac:dyDescent="0.4">
      <c r="B734" s="121" t="s">
        <v>108</v>
      </c>
      <c r="C734" s="121"/>
      <c r="D734" s="122">
        <v>44253</v>
      </c>
      <c r="E734" s="121"/>
      <c r="F734" s="121" t="s">
        <v>877</v>
      </c>
      <c r="G734" s="121"/>
      <c r="H734" s="121" t="s">
        <v>298</v>
      </c>
      <c r="I734" s="121"/>
      <c r="J734" s="121" t="s">
        <v>878</v>
      </c>
      <c r="K734" s="121"/>
      <c r="L734" s="121" t="s">
        <v>149</v>
      </c>
      <c r="M734" s="121"/>
      <c r="N734" s="123"/>
      <c r="O734" s="121"/>
      <c r="P734" s="121" t="s">
        <v>113</v>
      </c>
      <c r="Q734" s="121"/>
      <c r="R734" s="124">
        <v>182.1</v>
      </c>
      <c r="S734" s="121"/>
      <c r="T734" s="124">
        <f t="shared" si="12"/>
        <v>72023.77</v>
      </c>
    </row>
    <row r="735" spans="2:20" x14ac:dyDescent="0.4">
      <c r="B735" s="121" t="s">
        <v>135</v>
      </c>
      <c r="C735" s="121"/>
      <c r="D735" s="122">
        <v>44255</v>
      </c>
      <c r="E735" s="121"/>
      <c r="F735" s="121" t="s">
        <v>233</v>
      </c>
      <c r="G735" s="121"/>
      <c r="H735" s="121"/>
      <c r="I735" s="121"/>
      <c r="J735" s="121" t="s">
        <v>879</v>
      </c>
      <c r="K735" s="121"/>
      <c r="L735" s="121" t="s">
        <v>149</v>
      </c>
      <c r="M735" s="121"/>
      <c r="N735" s="123"/>
      <c r="O735" s="121"/>
      <c r="P735" s="121" t="s">
        <v>138</v>
      </c>
      <c r="Q735" s="121"/>
      <c r="R735" s="124">
        <v>-182.1</v>
      </c>
      <c r="S735" s="121"/>
      <c r="T735" s="124">
        <f t="shared" si="12"/>
        <v>71841.67</v>
      </c>
    </row>
    <row r="736" spans="2:20" x14ac:dyDescent="0.4">
      <c r="B736" s="121" t="s">
        <v>108</v>
      </c>
      <c r="C736" s="121"/>
      <c r="D736" s="122">
        <v>44264</v>
      </c>
      <c r="E736" s="121"/>
      <c r="F736" s="121" t="s">
        <v>880</v>
      </c>
      <c r="G736" s="121"/>
      <c r="H736" s="121" t="s">
        <v>623</v>
      </c>
      <c r="I736" s="121"/>
      <c r="J736" s="121" t="s">
        <v>880</v>
      </c>
      <c r="K736" s="121"/>
      <c r="L736" s="121" t="s">
        <v>149</v>
      </c>
      <c r="M736" s="121"/>
      <c r="N736" s="123"/>
      <c r="O736" s="121"/>
      <c r="P736" s="121" t="s">
        <v>113</v>
      </c>
      <c r="Q736" s="121"/>
      <c r="R736" s="124">
        <v>12.09</v>
      </c>
      <c r="S736" s="121"/>
      <c r="T736" s="124">
        <f t="shared" si="12"/>
        <v>71853.759999999995</v>
      </c>
    </row>
    <row r="737" spans="2:20" x14ac:dyDescent="0.4">
      <c r="B737" s="121" t="s">
        <v>108</v>
      </c>
      <c r="C737" s="121"/>
      <c r="D737" s="122">
        <v>44264</v>
      </c>
      <c r="E737" s="121"/>
      <c r="F737" s="121" t="s">
        <v>880</v>
      </c>
      <c r="G737" s="121"/>
      <c r="H737" s="121" t="s">
        <v>623</v>
      </c>
      <c r="I737" s="121"/>
      <c r="J737" s="121" t="s">
        <v>880</v>
      </c>
      <c r="K737" s="121"/>
      <c r="L737" s="121"/>
      <c r="M737" s="121"/>
      <c r="N737" s="123"/>
      <c r="O737" s="121"/>
      <c r="P737" s="121" t="s">
        <v>113</v>
      </c>
      <c r="Q737" s="121"/>
      <c r="R737" s="124">
        <v>122.26</v>
      </c>
      <c r="S737" s="121"/>
      <c r="T737" s="124">
        <f t="shared" si="12"/>
        <v>71976.02</v>
      </c>
    </row>
    <row r="738" spans="2:20" x14ac:dyDescent="0.4">
      <c r="B738" s="121" t="s">
        <v>108</v>
      </c>
      <c r="C738" s="121"/>
      <c r="D738" s="122">
        <v>44271</v>
      </c>
      <c r="E738" s="121"/>
      <c r="F738" s="121" t="s">
        <v>881</v>
      </c>
      <c r="G738" s="121"/>
      <c r="H738" s="121" t="s">
        <v>732</v>
      </c>
      <c r="I738" s="121"/>
      <c r="J738" s="121" t="s">
        <v>881</v>
      </c>
      <c r="K738" s="121"/>
      <c r="L738" s="121" t="s">
        <v>149</v>
      </c>
      <c r="M738" s="121"/>
      <c r="N738" s="123"/>
      <c r="O738" s="121"/>
      <c r="P738" s="121" t="s">
        <v>113</v>
      </c>
      <c r="Q738" s="121"/>
      <c r="R738" s="124">
        <v>21.94</v>
      </c>
      <c r="S738" s="121"/>
      <c r="T738" s="124">
        <f t="shared" si="12"/>
        <v>71997.960000000006</v>
      </c>
    </row>
    <row r="739" spans="2:20" x14ac:dyDescent="0.4">
      <c r="B739" s="121" t="s">
        <v>108</v>
      </c>
      <c r="C739" s="121"/>
      <c r="D739" s="122">
        <v>44271</v>
      </c>
      <c r="E739" s="121"/>
      <c r="F739" s="121" t="s">
        <v>881</v>
      </c>
      <c r="G739" s="121"/>
      <c r="H739" s="121" t="s">
        <v>732</v>
      </c>
      <c r="I739" s="121"/>
      <c r="J739" s="121" t="s">
        <v>881</v>
      </c>
      <c r="K739" s="121"/>
      <c r="L739" s="121"/>
      <c r="M739" s="121"/>
      <c r="N739" s="123"/>
      <c r="O739" s="121"/>
      <c r="P739" s="121" t="s">
        <v>113</v>
      </c>
      <c r="Q739" s="121"/>
      <c r="R739" s="124">
        <v>221.86</v>
      </c>
      <c r="S739" s="121"/>
      <c r="T739" s="124">
        <f t="shared" si="12"/>
        <v>72219.820000000007</v>
      </c>
    </row>
    <row r="740" spans="2:20" x14ac:dyDescent="0.4">
      <c r="B740" s="121" t="s">
        <v>108</v>
      </c>
      <c r="C740" s="121"/>
      <c r="D740" s="122">
        <v>44286</v>
      </c>
      <c r="E740" s="121"/>
      <c r="F740" s="121" t="s">
        <v>882</v>
      </c>
      <c r="G740" s="121"/>
      <c r="H740" s="121" t="s">
        <v>863</v>
      </c>
      <c r="I740" s="121"/>
      <c r="J740" s="121" t="s">
        <v>882</v>
      </c>
      <c r="K740" s="121"/>
      <c r="L740" s="121" t="s">
        <v>149</v>
      </c>
      <c r="M740" s="121"/>
      <c r="N740" s="123"/>
      <c r="O740" s="121"/>
      <c r="P740" s="121" t="s">
        <v>113</v>
      </c>
      <c r="Q740" s="121"/>
      <c r="R740" s="124">
        <v>148.12</v>
      </c>
      <c r="S740" s="121"/>
      <c r="T740" s="124">
        <f t="shared" si="12"/>
        <v>72367.94</v>
      </c>
    </row>
    <row r="741" spans="2:20" x14ac:dyDescent="0.4">
      <c r="B741" s="121" t="s">
        <v>108</v>
      </c>
      <c r="C741" s="121"/>
      <c r="D741" s="122">
        <v>44286</v>
      </c>
      <c r="E741" s="121"/>
      <c r="F741" s="121" t="s">
        <v>882</v>
      </c>
      <c r="G741" s="121"/>
      <c r="H741" s="121" t="s">
        <v>863</v>
      </c>
      <c r="I741" s="121"/>
      <c r="J741" s="121" t="s">
        <v>882</v>
      </c>
      <c r="K741" s="121"/>
      <c r="L741" s="121"/>
      <c r="M741" s="121"/>
      <c r="N741" s="123"/>
      <c r="O741" s="121"/>
      <c r="P741" s="121" t="s">
        <v>113</v>
      </c>
      <c r="Q741" s="121"/>
      <c r="R741" s="124">
        <v>1497.67</v>
      </c>
      <c r="S741" s="121"/>
      <c r="T741" s="124">
        <f t="shared" si="12"/>
        <v>73865.61</v>
      </c>
    </row>
    <row r="742" spans="2:20" x14ac:dyDescent="0.4">
      <c r="B742" s="121" t="s">
        <v>135</v>
      </c>
      <c r="C742" s="121"/>
      <c r="D742" s="122">
        <v>44286</v>
      </c>
      <c r="E742" s="121"/>
      <c r="F742" s="121" t="s">
        <v>222</v>
      </c>
      <c r="G742" s="121"/>
      <c r="H742" s="121"/>
      <c r="I742" s="121"/>
      <c r="J742" s="121" t="s">
        <v>883</v>
      </c>
      <c r="K742" s="121"/>
      <c r="L742" s="121" t="s">
        <v>149</v>
      </c>
      <c r="M742" s="121"/>
      <c r="N742" s="123"/>
      <c r="O742" s="121"/>
      <c r="P742" s="121" t="s">
        <v>138</v>
      </c>
      <c r="Q742" s="121"/>
      <c r="R742" s="124">
        <v>-182.15</v>
      </c>
      <c r="S742" s="121"/>
      <c r="T742" s="124">
        <f t="shared" si="12"/>
        <v>73683.460000000006</v>
      </c>
    </row>
    <row r="743" spans="2:20" x14ac:dyDescent="0.4">
      <c r="B743" s="121" t="s">
        <v>108</v>
      </c>
      <c r="C743" s="121"/>
      <c r="D743" s="122">
        <v>44347</v>
      </c>
      <c r="E743" s="121"/>
      <c r="F743" s="121" t="s">
        <v>884</v>
      </c>
      <c r="G743" s="121"/>
      <c r="H743" s="121" t="s">
        <v>732</v>
      </c>
      <c r="I743" s="121"/>
      <c r="J743" s="121" t="s">
        <v>733</v>
      </c>
      <c r="K743" s="121"/>
      <c r="L743" s="121" t="s">
        <v>149</v>
      </c>
      <c r="M743" s="121"/>
      <c r="N743" s="123"/>
      <c r="O743" s="121"/>
      <c r="P743" s="121" t="s">
        <v>113</v>
      </c>
      <c r="Q743" s="121"/>
      <c r="R743" s="124">
        <v>28.62</v>
      </c>
      <c r="S743" s="121"/>
      <c r="T743" s="124">
        <f t="shared" si="12"/>
        <v>73712.08</v>
      </c>
    </row>
    <row r="744" spans="2:20" x14ac:dyDescent="0.4">
      <c r="B744" s="121" t="s">
        <v>108</v>
      </c>
      <c r="C744" s="121"/>
      <c r="D744" s="122">
        <v>44347</v>
      </c>
      <c r="E744" s="121"/>
      <c r="F744" s="121" t="s">
        <v>884</v>
      </c>
      <c r="G744" s="121"/>
      <c r="H744" s="121" t="s">
        <v>732</v>
      </c>
      <c r="I744" s="121"/>
      <c r="J744" s="121" t="s">
        <v>733</v>
      </c>
      <c r="K744" s="121"/>
      <c r="L744" s="121"/>
      <c r="M744" s="121"/>
      <c r="N744" s="123"/>
      <c r="O744" s="121"/>
      <c r="P744" s="121" t="s">
        <v>113</v>
      </c>
      <c r="Q744" s="121"/>
      <c r="R744" s="124">
        <v>289.38</v>
      </c>
      <c r="S744" s="121"/>
      <c r="T744" s="124">
        <f t="shared" si="12"/>
        <v>74001.460000000006</v>
      </c>
    </row>
    <row r="745" spans="2:20" x14ac:dyDescent="0.4">
      <c r="B745" s="121" t="s">
        <v>135</v>
      </c>
      <c r="C745" s="121"/>
      <c r="D745" s="122">
        <v>44347</v>
      </c>
      <c r="E745" s="121"/>
      <c r="F745" s="121" t="s">
        <v>222</v>
      </c>
      <c r="G745" s="121"/>
      <c r="H745" s="121"/>
      <c r="I745" s="121"/>
      <c r="J745" s="121" t="s">
        <v>885</v>
      </c>
      <c r="K745" s="121"/>
      <c r="L745" s="121" t="s">
        <v>149</v>
      </c>
      <c r="M745" s="121"/>
      <c r="N745" s="123"/>
      <c r="O745" s="121"/>
      <c r="P745" s="121" t="s">
        <v>138</v>
      </c>
      <c r="Q745" s="121"/>
      <c r="R745" s="124">
        <v>-28.62</v>
      </c>
      <c r="S745" s="121"/>
      <c r="T745" s="124">
        <f t="shared" si="12"/>
        <v>73972.84</v>
      </c>
    </row>
    <row r="746" spans="2:20" x14ac:dyDescent="0.4">
      <c r="B746" s="121" t="s">
        <v>108</v>
      </c>
      <c r="C746" s="121"/>
      <c r="D746" s="122">
        <v>44545</v>
      </c>
      <c r="E746" s="121"/>
      <c r="F746" s="121" t="s">
        <v>886</v>
      </c>
      <c r="G746" s="121"/>
      <c r="H746" s="121" t="s">
        <v>597</v>
      </c>
      <c r="I746" s="121"/>
      <c r="J746" s="121" t="s">
        <v>886</v>
      </c>
      <c r="K746" s="121"/>
      <c r="L746" s="121" t="s">
        <v>149</v>
      </c>
      <c r="M746" s="121"/>
      <c r="N746" s="123"/>
      <c r="O746" s="121"/>
      <c r="P746" s="121" t="s">
        <v>113</v>
      </c>
      <c r="Q746" s="121"/>
      <c r="R746" s="124">
        <v>226.71</v>
      </c>
      <c r="S746" s="121"/>
      <c r="T746" s="124">
        <f t="shared" si="12"/>
        <v>74199.55</v>
      </c>
    </row>
    <row r="747" spans="2:20" x14ac:dyDescent="0.4">
      <c r="B747" s="121" t="s">
        <v>108</v>
      </c>
      <c r="C747" s="121"/>
      <c r="D747" s="122">
        <v>44545</v>
      </c>
      <c r="E747" s="121"/>
      <c r="F747" s="121" t="s">
        <v>886</v>
      </c>
      <c r="G747" s="121"/>
      <c r="H747" s="121" t="s">
        <v>597</v>
      </c>
      <c r="I747" s="121"/>
      <c r="J747" s="121" t="s">
        <v>886</v>
      </c>
      <c r="K747" s="121"/>
      <c r="L747" s="121"/>
      <c r="M747" s="121"/>
      <c r="N747" s="123"/>
      <c r="O747" s="121"/>
      <c r="P747" s="121" t="s">
        <v>113</v>
      </c>
      <c r="Q747" s="121"/>
      <c r="R747" s="124">
        <v>2292.29</v>
      </c>
      <c r="S747" s="121"/>
      <c r="T747" s="124">
        <f t="shared" si="12"/>
        <v>76491.839999999997</v>
      </c>
    </row>
    <row r="748" spans="2:20" x14ac:dyDescent="0.4">
      <c r="B748" s="121" t="s">
        <v>135</v>
      </c>
      <c r="C748" s="121"/>
      <c r="D748" s="122">
        <v>44561</v>
      </c>
      <c r="E748" s="121"/>
      <c r="F748" s="121" t="s">
        <v>801</v>
      </c>
      <c r="G748" s="121"/>
      <c r="H748" s="121"/>
      <c r="I748" s="121"/>
      <c r="J748" s="121" t="s">
        <v>887</v>
      </c>
      <c r="K748" s="121"/>
      <c r="L748" s="121" t="s">
        <v>149</v>
      </c>
      <c r="M748" s="121"/>
      <c r="N748" s="123"/>
      <c r="O748" s="121"/>
      <c r="P748" s="121" t="s">
        <v>138</v>
      </c>
      <c r="Q748" s="121"/>
      <c r="R748" s="124">
        <v>-226.71</v>
      </c>
      <c r="S748" s="121"/>
      <c r="T748" s="124">
        <f t="shared" si="12"/>
        <v>76265.13</v>
      </c>
    </row>
    <row r="749" spans="2:20" x14ac:dyDescent="0.4">
      <c r="B749" s="121" t="s">
        <v>108</v>
      </c>
      <c r="C749" s="121"/>
      <c r="D749" s="122">
        <v>44600</v>
      </c>
      <c r="E749" s="121"/>
      <c r="F749" s="121" t="s">
        <v>888</v>
      </c>
      <c r="G749" s="121"/>
      <c r="H749" s="121" t="s">
        <v>863</v>
      </c>
      <c r="I749" s="121"/>
      <c r="J749" s="121" t="s">
        <v>888</v>
      </c>
      <c r="K749" s="121"/>
      <c r="L749" s="121" t="s">
        <v>149</v>
      </c>
      <c r="M749" s="121"/>
      <c r="N749" s="123"/>
      <c r="O749" s="121"/>
      <c r="P749" s="121" t="s">
        <v>113</v>
      </c>
      <c r="Q749" s="121"/>
      <c r="R749" s="124">
        <v>298.02</v>
      </c>
      <c r="S749" s="121"/>
      <c r="T749" s="124">
        <f t="shared" si="12"/>
        <v>76563.149999999994</v>
      </c>
    </row>
    <row r="750" spans="2:20" x14ac:dyDescent="0.4">
      <c r="B750" s="121" t="s">
        <v>108</v>
      </c>
      <c r="C750" s="121"/>
      <c r="D750" s="122">
        <v>44600</v>
      </c>
      <c r="E750" s="121"/>
      <c r="F750" s="121" t="s">
        <v>888</v>
      </c>
      <c r="G750" s="121"/>
      <c r="H750" s="121" t="s">
        <v>863</v>
      </c>
      <c r="I750" s="121"/>
      <c r="J750" s="121" t="s">
        <v>888</v>
      </c>
      <c r="K750" s="121"/>
      <c r="L750" s="121"/>
      <c r="M750" s="121"/>
      <c r="N750" s="123"/>
      <c r="O750" s="121"/>
      <c r="P750" s="121" t="s">
        <v>113</v>
      </c>
      <c r="Q750" s="121"/>
      <c r="R750" s="124">
        <v>3013.3</v>
      </c>
      <c r="S750" s="121"/>
      <c r="T750" s="124">
        <f t="shared" si="12"/>
        <v>79576.45</v>
      </c>
    </row>
    <row r="751" spans="2:20" x14ac:dyDescent="0.4">
      <c r="B751" s="121" t="s">
        <v>108</v>
      </c>
      <c r="C751" s="121"/>
      <c r="D751" s="122">
        <v>44608</v>
      </c>
      <c r="E751" s="121"/>
      <c r="F751" s="121" t="s">
        <v>889</v>
      </c>
      <c r="G751" s="121"/>
      <c r="H751" s="121" t="s">
        <v>732</v>
      </c>
      <c r="I751" s="121"/>
      <c r="J751" s="121" t="s">
        <v>889</v>
      </c>
      <c r="K751" s="121"/>
      <c r="L751" s="121" t="s">
        <v>149</v>
      </c>
      <c r="M751" s="121"/>
      <c r="N751" s="123"/>
      <c r="O751" s="121"/>
      <c r="P751" s="121" t="s">
        <v>113</v>
      </c>
      <c r="Q751" s="121"/>
      <c r="R751" s="124">
        <v>34.29</v>
      </c>
      <c r="S751" s="121"/>
      <c r="T751" s="124">
        <f t="shared" si="12"/>
        <v>79610.740000000005</v>
      </c>
    </row>
    <row r="752" spans="2:20" x14ac:dyDescent="0.4">
      <c r="B752" s="121" t="s">
        <v>108</v>
      </c>
      <c r="C752" s="121"/>
      <c r="D752" s="122">
        <v>44608</v>
      </c>
      <c r="E752" s="121"/>
      <c r="F752" s="121" t="s">
        <v>889</v>
      </c>
      <c r="G752" s="121"/>
      <c r="H752" s="121" t="s">
        <v>732</v>
      </c>
      <c r="I752" s="121"/>
      <c r="J752" s="121" t="s">
        <v>889</v>
      </c>
      <c r="K752" s="121"/>
      <c r="L752" s="121"/>
      <c r="M752" s="121"/>
      <c r="N752" s="123"/>
      <c r="O752" s="121"/>
      <c r="P752" s="121" t="s">
        <v>113</v>
      </c>
      <c r="Q752" s="121"/>
      <c r="R752" s="124">
        <v>346.67</v>
      </c>
      <c r="S752" s="121"/>
      <c r="T752" s="124">
        <f t="shared" si="12"/>
        <v>79957.41</v>
      </c>
    </row>
    <row r="753" spans="2:20" x14ac:dyDescent="0.4">
      <c r="B753" s="121" t="s">
        <v>108</v>
      </c>
      <c r="C753" s="121"/>
      <c r="D753" s="122">
        <v>44610</v>
      </c>
      <c r="E753" s="121"/>
      <c r="F753" s="121" t="s">
        <v>890</v>
      </c>
      <c r="G753" s="121"/>
      <c r="H753" s="121" t="s">
        <v>298</v>
      </c>
      <c r="I753" s="121"/>
      <c r="J753" s="121" t="s">
        <v>891</v>
      </c>
      <c r="K753" s="121"/>
      <c r="L753" s="121"/>
      <c r="M753" s="121"/>
      <c r="N753" s="123"/>
      <c r="O753" s="121"/>
      <c r="P753" s="121" t="s">
        <v>113</v>
      </c>
      <c r="Q753" s="121"/>
      <c r="R753" s="124">
        <v>1480.37</v>
      </c>
      <c r="S753" s="121"/>
      <c r="T753" s="124">
        <f t="shared" si="12"/>
        <v>81437.78</v>
      </c>
    </row>
    <row r="754" spans="2:20" x14ac:dyDescent="0.4">
      <c r="B754" s="121" t="s">
        <v>135</v>
      </c>
      <c r="C754" s="121"/>
      <c r="D754" s="122">
        <v>44620</v>
      </c>
      <c r="E754" s="121"/>
      <c r="F754" s="121" t="s">
        <v>422</v>
      </c>
      <c r="G754" s="121"/>
      <c r="H754" s="121"/>
      <c r="I754" s="121"/>
      <c r="J754" s="121" t="s">
        <v>892</v>
      </c>
      <c r="K754" s="121"/>
      <c r="L754" s="121" t="s">
        <v>149</v>
      </c>
      <c r="M754" s="121"/>
      <c r="N754" s="123"/>
      <c r="O754" s="121"/>
      <c r="P754" s="121" t="s">
        <v>138</v>
      </c>
      <c r="Q754" s="121"/>
      <c r="R754" s="124">
        <v>-332.31</v>
      </c>
      <c r="S754" s="121"/>
      <c r="T754" s="124">
        <f t="shared" si="12"/>
        <v>81105.47</v>
      </c>
    </row>
    <row r="755" spans="2:20" x14ac:dyDescent="0.4">
      <c r="B755" s="121" t="s">
        <v>108</v>
      </c>
      <c r="C755" s="121"/>
      <c r="D755" s="122">
        <v>44635</v>
      </c>
      <c r="E755" s="121"/>
      <c r="F755" s="121" t="s">
        <v>893</v>
      </c>
      <c r="G755" s="121"/>
      <c r="H755" s="121" t="s">
        <v>863</v>
      </c>
      <c r="I755" s="121"/>
      <c r="J755" s="121" t="s">
        <v>894</v>
      </c>
      <c r="K755" s="121"/>
      <c r="L755" s="121" t="s">
        <v>149</v>
      </c>
      <c r="M755" s="121"/>
      <c r="N755" s="123"/>
      <c r="O755" s="121"/>
      <c r="P755" s="121" t="s">
        <v>113</v>
      </c>
      <c r="Q755" s="121"/>
      <c r="R755" s="124">
        <v>415.3</v>
      </c>
      <c r="S755" s="121"/>
      <c r="T755" s="124">
        <f t="shared" si="12"/>
        <v>81520.77</v>
      </c>
    </row>
    <row r="756" spans="2:20" x14ac:dyDescent="0.4">
      <c r="B756" s="121" t="s">
        <v>108</v>
      </c>
      <c r="C756" s="121"/>
      <c r="D756" s="122">
        <v>44635</v>
      </c>
      <c r="E756" s="121"/>
      <c r="F756" s="121" t="s">
        <v>893</v>
      </c>
      <c r="G756" s="121"/>
      <c r="H756" s="121" t="s">
        <v>863</v>
      </c>
      <c r="I756" s="121"/>
      <c r="J756" s="121" t="s">
        <v>894</v>
      </c>
      <c r="K756" s="121"/>
      <c r="L756" s="121"/>
      <c r="M756" s="121"/>
      <c r="N756" s="123"/>
      <c r="O756" s="121"/>
      <c r="P756" s="121" t="s">
        <v>113</v>
      </c>
      <c r="Q756" s="121"/>
      <c r="R756" s="124">
        <v>4199.2</v>
      </c>
      <c r="S756" s="121"/>
      <c r="T756" s="124">
        <f t="shared" si="12"/>
        <v>85719.97</v>
      </c>
    </row>
    <row r="757" spans="2:20" x14ac:dyDescent="0.4">
      <c r="B757" s="121" t="s">
        <v>108</v>
      </c>
      <c r="C757" s="121"/>
      <c r="D757" s="122">
        <v>44636</v>
      </c>
      <c r="E757" s="121"/>
      <c r="F757" s="121" t="s">
        <v>895</v>
      </c>
      <c r="G757" s="121"/>
      <c r="H757" s="121" t="s">
        <v>623</v>
      </c>
      <c r="I757" s="121"/>
      <c r="J757" s="121" t="s">
        <v>895</v>
      </c>
      <c r="K757" s="121"/>
      <c r="L757" s="121" t="s">
        <v>149</v>
      </c>
      <c r="M757" s="121"/>
      <c r="N757" s="123"/>
      <c r="O757" s="121"/>
      <c r="P757" s="121" t="s">
        <v>113</v>
      </c>
      <c r="Q757" s="121"/>
      <c r="R757" s="124">
        <v>39.19</v>
      </c>
      <c r="S757" s="121"/>
      <c r="T757" s="124">
        <f t="shared" si="12"/>
        <v>85759.16</v>
      </c>
    </row>
    <row r="758" spans="2:20" x14ac:dyDescent="0.4">
      <c r="B758" s="121" t="s">
        <v>108</v>
      </c>
      <c r="C758" s="121"/>
      <c r="D758" s="122">
        <v>44636</v>
      </c>
      <c r="E758" s="121"/>
      <c r="F758" s="121" t="s">
        <v>895</v>
      </c>
      <c r="G758" s="121"/>
      <c r="H758" s="121" t="s">
        <v>623</v>
      </c>
      <c r="I758" s="121"/>
      <c r="J758" s="121" t="s">
        <v>895</v>
      </c>
      <c r="K758" s="121"/>
      <c r="L758" s="121"/>
      <c r="M758" s="121"/>
      <c r="N758" s="123"/>
      <c r="O758" s="121"/>
      <c r="P758" s="121" t="s">
        <v>113</v>
      </c>
      <c r="Q758" s="121"/>
      <c r="R758" s="124">
        <v>396.27</v>
      </c>
      <c r="S758" s="121"/>
      <c r="T758" s="124">
        <f t="shared" si="12"/>
        <v>86155.43</v>
      </c>
    </row>
    <row r="759" spans="2:20" x14ac:dyDescent="0.4">
      <c r="B759" s="121" t="s">
        <v>108</v>
      </c>
      <c r="C759" s="121"/>
      <c r="D759" s="122">
        <v>44644</v>
      </c>
      <c r="E759" s="121"/>
      <c r="F759" s="121" t="s">
        <v>896</v>
      </c>
      <c r="G759" s="121"/>
      <c r="H759" s="121" t="s">
        <v>623</v>
      </c>
      <c r="I759" s="121"/>
      <c r="J759" s="121" t="s">
        <v>896</v>
      </c>
      <c r="K759" s="121"/>
      <c r="L759" s="121" t="s">
        <v>149</v>
      </c>
      <c r="M759" s="121"/>
      <c r="N759" s="123"/>
      <c r="O759" s="121"/>
      <c r="P759" s="121" t="s">
        <v>113</v>
      </c>
      <c r="Q759" s="121"/>
      <c r="R759" s="124">
        <v>49.73</v>
      </c>
      <c r="S759" s="121"/>
      <c r="T759" s="124">
        <f t="shared" si="12"/>
        <v>86205.16</v>
      </c>
    </row>
    <row r="760" spans="2:20" x14ac:dyDescent="0.4">
      <c r="B760" s="121" t="s">
        <v>108</v>
      </c>
      <c r="C760" s="121"/>
      <c r="D760" s="122">
        <v>44644</v>
      </c>
      <c r="E760" s="121"/>
      <c r="F760" s="121" t="s">
        <v>896</v>
      </c>
      <c r="G760" s="121"/>
      <c r="H760" s="121" t="s">
        <v>623</v>
      </c>
      <c r="I760" s="121"/>
      <c r="J760" s="121" t="s">
        <v>896</v>
      </c>
      <c r="K760" s="121"/>
      <c r="L760" s="121"/>
      <c r="M760" s="121"/>
      <c r="N760" s="123"/>
      <c r="O760" s="121"/>
      <c r="P760" s="121" t="s">
        <v>113</v>
      </c>
      <c r="Q760" s="121"/>
      <c r="R760" s="124">
        <v>502.8</v>
      </c>
      <c r="S760" s="121"/>
      <c r="T760" s="124">
        <f t="shared" si="12"/>
        <v>86707.96</v>
      </c>
    </row>
    <row r="761" spans="2:20" x14ac:dyDescent="0.4">
      <c r="B761" s="121" t="s">
        <v>135</v>
      </c>
      <c r="C761" s="121"/>
      <c r="D761" s="122">
        <v>44651</v>
      </c>
      <c r="E761" s="121"/>
      <c r="F761" s="121" t="s">
        <v>240</v>
      </c>
      <c r="G761" s="121"/>
      <c r="H761" s="121"/>
      <c r="I761" s="121"/>
      <c r="J761" s="121" t="s">
        <v>897</v>
      </c>
      <c r="K761" s="121"/>
      <c r="L761" s="121" t="s">
        <v>149</v>
      </c>
      <c r="M761" s="121"/>
      <c r="N761" s="123"/>
      <c r="O761" s="121"/>
      <c r="P761" s="121" t="s">
        <v>138</v>
      </c>
      <c r="Q761" s="121"/>
      <c r="R761" s="124">
        <v>-504.22</v>
      </c>
      <c r="S761" s="121"/>
      <c r="T761" s="124">
        <f t="shared" si="12"/>
        <v>86203.74</v>
      </c>
    </row>
    <row r="762" spans="2:20" x14ac:dyDescent="0.4">
      <c r="B762" s="121" t="s">
        <v>108</v>
      </c>
      <c r="C762" s="121"/>
      <c r="D762" s="122">
        <v>44657</v>
      </c>
      <c r="E762" s="121"/>
      <c r="F762" s="121" t="s">
        <v>898</v>
      </c>
      <c r="G762" s="121"/>
      <c r="H762" s="121" t="s">
        <v>732</v>
      </c>
      <c r="I762" s="121"/>
      <c r="J762" s="121" t="s">
        <v>898</v>
      </c>
      <c r="K762" s="121"/>
      <c r="L762" s="121" t="s">
        <v>149</v>
      </c>
      <c r="M762" s="121"/>
      <c r="N762" s="123"/>
      <c r="O762" s="121"/>
      <c r="P762" s="121" t="s">
        <v>113</v>
      </c>
      <c r="Q762" s="121"/>
      <c r="R762" s="124">
        <v>20.57</v>
      </c>
      <c r="S762" s="121"/>
      <c r="T762" s="124">
        <f t="shared" si="12"/>
        <v>86224.31</v>
      </c>
    </row>
    <row r="763" spans="2:20" x14ac:dyDescent="0.4">
      <c r="B763" s="121" t="s">
        <v>108</v>
      </c>
      <c r="C763" s="121"/>
      <c r="D763" s="122">
        <v>44657</v>
      </c>
      <c r="E763" s="121"/>
      <c r="F763" s="121" t="s">
        <v>898</v>
      </c>
      <c r="G763" s="121"/>
      <c r="H763" s="121" t="s">
        <v>732</v>
      </c>
      <c r="I763" s="121"/>
      <c r="J763" s="121" t="s">
        <v>898</v>
      </c>
      <c r="K763" s="121"/>
      <c r="L763" s="121"/>
      <c r="M763" s="121"/>
      <c r="N763" s="123"/>
      <c r="O763" s="121"/>
      <c r="P763" s="121" t="s">
        <v>113</v>
      </c>
      <c r="Q763" s="121"/>
      <c r="R763" s="124">
        <v>208.01</v>
      </c>
      <c r="S763" s="121"/>
      <c r="T763" s="124">
        <f t="shared" si="12"/>
        <v>86432.320000000007</v>
      </c>
    </row>
    <row r="764" spans="2:20" x14ac:dyDescent="0.4">
      <c r="B764" s="121" t="s">
        <v>135</v>
      </c>
      <c r="C764" s="121"/>
      <c r="D764" s="122">
        <v>44681</v>
      </c>
      <c r="E764" s="121"/>
      <c r="F764" s="121" t="s">
        <v>240</v>
      </c>
      <c r="G764" s="121"/>
      <c r="H764" s="121"/>
      <c r="I764" s="121"/>
      <c r="J764" s="121" t="s">
        <v>899</v>
      </c>
      <c r="K764" s="121"/>
      <c r="L764" s="121" t="s">
        <v>149</v>
      </c>
      <c r="M764" s="121"/>
      <c r="N764" s="123"/>
      <c r="O764" s="121"/>
      <c r="P764" s="121" t="s">
        <v>138</v>
      </c>
      <c r="Q764" s="121"/>
      <c r="R764" s="124">
        <v>-20.57</v>
      </c>
      <c r="S764" s="121"/>
      <c r="T764" s="124">
        <f t="shared" si="12"/>
        <v>86411.75</v>
      </c>
    </row>
    <row r="765" spans="2:20" x14ac:dyDescent="0.4">
      <c r="B765" s="121" t="s">
        <v>108</v>
      </c>
      <c r="C765" s="121"/>
      <c r="D765" s="122">
        <v>44705</v>
      </c>
      <c r="E765" s="121"/>
      <c r="F765" s="121" t="s">
        <v>900</v>
      </c>
      <c r="G765" s="121"/>
      <c r="H765" s="121" t="s">
        <v>732</v>
      </c>
      <c r="I765" s="121"/>
      <c r="J765" s="121" t="s">
        <v>900</v>
      </c>
      <c r="K765" s="121"/>
      <c r="L765" s="121" t="s">
        <v>149</v>
      </c>
      <c r="M765" s="121"/>
      <c r="N765" s="123"/>
      <c r="O765" s="121"/>
      <c r="P765" s="121" t="s">
        <v>113</v>
      </c>
      <c r="Q765" s="121"/>
      <c r="R765" s="124">
        <v>17.14</v>
      </c>
      <c r="S765" s="121"/>
      <c r="T765" s="124">
        <f t="shared" si="12"/>
        <v>86428.89</v>
      </c>
    </row>
    <row r="766" spans="2:20" x14ac:dyDescent="0.4">
      <c r="B766" s="121" t="s">
        <v>108</v>
      </c>
      <c r="C766" s="121"/>
      <c r="D766" s="122">
        <v>44705</v>
      </c>
      <c r="E766" s="121"/>
      <c r="F766" s="121" t="s">
        <v>900</v>
      </c>
      <c r="G766" s="121"/>
      <c r="H766" s="121" t="s">
        <v>732</v>
      </c>
      <c r="I766" s="121"/>
      <c r="J766" s="121" t="s">
        <v>900</v>
      </c>
      <c r="K766" s="121"/>
      <c r="L766" s="121"/>
      <c r="M766" s="121"/>
      <c r="N766" s="123"/>
      <c r="O766" s="121"/>
      <c r="P766" s="121" t="s">
        <v>113</v>
      </c>
      <c r="Q766" s="121"/>
      <c r="R766" s="124">
        <v>173.34</v>
      </c>
      <c r="S766" s="121"/>
      <c r="T766" s="124">
        <f t="shared" si="12"/>
        <v>86602.23</v>
      </c>
    </row>
    <row r="767" spans="2:20" x14ac:dyDescent="0.4">
      <c r="B767" s="121" t="s">
        <v>135</v>
      </c>
      <c r="C767" s="121"/>
      <c r="D767" s="122">
        <v>44712</v>
      </c>
      <c r="E767" s="121"/>
      <c r="F767" s="121" t="s">
        <v>222</v>
      </c>
      <c r="G767" s="121"/>
      <c r="H767" s="121"/>
      <c r="I767" s="121"/>
      <c r="J767" s="121" t="s">
        <v>901</v>
      </c>
      <c r="K767" s="121"/>
      <c r="L767" s="121" t="s">
        <v>149</v>
      </c>
      <c r="M767" s="121"/>
      <c r="N767" s="123"/>
      <c r="O767" s="121"/>
      <c r="P767" s="121" t="s">
        <v>138</v>
      </c>
      <c r="Q767" s="121"/>
      <c r="R767" s="124">
        <v>-17.14</v>
      </c>
      <c r="S767" s="121"/>
      <c r="T767" s="124">
        <f t="shared" si="12"/>
        <v>86585.09</v>
      </c>
    </row>
    <row r="768" spans="2:20" x14ac:dyDescent="0.4">
      <c r="B768" s="121" t="s">
        <v>108</v>
      </c>
      <c r="C768" s="121"/>
      <c r="D768" s="122">
        <v>44754</v>
      </c>
      <c r="E768" s="121"/>
      <c r="F768" s="121" t="s">
        <v>902</v>
      </c>
      <c r="G768" s="121"/>
      <c r="H768" s="121" t="s">
        <v>732</v>
      </c>
      <c r="I768" s="121"/>
      <c r="J768" s="121" t="s">
        <v>902</v>
      </c>
      <c r="K768" s="121"/>
      <c r="L768" s="121" t="s">
        <v>149</v>
      </c>
      <c r="M768" s="121"/>
      <c r="N768" s="123"/>
      <c r="O768" s="121"/>
      <c r="P768" s="121" t="s">
        <v>113</v>
      </c>
      <c r="Q768" s="121"/>
      <c r="R768" s="124">
        <v>24.01</v>
      </c>
      <c r="S768" s="121"/>
      <c r="T768" s="124">
        <f t="shared" si="12"/>
        <v>86609.1</v>
      </c>
    </row>
    <row r="769" spans="2:20" x14ac:dyDescent="0.4">
      <c r="B769" s="121" t="s">
        <v>108</v>
      </c>
      <c r="C769" s="121"/>
      <c r="D769" s="122">
        <v>44754</v>
      </c>
      <c r="E769" s="121"/>
      <c r="F769" s="121" t="s">
        <v>902</v>
      </c>
      <c r="G769" s="121"/>
      <c r="H769" s="121" t="s">
        <v>732</v>
      </c>
      <c r="I769" s="121"/>
      <c r="J769" s="121" t="s">
        <v>902</v>
      </c>
      <c r="K769" s="121"/>
      <c r="L769" s="121"/>
      <c r="M769" s="121"/>
      <c r="N769" s="123"/>
      <c r="O769" s="121"/>
      <c r="P769" s="121" t="s">
        <v>113</v>
      </c>
      <c r="Q769" s="121"/>
      <c r="R769" s="124">
        <v>242.73</v>
      </c>
      <c r="S769" s="121"/>
      <c r="T769" s="124">
        <f t="shared" si="12"/>
        <v>86851.83</v>
      </c>
    </row>
    <row r="770" spans="2:20" x14ac:dyDescent="0.4">
      <c r="B770" s="121" t="s">
        <v>108</v>
      </c>
      <c r="C770" s="121"/>
      <c r="D770" s="122">
        <v>44763</v>
      </c>
      <c r="E770" s="121"/>
      <c r="F770" s="121" t="s">
        <v>903</v>
      </c>
      <c r="G770" s="121"/>
      <c r="H770" s="121" t="s">
        <v>597</v>
      </c>
      <c r="I770" s="121"/>
      <c r="J770" s="121" t="s">
        <v>903</v>
      </c>
      <c r="K770" s="121"/>
      <c r="L770" s="121"/>
      <c r="M770" s="121"/>
      <c r="N770" s="123"/>
      <c r="O770" s="121"/>
      <c r="P770" s="121" t="s">
        <v>113</v>
      </c>
      <c r="Q770" s="121"/>
      <c r="R770" s="124">
        <v>3833.3</v>
      </c>
      <c r="S770" s="121"/>
      <c r="T770" s="124">
        <f t="shared" si="12"/>
        <v>90685.13</v>
      </c>
    </row>
    <row r="771" spans="2:20" x14ac:dyDescent="0.4">
      <c r="B771" s="121" t="s">
        <v>108</v>
      </c>
      <c r="C771" s="121"/>
      <c r="D771" s="122">
        <v>44763</v>
      </c>
      <c r="E771" s="121"/>
      <c r="F771" s="121" t="s">
        <v>903</v>
      </c>
      <c r="G771" s="121"/>
      <c r="H771" s="121" t="s">
        <v>597</v>
      </c>
      <c r="I771" s="121"/>
      <c r="J771" s="121" t="s">
        <v>903</v>
      </c>
      <c r="K771" s="121"/>
      <c r="L771" s="121"/>
      <c r="M771" s="121"/>
      <c r="N771" s="123"/>
      <c r="O771" s="121"/>
      <c r="P771" s="121" t="s">
        <v>113</v>
      </c>
      <c r="Q771" s="121"/>
      <c r="R771" s="124"/>
      <c r="S771" s="121"/>
      <c r="T771" s="124">
        <f t="shared" si="12"/>
        <v>90685.13</v>
      </c>
    </row>
    <row r="772" spans="2:20" x14ac:dyDescent="0.4">
      <c r="B772" s="121" t="s">
        <v>108</v>
      </c>
      <c r="C772" s="121"/>
      <c r="D772" s="122">
        <v>44764</v>
      </c>
      <c r="E772" s="121"/>
      <c r="F772" s="121" t="s">
        <v>904</v>
      </c>
      <c r="G772" s="121"/>
      <c r="H772" s="121" t="s">
        <v>298</v>
      </c>
      <c r="I772" s="121"/>
      <c r="J772" s="121" t="s">
        <v>904</v>
      </c>
      <c r="K772" s="121"/>
      <c r="L772" s="121" t="s">
        <v>149</v>
      </c>
      <c r="M772" s="121"/>
      <c r="N772" s="123"/>
      <c r="O772" s="121"/>
      <c r="P772" s="121" t="s">
        <v>113</v>
      </c>
      <c r="Q772" s="121"/>
      <c r="R772" s="124">
        <v>18.649999999999999</v>
      </c>
      <c r="S772" s="121"/>
      <c r="T772" s="124">
        <f t="shared" si="12"/>
        <v>90703.78</v>
      </c>
    </row>
    <row r="773" spans="2:20" x14ac:dyDescent="0.4">
      <c r="B773" s="121" t="s">
        <v>108</v>
      </c>
      <c r="C773" s="121"/>
      <c r="D773" s="122">
        <v>44764</v>
      </c>
      <c r="E773" s="121"/>
      <c r="F773" s="121" t="s">
        <v>904</v>
      </c>
      <c r="G773" s="121"/>
      <c r="H773" s="121" t="s">
        <v>298</v>
      </c>
      <c r="I773" s="121"/>
      <c r="J773" s="121" t="s">
        <v>904</v>
      </c>
      <c r="K773" s="121"/>
      <c r="L773" s="121"/>
      <c r="M773" s="121"/>
      <c r="N773" s="123"/>
      <c r="O773" s="121"/>
      <c r="P773" s="121" t="s">
        <v>113</v>
      </c>
      <c r="Q773" s="121"/>
      <c r="R773" s="124">
        <v>188.55</v>
      </c>
      <c r="S773" s="121"/>
      <c r="T773" s="124">
        <f t="shared" si="12"/>
        <v>90892.33</v>
      </c>
    </row>
    <row r="774" spans="2:20" x14ac:dyDescent="0.4">
      <c r="B774" s="121" t="s">
        <v>135</v>
      </c>
      <c r="C774" s="121"/>
      <c r="D774" s="122">
        <v>44773</v>
      </c>
      <c r="E774" s="121"/>
      <c r="F774" s="121" t="s">
        <v>446</v>
      </c>
      <c r="G774" s="121"/>
      <c r="H774" s="121"/>
      <c r="I774" s="121"/>
      <c r="J774" s="121" t="s">
        <v>905</v>
      </c>
      <c r="K774" s="121"/>
      <c r="L774" s="121" t="s">
        <v>149</v>
      </c>
      <c r="M774" s="121"/>
      <c r="N774" s="123"/>
      <c r="O774" s="121"/>
      <c r="P774" s="121" t="s">
        <v>138</v>
      </c>
      <c r="Q774" s="121"/>
      <c r="R774" s="124">
        <v>-42.66</v>
      </c>
      <c r="S774" s="121"/>
      <c r="T774" s="124">
        <f t="shared" si="12"/>
        <v>90849.67</v>
      </c>
    </row>
    <row r="775" spans="2:20" x14ac:dyDescent="0.4">
      <c r="B775" s="121" t="s">
        <v>108</v>
      </c>
      <c r="C775" s="121"/>
      <c r="D775" s="122">
        <v>44792</v>
      </c>
      <c r="E775" s="121"/>
      <c r="F775" s="121" t="s">
        <v>906</v>
      </c>
      <c r="G775" s="121"/>
      <c r="H775" s="121" t="s">
        <v>732</v>
      </c>
      <c r="I775" s="121"/>
      <c r="J775" s="121" t="s">
        <v>906</v>
      </c>
      <c r="K775" s="121"/>
      <c r="L775" s="121" t="s">
        <v>149</v>
      </c>
      <c r="M775" s="121"/>
      <c r="N775" s="123"/>
      <c r="O775" s="121"/>
      <c r="P775" s="121" t="s">
        <v>113</v>
      </c>
      <c r="Q775" s="121"/>
      <c r="R775" s="124">
        <v>24.01</v>
      </c>
      <c r="S775" s="121"/>
      <c r="T775" s="124">
        <f t="shared" si="12"/>
        <v>90873.68</v>
      </c>
    </row>
    <row r="776" spans="2:20" x14ac:dyDescent="0.4">
      <c r="B776" s="121" t="s">
        <v>108</v>
      </c>
      <c r="C776" s="121"/>
      <c r="D776" s="122">
        <v>44792</v>
      </c>
      <c r="E776" s="121"/>
      <c r="F776" s="121" t="s">
        <v>906</v>
      </c>
      <c r="G776" s="121"/>
      <c r="H776" s="121" t="s">
        <v>732</v>
      </c>
      <c r="I776" s="121"/>
      <c r="J776" s="121" t="s">
        <v>906</v>
      </c>
      <c r="K776" s="121"/>
      <c r="L776" s="121"/>
      <c r="M776" s="121"/>
      <c r="N776" s="123"/>
      <c r="O776" s="121"/>
      <c r="P776" s="121" t="s">
        <v>113</v>
      </c>
      <c r="Q776" s="121"/>
      <c r="R776" s="124">
        <v>242.73</v>
      </c>
      <c r="S776" s="121"/>
      <c r="T776" s="124">
        <f t="shared" si="12"/>
        <v>91116.41</v>
      </c>
    </row>
    <row r="777" spans="2:20" x14ac:dyDescent="0.4">
      <c r="B777" s="121" t="s">
        <v>135</v>
      </c>
      <c r="C777" s="121"/>
      <c r="D777" s="122">
        <v>44804</v>
      </c>
      <c r="E777" s="121"/>
      <c r="F777" s="121" t="s">
        <v>222</v>
      </c>
      <c r="G777" s="121"/>
      <c r="H777" s="121"/>
      <c r="I777" s="121"/>
      <c r="J777" s="121" t="s">
        <v>907</v>
      </c>
      <c r="K777" s="121"/>
      <c r="L777" s="121" t="s">
        <v>149</v>
      </c>
      <c r="M777" s="121"/>
      <c r="N777" s="123"/>
      <c r="O777" s="121"/>
      <c r="P777" s="121" t="s">
        <v>138</v>
      </c>
      <c r="Q777" s="121"/>
      <c r="R777" s="124">
        <v>-24.01</v>
      </c>
      <c r="S777" s="121"/>
      <c r="T777" s="124">
        <f t="shared" si="12"/>
        <v>91092.4</v>
      </c>
    </row>
    <row r="778" spans="2:20" x14ac:dyDescent="0.4">
      <c r="B778" s="121" t="s">
        <v>108</v>
      </c>
      <c r="C778" s="121"/>
      <c r="D778" s="122">
        <v>44824</v>
      </c>
      <c r="E778" s="121"/>
      <c r="F778" s="121" t="s">
        <v>908</v>
      </c>
      <c r="G778" s="121"/>
      <c r="H778" s="121" t="s">
        <v>732</v>
      </c>
      <c r="I778" s="121"/>
      <c r="J778" s="121" t="s">
        <v>908</v>
      </c>
      <c r="K778" s="121"/>
      <c r="L778" s="121" t="s">
        <v>149</v>
      </c>
      <c r="M778" s="121"/>
      <c r="N778" s="123"/>
      <c r="O778" s="121"/>
      <c r="P778" s="121" t="s">
        <v>113</v>
      </c>
      <c r="Q778" s="121"/>
      <c r="R778" s="124">
        <v>24.01</v>
      </c>
      <c r="S778" s="121"/>
      <c r="T778" s="124">
        <f t="shared" si="12"/>
        <v>91116.41</v>
      </c>
    </row>
    <row r="779" spans="2:20" x14ac:dyDescent="0.4">
      <c r="B779" s="121" t="s">
        <v>108</v>
      </c>
      <c r="C779" s="121"/>
      <c r="D779" s="122">
        <v>44824</v>
      </c>
      <c r="E779" s="121"/>
      <c r="F779" s="121" t="s">
        <v>908</v>
      </c>
      <c r="G779" s="121"/>
      <c r="H779" s="121" t="s">
        <v>732</v>
      </c>
      <c r="I779" s="121"/>
      <c r="J779" s="121" t="s">
        <v>908</v>
      </c>
      <c r="K779" s="121"/>
      <c r="L779" s="121"/>
      <c r="M779" s="121"/>
      <c r="N779" s="123"/>
      <c r="O779" s="121"/>
      <c r="P779" s="121" t="s">
        <v>113</v>
      </c>
      <c r="Q779" s="121"/>
      <c r="R779" s="124">
        <v>242.73</v>
      </c>
      <c r="S779" s="121"/>
      <c r="T779" s="124">
        <f t="shared" si="12"/>
        <v>91359.14</v>
      </c>
    </row>
    <row r="780" spans="2:20" x14ac:dyDescent="0.4">
      <c r="B780" s="121" t="s">
        <v>108</v>
      </c>
      <c r="C780" s="121"/>
      <c r="D780" s="122">
        <v>44846</v>
      </c>
      <c r="E780" s="121"/>
      <c r="F780" s="121" t="s">
        <v>909</v>
      </c>
      <c r="G780" s="121"/>
      <c r="H780" s="121" t="s">
        <v>298</v>
      </c>
      <c r="I780" s="121"/>
      <c r="J780" s="121" t="s">
        <v>909</v>
      </c>
      <c r="K780" s="121"/>
      <c r="L780" s="121" t="s">
        <v>149</v>
      </c>
      <c r="M780" s="121"/>
      <c r="N780" s="123"/>
      <c r="O780" s="121"/>
      <c r="P780" s="121" t="s">
        <v>113</v>
      </c>
      <c r="Q780" s="121"/>
      <c r="R780" s="124">
        <v>124.19</v>
      </c>
      <c r="S780" s="121"/>
      <c r="T780" s="124">
        <f t="shared" ref="T780:T843" si="13">ROUND(T779+R780,5)</f>
        <v>91483.33</v>
      </c>
    </row>
    <row r="781" spans="2:20" x14ac:dyDescent="0.4">
      <c r="B781" s="121" t="s">
        <v>108</v>
      </c>
      <c r="C781" s="121"/>
      <c r="D781" s="122">
        <v>44846</v>
      </c>
      <c r="E781" s="121"/>
      <c r="F781" s="121" t="s">
        <v>909</v>
      </c>
      <c r="G781" s="121"/>
      <c r="H781" s="121" t="s">
        <v>298</v>
      </c>
      <c r="I781" s="121"/>
      <c r="J781" s="121" t="s">
        <v>909</v>
      </c>
      <c r="K781" s="121"/>
      <c r="L781" s="121"/>
      <c r="M781" s="121"/>
      <c r="N781" s="123"/>
      <c r="O781" s="121"/>
      <c r="P781" s="121" t="s">
        <v>113</v>
      </c>
      <c r="Q781" s="121"/>
      <c r="R781" s="124">
        <v>1255.74</v>
      </c>
      <c r="S781" s="121"/>
      <c r="T781" s="124">
        <f t="shared" si="13"/>
        <v>92739.07</v>
      </c>
    </row>
    <row r="782" spans="2:20" x14ac:dyDescent="0.4">
      <c r="B782" s="121" t="s">
        <v>135</v>
      </c>
      <c r="C782" s="121"/>
      <c r="D782" s="122">
        <v>44865</v>
      </c>
      <c r="E782" s="121"/>
      <c r="F782" s="121" t="s">
        <v>222</v>
      </c>
      <c r="G782" s="121"/>
      <c r="H782" s="121"/>
      <c r="I782" s="121"/>
      <c r="J782" s="121" t="s">
        <v>910</v>
      </c>
      <c r="K782" s="121"/>
      <c r="L782" s="121" t="s">
        <v>149</v>
      </c>
      <c r="M782" s="121"/>
      <c r="N782" s="123"/>
      <c r="O782" s="121"/>
      <c r="P782" s="121" t="s">
        <v>138</v>
      </c>
      <c r="Q782" s="121"/>
      <c r="R782" s="124">
        <v>-124.19</v>
      </c>
      <c r="S782" s="121"/>
      <c r="T782" s="124">
        <f t="shared" si="13"/>
        <v>92614.88</v>
      </c>
    </row>
    <row r="783" spans="2:20" x14ac:dyDescent="0.4">
      <c r="B783" s="121" t="s">
        <v>108</v>
      </c>
      <c r="C783" s="121"/>
      <c r="D783" s="122">
        <v>44900</v>
      </c>
      <c r="E783" s="121"/>
      <c r="F783" s="121" t="s">
        <v>911</v>
      </c>
      <c r="G783" s="121"/>
      <c r="H783" s="121" t="s">
        <v>597</v>
      </c>
      <c r="I783" s="121"/>
      <c r="J783" s="121" t="s">
        <v>911</v>
      </c>
      <c r="K783" s="121"/>
      <c r="L783" s="121" t="s">
        <v>149</v>
      </c>
      <c r="M783" s="121"/>
      <c r="N783" s="123"/>
      <c r="O783" s="121"/>
      <c r="P783" s="121" t="s">
        <v>113</v>
      </c>
      <c r="Q783" s="121"/>
      <c r="R783" s="124">
        <v>192.78</v>
      </c>
      <c r="S783" s="121"/>
      <c r="T783" s="124">
        <f t="shared" si="13"/>
        <v>92807.66</v>
      </c>
    </row>
    <row r="784" spans="2:20" x14ac:dyDescent="0.4">
      <c r="B784" s="121" t="s">
        <v>108</v>
      </c>
      <c r="C784" s="121"/>
      <c r="D784" s="122">
        <v>44900</v>
      </c>
      <c r="E784" s="121"/>
      <c r="F784" s="121" t="s">
        <v>911</v>
      </c>
      <c r="G784" s="121"/>
      <c r="H784" s="121" t="s">
        <v>597</v>
      </c>
      <c r="I784" s="121"/>
      <c r="J784" s="121" t="s">
        <v>911</v>
      </c>
      <c r="K784" s="121"/>
      <c r="L784" s="121"/>
      <c r="M784" s="121"/>
      <c r="N784" s="123"/>
      <c r="O784" s="121"/>
      <c r="P784" s="121" t="s">
        <v>113</v>
      </c>
      <c r="Q784" s="121"/>
      <c r="R784" s="124">
        <v>1949.22</v>
      </c>
      <c r="S784" s="121"/>
      <c r="T784" s="124">
        <f t="shared" si="13"/>
        <v>94756.88</v>
      </c>
    </row>
    <row r="785" spans="2:20" x14ac:dyDescent="0.4">
      <c r="B785" s="121" t="s">
        <v>108</v>
      </c>
      <c r="C785" s="121"/>
      <c r="D785" s="122">
        <v>44926</v>
      </c>
      <c r="E785" s="121"/>
      <c r="F785" s="121" t="s">
        <v>912</v>
      </c>
      <c r="G785" s="121"/>
      <c r="H785" s="121" t="s">
        <v>863</v>
      </c>
      <c r="I785" s="121"/>
      <c r="J785" s="121" t="s">
        <v>912</v>
      </c>
      <c r="K785" s="121"/>
      <c r="L785" s="121" t="s">
        <v>149</v>
      </c>
      <c r="M785" s="121"/>
      <c r="N785" s="123"/>
      <c r="O785" s="121"/>
      <c r="P785" s="121" t="s">
        <v>113</v>
      </c>
      <c r="Q785" s="121"/>
      <c r="R785" s="124">
        <v>363.51</v>
      </c>
      <c r="S785" s="121"/>
      <c r="T785" s="124">
        <f t="shared" si="13"/>
        <v>95120.39</v>
      </c>
    </row>
    <row r="786" spans="2:20" x14ac:dyDescent="0.4">
      <c r="B786" s="121" t="s">
        <v>108</v>
      </c>
      <c r="C786" s="121"/>
      <c r="D786" s="122">
        <v>44926</v>
      </c>
      <c r="E786" s="121"/>
      <c r="F786" s="121" t="s">
        <v>912</v>
      </c>
      <c r="G786" s="121"/>
      <c r="H786" s="121" t="s">
        <v>863</v>
      </c>
      <c r="I786" s="121"/>
      <c r="J786" s="121" t="s">
        <v>912</v>
      </c>
      <c r="K786" s="121"/>
      <c r="L786" s="121"/>
      <c r="M786" s="121"/>
      <c r="N786" s="123"/>
      <c r="O786" s="121"/>
      <c r="P786" s="121" t="s">
        <v>113</v>
      </c>
      <c r="Q786" s="121"/>
      <c r="R786" s="124">
        <v>3675.45</v>
      </c>
      <c r="S786" s="121"/>
      <c r="T786" s="124">
        <f t="shared" si="13"/>
        <v>98795.839999999997</v>
      </c>
    </row>
    <row r="787" spans="2:20" x14ac:dyDescent="0.4">
      <c r="B787" s="121" t="s">
        <v>135</v>
      </c>
      <c r="C787" s="121"/>
      <c r="D787" s="122">
        <v>44926</v>
      </c>
      <c r="E787" s="121"/>
      <c r="F787" s="121" t="s">
        <v>422</v>
      </c>
      <c r="G787" s="121"/>
      <c r="H787" s="121"/>
      <c r="I787" s="121"/>
      <c r="J787" s="121" t="s">
        <v>913</v>
      </c>
      <c r="K787" s="121"/>
      <c r="L787" s="121" t="s">
        <v>149</v>
      </c>
      <c r="M787" s="121"/>
      <c r="N787" s="123"/>
      <c r="O787" s="121"/>
      <c r="P787" s="121" t="s">
        <v>138</v>
      </c>
      <c r="Q787" s="121"/>
      <c r="R787" s="124">
        <v>-556.29</v>
      </c>
      <c r="S787" s="121"/>
      <c r="T787" s="124">
        <f t="shared" si="13"/>
        <v>98239.55</v>
      </c>
    </row>
    <row r="788" spans="2:20" x14ac:dyDescent="0.4">
      <c r="B788" s="121" t="s">
        <v>108</v>
      </c>
      <c r="C788" s="121"/>
      <c r="D788" s="122">
        <v>44946</v>
      </c>
      <c r="E788" s="121"/>
      <c r="F788" s="121" t="s">
        <v>914</v>
      </c>
      <c r="G788" s="121"/>
      <c r="H788" s="121" t="s">
        <v>597</v>
      </c>
      <c r="I788" s="121"/>
      <c r="J788" s="121"/>
      <c r="K788" s="121"/>
      <c r="L788" s="121" t="s">
        <v>149</v>
      </c>
      <c r="M788" s="121"/>
      <c r="N788" s="123"/>
      <c r="O788" s="121"/>
      <c r="P788" s="121" t="s">
        <v>113</v>
      </c>
      <c r="Q788" s="121"/>
      <c r="R788" s="124">
        <v>588.44000000000005</v>
      </c>
      <c r="S788" s="121"/>
      <c r="T788" s="124">
        <f t="shared" si="13"/>
        <v>98827.99</v>
      </c>
    </row>
    <row r="789" spans="2:20" x14ac:dyDescent="0.4">
      <c r="B789" s="121" t="s">
        <v>108</v>
      </c>
      <c r="C789" s="121"/>
      <c r="D789" s="122">
        <v>44946</v>
      </c>
      <c r="E789" s="121"/>
      <c r="F789" s="121" t="s">
        <v>914</v>
      </c>
      <c r="G789" s="121"/>
      <c r="H789" s="121" t="s">
        <v>597</v>
      </c>
      <c r="I789" s="121"/>
      <c r="J789" s="121"/>
      <c r="K789" s="121"/>
      <c r="L789" s="121"/>
      <c r="M789" s="121"/>
      <c r="N789" s="123"/>
      <c r="O789" s="121"/>
      <c r="P789" s="121" t="s">
        <v>113</v>
      </c>
      <c r="Q789" s="121"/>
      <c r="R789" s="124">
        <v>5949.79</v>
      </c>
      <c r="S789" s="121"/>
      <c r="T789" s="124">
        <f t="shared" si="13"/>
        <v>104777.78</v>
      </c>
    </row>
    <row r="790" spans="2:20" x14ac:dyDescent="0.4">
      <c r="B790" s="121" t="s">
        <v>135</v>
      </c>
      <c r="C790" s="121"/>
      <c r="D790" s="122">
        <v>44957</v>
      </c>
      <c r="E790" s="121"/>
      <c r="F790" s="121" t="s">
        <v>422</v>
      </c>
      <c r="G790" s="121"/>
      <c r="H790" s="121"/>
      <c r="I790" s="121"/>
      <c r="J790" s="121" t="s">
        <v>915</v>
      </c>
      <c r="K790" s="121"/>
      <c r="L790" s="121" t="s">
        <v>149</v>
      </c>
      <c r="M790" s="121"/>
      <c r="N790" s="123"/>
      <c r="O790" s="121"/>
      <c r="P790" s="121" t="s">
        <v>138</v>
      </c>
      <c r="Q790" s="121"/>
      <c r="R790" s="124">
        <v>-588.44000000000005</v>
      </c>
      <c r="S790" s="121"/>
      <c r="T790" s="124">
        <f t="shared" si="13"/>
        <v>104189.34</v>
      </c>
    </row>
    <row r="791" spans="2:20" x14ac:dyDescent="0.4">
      <c r="B791" s="121" t="s">
        <v>108</v>
      </c>
      <c r="C791" s="121"/>
      <c r="D791" s="122">
        <v>44979</v>
      </c>
      <c r="E791" s="121"/>
      <c r="F791" s="121" t="s">
        <v>916</v>
      </c>
      <c r="G791" s="121"/>
      <c r="H791" s="121" t="s">
        <v>732</v>
      </c>
      <c r="I791" s="121"/>
      <c r="J791" s="121" t="s">
        <v>916</v>
      </c>
      <c r="K791" s="121"/>
      <c r="L791" s="121" t="s">
        <v>149</v>
      </c>
      <c r="M791" s="121"/>
      <c r="N791" s="123"/>
      <c r="O791" s="121"/>
      <c r="P791" s="121" t="s">
        <v>113</v>
      </c>
      <c r="Q791" s="121"/>
      <c r="R791" s="124">
        <v>40.01</v>
      </c>
      <c r="S791" s="121"/>
      <c r="T791" s="124">
        <f t="shared" si="13"/>
        <v>104229.35</v>
      </c>
    </row>
    <row r="792" spans="2:20" x14ac:dyDescent="0.4">
      <c r="B792" s="121" t="s">
        <v>108</v>
      </c>
      <c r="C792" s="121"/>
      <c r="D792" s="122">
        <v>44979</v>
      </c>
      <c r="E792" s="121"/>
      <c r="F792" s="121" t="s">
        <v>916</v>
      </c>
      <c r="G792" s="121"/>
      <c r="H792" s="121" t="s">
        <v>732</v>
      </c>
      <c r="I792" s="121"/>
      <c r="J792" s="121" t="s">
        <v>916</v>
      </c>
      <c r="K792" s="121"/>
      <c r="L792" s="121"/>
      <c r="M792" s="121"/>
      <c r="N792" s="123"/>
      <c r="O792" s="121"/>
      <c r="P792" s="121" t="s">
        <v>113</v>
      </c>
      <c r="Q792" s="121"/>
      <c r="R792" s="124">
        <v>404.55</v>
      </c>
      <c r="S792" s="121"/>
      <c r="T792" s="124">
        <f t="shared" si="13"/>
        <v>104633.9</v>
      </c>
    </row>
    <row r="793" spans="2:20" x14ac:dyDescent="0.4">
      <c r="B793" s="121" t="s">
        <v>135</v>
      </c>
      <c r="C793" s="121"/>
      <c r="D793" s="122">
        <v>44985</v>
      </c>
      <c r="E793" s="121"/>
      <c r="F793" s="121" t="s">
        <v>233</v>
      </c>
      <c r="G793" s="121"/>
      <c r="H793" s="121"/>
      <c r="I793" s="121"/>
      <c r="J793" s="121" t="s">
        <v>917</v>
      </c>
      <c r="K793" s="121"/>
      <c r="L793" s="121" t="s">
        <v>149</v>
      </c>
      <c r="M793" s="121"/>
      <c r="N793" s="123"/>
      <c r="O793" s="121"/>
      <c r="P793" s="121" t="s">
        <v>138</v>
      </c>
      <c r="Q793" s="121"/>
      <c r="R793" s="124">
        <v>-40.01</v>
      </c>
      <c r="S793" s="121"/>
      <c r="T793" s="124">
        <f t="shared" si="13"/>
        <v>104593.89</v>
      </c>
    </row>
    <row r="794" spans="2:20" x14ac:dyDescent="0.4">
      <c r="B794" s="121" t="s">
        <v>108</v>
      </c>
      <c r="C794" s="121"/>
      <c r="D794" s="122">
        <v>45007</v>
      </c>
      <c r="E794" s="121"/>
      <c r="F794" s="121" t="s">
        <v>918</v>
      </c>
      <c r="G794" s="121"/>
      <c r="H794" s="121" t="s">
        <v>863</v>
      </c>
      <c r="I794" s="121"/>
      <c r="J794" s="121" t="s">
        <v>919</v>
      </c>
      <c r="K794" s="121"/>
      <c r="L794" s="121" t="s">
        <v>149</v>
      </c>
      <c r="M794" s="121"/>
      <c r="N794" s="123"/>
      <c r="O794" s="121"/>
      <c r="P794" s="121" t="s">
        <v>113</v>
      </c>
      <c r="Q794" s="121"/>
      <c r="R794" s="124">
        <v>351.51</v>
      </c>
      <c r="S794" s="121"/>
      <c r="T794" s="124">
        <f t="shared" si="13"/>
        <v>104945.4</v>
      </c>
    </row>
    <row r="795" spans="2:20" x14ac:dyDescent="0.4">
      <c r="B795" s="121" t="s">
        <v>108</v>
      </c>
      <c r="C795" s="121"/>
      <c r="D795" s="122">
        <v>45007</v>
      </c>
      <c r="E795" s="121"/>
      <c r="F795" s="121" t="s">
        <v>918</v>
      </c>
      <c r="G795" s="121"/>
      <c r="H795" s="121" t="s">
        <v>863</v>
      </c>
      <c r="I795" s="121"/>
      <c r="J795" s="121" t="s">
        <v>919</v>
      </c>
      <c r="K795" s="121"/>
      <c r="L795" s="121"/>
      <c r="M795" s="121"/>
      <c r="N795" s="123"/>
      <c r="O795" s="121"/>
      <c r="P795" s="121" t="s">
        <v>113</v>
      </c>
      <c r="Q795" s="121"/>
      <c r="R795" s="124">
        <v>3554.16</v>
      </c>
      <c r="S795" s="121"/>
      <c r="T795" s="124">
        <f t="shared" si="13"/>
        <v>108499.56</v>
      </c>
    </row>
    <row r="796" spans="2:20" x14ac:dyDescent="0.4">
      <c r="B796" s="121" t="s">
        <v>135</v>
      </c>
      <c r="C796" s="121"/>
      <c r="D796" s="122">
        <v>45016</v>
      </c>
      <c r="E796" s="121"/>
      <c r="F796" s="121" t="s">
        <v>233</v>
      </c>
      <c r="G796" s="121"/>
      <c r="H796" s="121"/>
      <c r="I796" s="121"/>
      <c r="J796" s="121" t="s">
        <v>920</v>
      </c>
      <c r="K796" s="121"/>
      <c r="L796" s="121" t="s">
        <v>149</v>
      </c>
      <c r="M796" s="121"/>
      <c r="N796" s="123"/>
      <c r="O796" s="121"/>
      <c r="P796" s="121" t="s">
        <v>138</v>
      </c>
      <c r="Q796" s="121"/>
      <c r="R796" s="124">
        <v>-351.51</v>
      </c>
      <c r="S796" s="121"/>
      <c r="T796" s="124">
        <f t="shared" si="13"/>
        <v>108148.05</v>
      </c>
    </row>
    <row r="797" spans="2:20" x14ac:dyDescent="0.4">
      <c r="B797" s="121" t="s">
        <v>108</v>
      </c>
      <c r="C797" s="121"/>
      <c r="D797" s="122">
        <v>45140</v>
      </c>
      <c r="E797" s="121"/>
      <c r="F797" s="121" t="s">
        <v>921</v>
      </c>
      <c r="G797" s="121"/>
      <c r="H797" s="121" t="s">
        <v>732</v>
      </c>
      <c r="I797" s="121"/>
      <c r="J797" s="121" t="s">
        <v>921</v>
      </c>
      <c r="K797" s="121"/>
      <c r="L797" s="121" t="s">
        <v>149</v>
      </c>
      <c r="M797" s="121"/>
      <c r="N797" s="123"/>
      <c r="O797" s="121"/>
      <c r="P797" s="121" t="s">
        <v>113</v>
      </c>
      <c r="Q797" s="121"/>
      <c r="R797" s="124">
        <v>40.01</v>
      </c>
      <c r="S797" s="121"/>
      <c r="T797" s="124">
        <f t="shared" si="13"/>
        <v>108188.06</v>
      </c>
    </row>
    <row r="798" spans="2:20" x14ac:dyDescent="0.4">
      <c r="B798" s="121" t="s">
        <v>108</v>
      </c>
      <c r="C798" s="121"/>
      <c r="D798" s="122">
        <v>45140</v>
      </c>
      <c r="E798" s="121"/>
      <c r="F798" s="121" t="s">
        <v>921</v>
      </c>
      <c r="G798" s="121"/>
      <c r="H798" s="121" t="s">
        <v>732</v>
      </c>
      <c r="I798" s="121"/>
      <c r="J798" s="121" t="s">
        <v>921</v>
      </c>
      <c r="K798" s="121"/>
      <c r="L798" s="121"/>
      <c r="M798" s="121"/>
      <c r="N798" s="123"/>
      <c r="O798" s="121"/>
      <c r="P798" s="121" t="s">
        <v>113</v>
      </c>
      <c r="Q798" s="121"/>
      <c r="R798" s="124">
        <v>404.55</v>
      </c>
      <c r="S798" s="121"/>
      <c r="T798" s="124">
        <f t="shared" si="13"/>
        <v>108592.61</v>
      </c>
    </row>
    <row r="799" spans="2:20" x14ac:dyDescent="0.4">
      <c r="B799" s="121" t="s">
        <v>135</v>
      </c>
      <c r="C799" s="121"/>
      <c r="D799" s="122">
        <v>45169</v>
      </c>
      <c r="E799" s="121"/>
      <c r="F799" s="121" t="s">
        <v>233</v>
      </c>
      <c r="G799" s="121"/>
      <c r="H799" s="121"/>
      <c r="I799" s="121"/>
      <c r="J799" s="121" t="s">
        <v>922</v>
      </c>
      <c r="K799" s="121"/>
      <c r="L799" s="121" t="s">
        <v>149</v>
      </c>
      <c r="M799" s="121"/>
      <c r="N799" s="123"/>
      <c r="O799" s="121"/>
      <c r="P799" s="121" t="s">
        <v>138</v>
      </c>
      <c r="Q799" s="121"/>
      <c r="R799" s="124">
        <v>-40.01</v>
      </c>
      <c r="S799" s="121"/>
      <c r="T799" s="124">
        <f t="shared" si="13"/>
        <v>108552.6</v>
      </c>
    </row>
    <row r="800" spans="2:20" x14ac:dyDescent="0.4">
      <c r="B800" s="121" t="s">
        <v>108</v>
      </c>
      <c r="C800" s="121"/>
      <c r="D800" s="122">
        <v>45209</v>
      </c>
      <c r="E800" s="121"/>
      <c r="F800" s="121" t="s">
        <v>923</v>
      </c>
      <c r="G800" s="121"/>
      <c r="H800" s="121" t="s">
        <v>597</v>
      </c>
      <c r="I800" s="121"/>
      <c r="J800" s="121" t="s">
        <v>923</v>
      </c>
      <c r="K800" s="121"/>
      <c r="L800" s="121" t="s">
        <v>149</v>
      </c>
      <c r="M800" s="121"/>
      <c r="N800" s="123"/>
      <c r="O800" s="121"/>
      <c r="P800" s="121" t="s">
        <v>113</v>
      </c>
      <c r="Q800" s="121"/>
      <c r="R800" s="124">
        <v>360.8</v>
      </c>
      <c r="S800" s="121"/>
      <c r="T800" s="124">
        <f t="shared" si="13"/>
        <v>108913.4</v>
      </c>
    </row>
    <row r="801" spans="2:20" x14ac:dyDescent="0.4">
      <c r="B801" s="121" t="s">
        <v>108</v>
      </c>
      <c r="C801" s="121"/>
      <c r="D801" s="122">
        <v>45209</v>
      </c>
      <c r="E801" s="121"/>
      <c r="F801" s="121" t="s">
        <v>923</v>
      </c>
      <c r="G801" s="121"/>
      <c r="H801" s="121" t="s">
        <v>597</v>
      </c>
      <c r="I801" s="121"/>
      <c r="J801" s="121" t="s">
        <v>923</v>
      </c>
      <c r="K801" s="121"/>
      <c r="L801" s="121"/>
      <c r="M801" s="121"/>
      <c r="N801" s="123"/>
      <c r="O801" s="121"/>
      <c r="P801" s="121" t="s">
        <v>113</v>
      </c>
      <c r="Q801" s="121"/>
      <c r="R801" s="124">
        <v>3648.12</v>
      </c>
      <c r="S801" s="121"/>
      <c r="T801" s="124">
        <f t="shared" si="13"/>
        <v>112561.52</v>
      </c>
    </row>
    <row r="802" spans="2:20" x14ac:dyDescent="0.4">
      <c r="B802" s="121" t="s">
        <v>108</v>
      </c>
      <c r="C802" s="121"/>
      <c r="D802" s="122">
        <v>45225</v>
      </c>
      <c r="E802" s="121"/>
      <c r="F802" s="121" t="s">
        <v>924</v>
      </c>
      <c r="G802" s="121"/>
      <c r="H802" s="121" t="s">
        <v>597</v>
      </c>
      <c r="I802" s="121"/>
      <c r="J802" s="121" t="s">
        <v>924</v>
      </c>
      <c r="K802" s="121"/>
      <c r="L802" s="121" t="s">
        <v>149</v>
      </c>
      <c r="M802" s="121"/>
      <c r="N802" s="123"/>
      <c r="O802" s="121"/>
      <c r="P802" s="121" t="s">
        <v>113</v>
      </c>
      <c r="Q802" s="121"/>
      <c r="R802" s="124">
        <v>208.69</v>
      </c>
      <c r="S802" s="121"/>
      <c r="T802" s="124">
        <f t="shared" si="13"/>
        <v>112770.21</v>
      </c>
    </row>
    <row r="803" spans="2:20" x14ac:dyDescent="0.4">
      <c r="B803" s="121" t="s">
        <v>108</v>
      </c>
      <c r="C803" s="121"/>
      <c r="D803" s="122">
        <v>45225</v>
      </c>
      <c r="E803" s="121"/>
      <c r="F803" s="121" t="s">
        <v>924</v>
      </c>
      <c r="G803" s="121"/>
      <c r="H803" s="121" t="s">
        <v>597</v>
      </c>
      <c r="I803" s="121"/>
      <c r="J803" s="121" t="s">
        <v>924</v>
      </c>
      <c r="K803" s="121"/>
      <c r="L803" s="121"/>
      <c r="M803" s="121"/>
      <c r="N803" s="123"/>
      <c r="O803" s="121"/>
      <c r="P803" s="121" t="s">
        <v>113</v>
      </c>
      <c r="Q803" s="121"/>
      <c r="R803" s="124">
        <v>2110.06</v>
      </c>
      <c r="S803" s="121"/>
      <c r="T803" s="124">
        <f t="shared" si="13"/>
        <v>114880.27</v>
      </c>
    </row>
    <row r="804" spans="2:20" x14ac:dyDescent="0.4">
      <c r="B804" s="121" t="s">
        <v>135</v>
      </c>
      <c r="C804" s="121"/>
      <c r="D804" s="122">
        <v>45230</v>
      </c>
      <c r="E804" s="121"/>
      <c r="F804" s="121" t="s">
        <v>240</v>
      </c>
      <c r="G804" s="121"/>
      <c r="H804" s="121"/>
      <c r="I804" s="121"/>
      <c r="J804" s="121" t="s">
        <v>925</v>
      </c>
      <c r="K804" s="121"/>
      <c r="L804" s="121" t="s">
        <v>149</v>
      </c>
      <c r="M804" s="121"/>
      <c r="N804" s="123"/>
      <c r="O804" s="121"/>
      <c r="P804" s="121" t="s">
        <v>138</v>
      </c>
      <c r="Q804" s="121"/>
      <c r="R804" s="124">
        <v>-569.49</v>
      </c>
      <c r="S804" s="121"/>
      <c r="T804" s="124">
        <f t="shared" si="13"/>
        <v>114310.78</v>
      </c>
    </row>
    <row r="805" spans="2:20" x14ac:dyDescent="0.4">
      <c r="B805" s="121" t="s">
        <v>108</v>
      </c>
      <c r="C805" s="121"/>
      <c r="D805" s="122">
        <v>45295</v>
      </c>
      <c r="E805" s="121"/>
      <c r="F805" s="121" t="s">
        <v>926</v>
      </c>
      <c r="G805" s="121"/>
      <c r="H805" s="121" t="s">
        <v>863</v>
      </c>
      <c r="I805" s="121"/>
      <c r="J805" s="121" t="s">
        <v>927</v>
      </c>
      <c r="K805" s="121"/>
      <c r="L805" s="121" t="s">
        <v>149</v>
      </c>
      <c r="M805" s="121"/>
      <c r="N805" s="123"/>
      <c r="O805" s="121"/>
      <c r="P805" s="121" t="s">
        <v>113</v>
      </c>
      <c r="Q805" s="121"/>
      <c r="R805" s="124">
        <v>314.64</v>
      </c>
      <c r="S805" s="121"/>
      <c r="T805" s="124">
        <f t="shared" si="13"/>
        <v>114625.42</v>
      </c>
    </row>
    <row r="806" spans="2:20" x14ac:dyDescent="0.4">
      <c r="B806" s="121" t="s">
        <v>108</v>
      </c>
      <c r="C806" s="121"/>
      <c r="D806" s="122">
        <v>45295</v>
      </c>
      <c r="E806" s="121"/>
      <c r="F806" s="121" t="s">
        <v>926</v>
      </c>
      <c r="G806" s="121"/>
      <c r="H806" s="121" t="s">
        <v>863</v>
      </c>
      <c r="I806" s="121"/>
      <c r="J806" s="121" t="s">
        <v>927</v>
      </c>
      <c r="K806" s="121"/>
      <c r="L806" s="121"/>
      <c r="M806" s="121"/>
      <c r="N806" s="123"/>
      <c r="O806" s="121"/>
      <c r="P806" s="121" t="s">
        <v>113</v>
      </c>
      <c r="Q806" s="121"/>
      <c r="R806" s="124">
        <v>3181.31</v>
      </c>
      <c r="S806" s="121"/>
      <c r="T806" s="124">
        <f t="shared" si="13"/>
        <v>117806.73</v>
      </c>
    </row>
    <row r="807" spans="2:20" x14ac:dyDescent="0.4">
      <c r="B807" s="121" t="s">
        <v>135</v>
      </c>
      <c r="C807" s="121"/>
      <c r="D807" s="122">
        <v>45322</v>
      </c>
      <c r="E807" s="121"/>
      <c r="F807" s="121" t="s">
        <v>164</v>
      </c>
      <c r="G807" s="121"/>
      <c r="H807" s="121"/>
      <c r="I807" s="121"/>
      <c r="J807" s="121" t="s">
        <v>928</v>
      </c>
      <c r="K807" s="121"/>
      <c r="L807" s="121" t="s">
        <v>149</v>
      </c>
      <c r="M807" s="121"/>
      <c r="N807" s="123"/>
      <c r="O807" s="121"/>
      <c r="P807" s="121" t="s">
        <v>138</v>
      </c>
      <c r="Q807" s="121"/>
      <c r="R807" s="124">
        <v>-314.64</v>
      </c>
      <c r="S807" s="121"/>
      <c r="T807" s="124">
        <f t="shared" si="13"/>
        <v>117492.09</v>
      </c>
    </row>
    <row r="808" spans="2:20" x14ac:dyDescent="0.4">
      <c r="B808" s="121" t="s">
        <v>108</v>
      </c>
      <c r="C808" s="121"/>
      <c r="D808" s="122">
        <v>45327</v>
      </c>
      <c r="E808" s="121"/>
      <c r="F808" s="121" t="s">
        <v>929</v>
      </c>
      <c r="G808" s="121"/>
      <c r="H808" s="121" t="s">
        <v>863</v>
      </c>
      <c r="I808" s="121"/>
      <c r="J808" s="121" t="s">
        <v>929</v>
      </c>
      <c r="K808" s="121"/>
      <c r="L808" s="121" t="s">
        <v>149</v>
      </c>
      <c r="M808" s="121"/>
      <c r="N808" s="123"/>
      <c r="O808" s="121"/>
      <c r="P808" s="121" t="s">
        <v>113</v>
      </c>
      <c r="Q808" s="121"/>
      <c r="R808" s="124">
        <v>336.65</v>
      </c>
      <c r="S808" s="121"/>
      <c r="T808" s="124">
        <f t="shared" si="13"/>
        <v>117828.74</v>
      </c>
    </row>
    <row r="809" spans="2:20" x14ac:dyDescent="0.4">
      <c r="B809" s="121" t="s">
        <v>108</v>
      </c>
      <c r="C809" s="121"/>
      <c r="D809" s="122">
        <v>45327</v>
      </c>
      <c r="E809" s="121"/>
      <c r="F809" s="121" t="s">
        <v>929</v>
      </c>
      <c r="G809" s="121"/>
      <c r="H809" s="121" t="s">
        <v>863</v>
      </c>
      <c r="I809" s="121"/>
      <c r="J809" s="121" t="s">
        <v>929</v>
      </c>
      <c r="K809" s="121"/>
      <c r="L809" s="121"/>
      <c r="M809" s="121"/>
      <c r="N809" s="123"/>
      <c r="O809" s="121"/>
      <c r="P809" s="121" t="s">
        <v>113</v>
      </c>
      <c r="Q809" s="121"/>
      <c r="R809" s="124">
        <v>3403.99</v>
      </c>
      <c r="S809" s="121"/>
      <c r="T809" s="124">
        <f t="shared" si="13"/>
        <v>121232.73</v>
      </c>
    </row>
    <row r="810" spans="2:20" x14ac:dyDescent="0.4">
      <c r="B810" s="121" t="s">
        <v>135</v>
      </c>
      <c r="C810" s="121"/>
      <c r="D810" s="122">
        <v>45351</v>
      </c>
      <c r="E810" s="121"/>
      <c r="F810" s="121" t="s">
        <v>240</v>
      </c>
      <c r="G810" s="121"/>
      <c r="H810" s="121"/>
      <c r="I810" s="121"/>
      <c r="J810" s="121" t="s">
        <v>930</v>
      </c>
      <c r="K810" s="121"/>
      <c r="L810" s="121" t="s">
        <v>149</v>
      </c>
      <c r="M810" s="121"/>
      <c r="N810" s="123"/>
      <c r="O810" s="121"/>
      <c r="P810" s="121" t="s">
        <v>138</v>
      </c>
      <c r="Q810" s="121"/>
      <c r="R810" s="124">
        <v>-336.65</v>
      </c>
      <c r="S810" s="121"/>
      <c r="T810" s="124">
        <f t="shared" si="13"/>
        <v>120896.08</v>
      </c>
    </row>
    <row r="811" spans="2:20" x14ac:dyDescent="0.4">
      <c r="B811" s="121" t="s">
        <v>108</v>
      </c>
      <c r="C811" s="121"/>
      <c r="D811" s="122">
        <v>45366</v>
      </c>
      <c r="E811" s="121"/>
      <c r="F811" s="121" t="s">
        <v>931</v>
      </c>
      <c r="G811" s="121"/>
      <c r="H811" s="121" t="s">
        <v>732</v>
      </c>
      <c r="I811" s="121"/>
      <c r="J811" s="121" t="s">
        <v>931</v>
      </c>
      <c r="K811" s="121"/>
      <c r="L811" s="121" t="s">
        <v>149</v>
      </c>
      <c r="M811" s="121"/>
      <c r="N811" s="123"/>
      <c r="O811" s="121"/>
      <c r="P811" s="121" t="s">
        <v>113</v>
      </c>
      <c r="Q811" s="121"/>
      <c r="R811" s="124">
        <v>42.01</v>
      </c>
      <c r="S811" s="121"/>
      <c r="T811" s="124">
        <f t="shared" si="13"/>
        <v>120938.09</v>
      </c>
    </row>
    <row r="812" spans="2:20" x14ac:dyDescent="0.4">
      <c r="B812" s="121" t="s">
        <v>108</v>
      </c>
      <c r="C812" s="121"/>
      <c r="D812" s="122">
        <v>45366</v>
      </c>
      <c r="E812" s="121"/>
      <c r="F812" s="121" t="s">
        <v>931</v>
      </c>
      <c r="G812" s="121"/>
      <c r="H812" s="121" t="s">
        <v>732</v>
      </c>
      <c r="I812" s="121"/>
      <c r="J812" s="121" t="s">
        <v>931</v>
      </c>
      <c r="K812" s="121"/>
      <c r="L812" s="121"/>
      <c r="M812" s="121"/>
      <c r="N812" s="123"/>
      <c r="O812" s="121"/>
      <c r="P812" s="121" t="s">
        <v>113</v>
      </c>
      <c r="Q812" s="121"/>
      <c r="R812" s="124">
        <v>424.81</v>
      </c>
      <c r="S812" s="121"/>
      <c r="T812" s="124">
        <f t="shared" si="13"/>
        <v>121362.9</v>
      </c>
    </row>
    <row r="813" spans="2:20" x14ac:dyDescent="0.4">
      <c r="B813" s="121" t="s">
        <v>135</v>
      </c>
      <c r="C813" s="121"/>
      <c r="D813" s="122">
        <v>45382</v>
      </c>
      <c r="E813" s="121"/>
      <c r="F813" s="121" t="s">
        <v>240</v>
      </c>
      <c r="G813" s="121"/>
      <c r="H813" s="121"/>
      <c r="I813" s="121"/>
      <c r="J813" s="121" t="s">
        <v>932</v>
      </c>
      <c r="K813" s="121"/>
      <c r="L813" s="121" t="s">
        <v>149</v>
      </c>
      <c r="M813" s="121"/>
      <c r="N813" s="123"/>
      <c r="O813" s="121"/>
      <c r="P813" s="121" t="s">
        <v>138</v>
      </c>
      <c r="Q813" s="121"/>
      <c r="R813" s="124">
        <v>-42.01</v>
      </c>
      <c r="S813" s="121"/>
      <c r="T813" s="124">
        <f t="shared" si="13"/>
        <v>121320.89</v>
      </c>
    </row>
    <row r="814" spans="2:20" x14ac:dyDescent="0.4">
      <c r="B814" s="121" t="s">
        <v>108</v>
      </c>
      <c r="C814" s="121"/>
      <c r="D814" s="122">
        <v>45399</v>
      </c>
      <c r="E814" s="121"/>
      <c r="F814" s="121" t="s">
        <v>933</v>
      </c>
      <c r="G814" s="121"/>
      <c r="H814" s="121" t="s">
        <v>863</v>
      </c>
      <c r="I814" s="121"/>
      <c r="J814" s="121" t="s">
        <v>933</v>
      </c>
      <c r="K814" s="121"/>
      <c r="L814" s="121" t="s">
        <v>149</v>
      </c>
      <c r="M814" s="121"/>
      <c r="N814" s="123"/>
      <c r="O814" s="121"/>
      <c r="P814" s="121" t="s">
        <v>113</v>
      </c>
      <c r="Q814" s="121"/>
      <c r="R814" s="124">
        <v>438.13</v>
      </c>
      <c r="S814" s="121"/>
      <c r="T814" s="124">
        <f t="shared" si="13"/>
        <v>121759.02</v>
      </c>
    </row>
    <row r="815" spans="2:20" x14ac:dyDescent="0.4">
      <c r="B815" s="121" t="s">
        <v>108</v>
      </c>
      <c r="C815" s="121"/>
      <c r="D815" s="122">
        <v>45399</v>
      </c>
      <c r="E815" s="121"/>
      <c r="F815" s="121" t="s">
        <v>933</v>
      </c>
      <c r="G815" s="121"/>
      <c r="H815" s="121" t="s">
        <v>863</v>
      </c>
      <c r="I815" s="121"/>
      <c r="J815" s="121" t="s">
        <v>933</v>
      </c>
      <c r="K815" s="121"/>
      <c r="L815" s="121"/>
      <c r="M815" s="121"/>
      <c r="N815" s="123"/>
      <c r="O815" s="121"/>
      <c r="P815" s="121" t="s">
        <v>113</v>
      </c>
      <c r="Q815" s="121"/>
      <c r="R815" s="124">
        <v>4430.0200000000004</v>
      </c>
      <c r="S815" s="121"/>
      <c r="T815" s="124">
        <f t="shared" si="13"/>
        <v>126189.04</v>
      </c>
    </row>
    <row r="816" spans="2:20" x14ac:dyDescent="0.4">
      <c r="B816" s="121" t="s">
        <v>135</v>
      </c>
      <c r="C816" s="121"/>
      <c r="D816" s="122">
        <v>45412</v>
      </c>
      <c r="E816" s="121"/>
      <c r="F816" s="121" t="s">
        <v>240</v>
      </c>
      <c r="G816" s="121"/>
      <c r="H816" s="121"/>
      <c r="I816" s="121"/>
      <c r="J816" s="121" t="s">
        <v>934</v>
      </c>
      <c r="K816" s="121"/>
      <c r="L816" s="121" t="s">
        <v>149</v>
      </c>
      <c r="M816" s="121"/>
      <c r="N816" s="123"/>
      <c r="O816" s="121"/>
      <c r="P816" s="121" t="s">
        <v>138</v>
      </c>
      <c r="Q816" s="121"/>
      <c r="R816" s="124">
        <v>-438.13</v>
      </c>
      <c r="S816" s="121"/>
      <c r="T816" s="124">
        <f t="shared" si="13"/>
        <v>125750.91</v>
      </c>
    </row>
    <row r="817" spans="2:20" x14ac:dyDescent="0.4">
      <c r="B817" s="121" t="s">
        <v>108</v>
      </c>
      <c r="C817" s="121"/>
      <c r="D817" s="122">
        <v>45554</v>
      </c>
      <c r="E817" s="121"/>
      <c r="F817" s="121" t="s">
        <v>935</v>
      </c>
      <c r="G817" s="121"/>
      <c r="H817" s="121" t="s">
        <v>732</v>
      </c>
      <c r="I817" s="121"/>
      <c r="J817" s="121" t="s">
        <v>935</v>
      </c>
      <c r="K817" s="121"/>
      <c r="L817" s="121" t="s">
        <v>149</v>
      </c>
      <c r="M817" s="121"/>
      <c r="N817" s="123"/>
      <c r="O817" s="121"/>
      <c r="P817" s="121" t="s">
        <v>113</v>
      </c>
      <c r="Q817" s="121"/>
      <c r="R817" s="124">
        <v>25.21</v>
      </c>
      <c r="S817" s="121"/>
      <c r="T817" s="124">
        <f t="shared" si="13"/>
        <v>125776.12</v>
      </c>
    </row>
    <row r="818" spans="2:20" x14ac:dyDescent="0.4">
      <c r="B818" s="121" t="s">
        <v>108</v>
      </c>
      <c r="C818" s="121"/>
      <c r="D818" s="122">
        <v>45554</v>
      </c>
      <c r="E818" s="121"/>
      <c r="F818" s="121" t="s">
        <v>935</v>
      </c>
      <c r="G818" s="121"/>
      <c r="H818" s="121" t="s">
        <v>732</v>
      </c>
      <c r="I818" s="121"/>
      <c r="J818" s="121" t="s">
        <v>935</v>
      </c>
      <c r="K818" s="121"/>
      <c r="L818" s="121"/>
      <c r="M818" s="121"/>
      <c r="N818" s="123"/>
      <c r="O818" s="121"/>
      <c r="P818" s="121" t="s">
        <v>113</v>
      </c>
      <c r="Q818" s="121"/>
      <c r="R818" s="124">
        <v>254.88</v>
      </c>
      <c r="S818" s="121"/>
      <c r="T818" s="124">
        <f t="shared" si="13"/>
        <v>126031</v>
      </c>
    </row>
    <row r="819" spans="2:20" x14ac:dyDescent="0.4">
      <c r="B819" s="121" t="s">
        <v>135</v>
      </c>
      <c r="C819" s="121"/>
      <c r="D819" s="122">
        <v>45565</v>
      </c>
      <c r="E819" s="121"/>
      <c r="F819" s="121" t="s">
        <v>222</v>
      </c>
      <c r="G819" s="121"/>
      <c r="H819" s="121"/>
      <c r="I819" s="121"/>
      <c r="J819" s="121" t="s">
        <v>936</v>
      </c>
      <c r="K819" s="121"/>
      <c r="L819" s="121" t="s">
        <v>149</v>
      </c>
      <c r="M819" s="121"/>
      <c r="N819" s="123"/>
      <c r="O819" s="121"/>
      <c r="P819" s="121" t="s">
        <v>138</v>
      </c>
      <c r="Q819" s="121"/>
      <c r="R819" s="124">
        <v>-25.21</v>
      </c>
      <c r="S819" s="121"/>
      <c r="T819" s="124">
        <f t="shared" si="13"/>
        <v>126005.79</v>
      </c>
    </row>
    <row r="820" spans="2:20" x14ac:dyDescent="0.4">
      <c r="B820" s="121" t="s">
        <v>108</v>
      </c>
      <c r="C820" s="121"/>
      <c r="D820" s="122">
        <v>45607</v>
      </c>
      <c r="E820" s="121"/>
      <c r="F820" s="121"/>
      <c r="G820" s="121"/>
      <c r="H820" s="121" t="s">
        <v>863</v>
      </c>
      <c r="I820" s="121"/>
      <c r="J820" s="121" t="s">
        <v>937</v>
      </c>
      <c r="K820" s="121"/>
      <c r="L820" s="121" t="s">
        <v>149</v>
      </c>
      <c r="M820" s="121"/>
      <c r="N820" s="123"/>
      <c r="O820" s="121"/>
      <c r="P820" s="121" t="s">
        <v>113</v>
      </c>
      <c r="Q820" s="121"/>
      <c r="R820" s="124">
        <v>414.44</v>
      </c>
      <c r="S820" s="121"/>
      <c r="T820" s="124">
        <f t="shared" si="13"/>
        <v>126420.23</v>
      </c>
    </row>
    <row r="821" spans="2:20" x14ac:dyDescent="0.4">
      <c r="B821" s="121" t="s">
        <v>108</v>
      </c>
      <c r="C821" s="121"/>
      <c r="D821" s="122">
        <v>45607</v>
      </c>
      <c r="E821" s="121"/>
      <c r="F821" s="121"/>
      <c r="G821" s="121"/>
      <c r="H821" s="121" t="s">
        <v>863</v>
      </c>
      <c r="I821" s="121"/>
      <c r="J821" s="121" t="s">
        <v>937</v>
      </c>
      <c r="K821" s="121"/>
      <c r="L821" s="121"/>
      <c r="M821" s="121"/>
      <c r="N821" s="123"/>
      <c r="O821" s="121"/>
      <c r="P821" s="121" t="s">
        <v>113</v>
      </c>
      <c r="Q821" s="121"/>
      <c r="R821" s="124">
        <v>4190.5</v>
      </c>
      <c r="S821" s="121"/>
      <c r="T821" s="124">
        <f t="shared" si="13"/>
        <v>130610.73</v>
      </c>
    </row>
    <row r="822" spans="2:20" x14ac:dyDescent="0.4">
      <c r="B822" s="121" t="s">
        <v>135</v>
      </c>
      <c r="C822" s="121"/>
      <c r="D822" s="122">
        <v>45626</v>
      </c>
      <c r="E822" s="121"/>
      <c r="F822" s="121" t="s">
        <v>698</v>
      </c>
      <c r="G822" s="121"/>
      <c r="H822" s="121"/>
      <c r="I822" s="121"/>
      <c r="J822" s="121" t="s">
        <v>938</v>
      </c>
      <c r="K822" s="121"/>
      <c r="L822" s="121" t="s">
        <v>149</v>
      </c>
      <c r="M822" s="121"/>
      <c r="N822" s="123"/>
      <c r="O822" s="121"/>
      <c r="P822" s="121" t="s">
        <v>138</v>
      </c>
      <c r="Q822" s="121"/>
      <c r="R822" s="124">
        <v>-414.44</v>
      </c>
      <c r="S822" s="121"/>
      <c r="T822" s="124">
        <f t="shared" si="13"/>
        <v>130196.29</v>
      </c>
    </row>
    <row r="823" spans="2:20" x14ac:dyDescent="0.4">
      <c r="B823" s="121" t="s">
        <v>108</v>
      </c>
      <c r="C823" s="121"/>
      <c r="D823" s="122">
        <v>45672</v>
      </c>
      <c r="E823" s="121"/>
      <c r="F823" s="121" t="s">
        <v>939</v>
      </c>
      <c r="G823" s="121"/>
      <c r="H823" s="121" t="s">
        <v>863</v>
      </c>
      <c r="I823" s="121"/>
      <c r="J823" s="121" t="s">
        <v>939</v>
      </c>
      <c r="K823" s="121"/>
      <c r="L823" s="121" t="s">
        <v>149</v>
      </c>
      <c r="M823" s="121"/>
      <c r="N823" s="123"/>
      <c r="O823" s="121"/>
      <c r="P823" s="121" t="s">
        <v>113</v>
      </c>
      <c r="Q823" s="121"/>
      <c r="R823" s="124">
        <v>404.52</v>
      </c>
      <c r="S823" s="121"/>
      <c r="T823" s="124">
        <f t="shared" si="13"/>
        <v>130600.81</v>
      </c>
    </row>
    <row r="824" spans="2:20" x14ac:dyDescent="0.4">
      <c r="B824" s="121" t="s">
        <v>108</v>
      </c>
      <c r="C824" s="121"/>
      <c r="D824" s="122">
        <v>45672</v>
      </c>
      <c r="E824" s="121"/>
      <c r="F824" s="121" t="s">
        <v>939</v>
      </c>
      <c r="G824" s="121"/>
      <c r="H824" s="121" t="s">
        <v>863</v>
      </c>
      <c r="I824" s="121"/>
      <c r="J824" s="121" t="s">
        <v>939</v>
      </c>
      <c r="K824" s="121"/>
      <c r="L824" s="121"/>
      <c r="M824" s="121"/>
      <c r="N824" s="123"/>
      <c r="O824" s="121"/>
      <c r="P824" s="121" t="s">
        <v>113</v>
      </c>
      <c r="Q824" s="121"/>
      <c r="R824" s="124">
        <v>4090.16</v>
      </c>
      <c r="S824" s="121"/>
      <c r="T824" s="124">
        <f t="shared" si="13"/>
        <v>134690.97</v>
      </c>
    </row>
    <row r="825" spans="2:20" x14ac:dyDescent="0.4">
      <c r="B825" s="121" t="s">
        <v>135</v>
      </c>
      <c r="C825" s="121"/>
      <c r="D825" s="122">
        <v>45688</v>
      </c>
      <c r="E825" s="121"/>
      <c r="F825" s="121" t="s">
        <v>698</v>
      </c>
      <c r="G825" s="121"/>
      <c r="H825" s="121"/>
      <c r="I825" s="121"/>
      <c r="J825" s="121" t="s">
        <v>940</v>
      </c>
      <c r="K825" s="121"/>
      <c r="L825" s="121" t="s">
        <v>149</v>
      </c>
      <c r="M825" s="121"/>
      <c r="N825" s="123"/>
      <c r="O825" s="121"/>
      <c r="P825" s="121" t="s">
        <v>138</v>
      </c>
      <c r="Q825" s="121"/>
      <c r="R825" s="124">
        <v>-404.52</v>
      </c>
      <c r="S825" s="121"/>
      <c r="T825" s="124">
        <f t="shared" si="13"/>
        <v>134286.45000000001</v>
      </c>
    </row>
    <row r="826" spans="2:20" x14ac:dyDescent="0.4">
      <c r="B826" s="121" t="s">
        <v>108</v>
      </c>
      <c r="C826" s="121"/>
      <c r="D826" s="122">
        <v>45728</v>
      </c>
      <c r="E826" s="121"/>
      <c r="F826" s="121"/>
      <c r="G826" s="121"/>
      <c r="H826" s="121" t="s">
        <v>863</v>
      </c>
      <c r="I826" s="121"/>
      <c r="J826" s="121" t="s">
        <v>941</v>
      </c>
      <c r="K826" s="121"/>
      <c r="L826" s="121" t="s">
        <v>149</v>
      </c>
      <c r="M826" s="121"/>
      <c r="N826" s="123"/>
      <c r="O826" s="121"/>
      <c r="P826" s="121" t="s">
        <v>113</v>
      </c>
      <c r="Q826" s="121"/>
      <c r="R826" s="124">
        <v>412.1</v>
      </c>
      <c r="S826" s="121"/>
      <c r="T826" s="124">
        <f t="shared" si="13"/>
        <v>134698.54999999999</v>
      </c>
    </row>
    <row r="827" spans="2:20" x14ac:dyDescent="0.4">
      <c r="B827" s="121" t="s">
        <v>108</v>
      </c>
      <c r="C827" s="121"/>
      <c r="D827" s="122">
        <v>45728</v>
      </c>
      <c r="E827" s="121"/>
      <c r="F827" s="121"/>
      <c r="G827" s="121"/>
      <c r="H827" s="121" t="s">
        <v>863</v>
      </c>
      <c r="I827" s="121"/>
      <c r="J827" s="121" t="s">
        <v>941</v>
      </c>
      <c r="K827" s="121"/>
      <c r="L827" s="121"/>
      <c r="M827" s="121"/>
      <c r="N827" s="123"/>
      <c r="O827" s="121"/>
      <c r="P827" s="121" t="s">
        <v>113</v>
      </c>
      <c r="Q827" s="121"/>
      <c r="R827" s="124">
        <v>4166.8100000000004</v>
      </c>
      <c r="S827" s="121"/>
      <c r="T827" s="124">
        <f t="shared" si="13"/>
        <v>138865.35999999999</v>
      </c>
    </row>
    <row r="828" spans="2:20" x14ac:dyDescent="0.4">
      <c r="B828" s="121" t="s">
        <v>108</v>
      </c>
      <c r="C828" s="121"/>
      <c r="D828" s="122">
        <v>45743</v>
      </c>
      <c r="E828" s="121"/>
      <c r="F828" s="121" t="s">
        <v>942</v>
      </c>
      <c r="G828" s="121"/>
      <c r="H828" s="121" t="s">
        <v>631</v>
      </c>
      <c r="I828" s="121"/>
      <c r="J828" s="121" t="s">
        <v>942</v>
      </c>
      <c r="K828" s="121"/>
      <c r="L828" s="121" t="s">
        <v>149</v>
      </c>
      <c r="M828" s="121"/>
      <c r="N828" s="123"/>
      <c r="O828" s="121"/>
      <c r="P828" s="121" t="s">
        <v>113</v>
      </c>
      <c r="Q828" s="121"/>
      <c r="R828" s="124">
        <v>48.11</v>
      </c>
      <c r="S828" s="121"/>
      <c r="T828" s="124">
        <f t="shared" si="13"/>
        <v>138913.47</v>
      </c>
    </row>
    <row r="829" spans="2:20" x14ac:dyDescent="0.4">
      <c r="B829" s="121" t="s">
        <v>108</v>
      </c>
      <c r="C829" s="121"/>
      <c r="D829" s="122">
        <v>45743</v>
      </c>
      <c r="E829" s="121"/>
      <c r="F829" s="121" t="s">
        <v>942</v>
      </c>
      <c r="G829" s="121"/>
      <c r="H829" s="121" t="s">
        <v>631</v>
      </c>
      <c r="I829" s="121"/>
      <c r="J829" s="121" t="s">
        <v>942</v>
      </c>
      <c r="K829" s="121"/>
      <c r="L829" s="121"/>
      <c r="M829" s="121"/>
      <c r="N829" s="123"/>
      <c r="O829" s="121"/>
      <c r="P829" s="121" t="s">
        <v>113</v>
      </c>
      <c r="Q829" s="121"/>
      <c r="R829" s="124">
        <v>486.4</v>
      </c>
      <c r="S829" s="121"/>
      <c r="T829" s="124">
        <f t="shared" si="13"/>
        <v>139399.87</v>
      </c>
    </row>
    <row r="830" spans="2:20" x14ac:dyDescent="0.4">
      <c r="B830" s="121" t="s">
        <v>135</v>
      </c>
      <c r="C830" s="121"/>
      <c r="D830" s="122">
        <v>45747</v>
      </c>
      <c r="E830" s="121"/>
      <c r="F830" s="121" t="s">
        <v>233</v>
      </c>
      <c r="G830" s="121"/>
      <c r="H830" s="121"/>
      <c r="I830" s="121"/>
      <c r="J830" s="121" t="s">
        <v>943</v>
      </c>
      <c r="K830" s="121"/>
      <c r="L830" s="121" t="s">
        <v>149</v>
      </c>
      <c r="M830" s="121"/>
      <c r="N830" s="123"/>
      <c r="O830" s="121"/>
      <c r="P830" s="121" t="s">
        <v>138</v>
      </c>
      <c r="Q830" s="121"/>
      <c r="R830" s="124">
        <v>-460.21</v>
      </c>
      <c r="S830" s="121"/>
      <c r="T830" s="124">
        <f t="shared" si="13"/>
        <v>138939.66</v>
      </c>
    </row>
    <row r="831" spans="2:20" x14ac:dyDescent="0.4">
      <c r="B831" s="121" t="s">
        <v>108</v>
      </c>
      <c r="C831" s="121"/>
      <c r="D831" s="122">
        <v>45755</v>
      </c>
      <c r="E831" s="121"/>
      <c r="F831" s="121" t="s">
        <v>944</v>
      </c>
      <c r="G831" s="121"/>
      <c r="H831" s="121" t="s">
        <v>863</v>
      </c>
      <c r="I831" s="121"/>
      <c r="J831" s="121" t="s">
        <v>945</v>
      </c>
      <c r="K831" s="121"/>
      <c r="L831" s="121" t="s">
        <v>149</v>
      </c>
      <c r="M831" s="121"/>
      <c r="N831" s="123"/>
      <c r="O831" s="121"/>
      <c r="P831" s="121" t="s">
        <v>113</v>
      </c>
      <c r="Q831" s="121"/>
      <c r="R831" s="124">
        <v>291.81</v>
      </c>
      <c r="S831" s="121"/>
      <c r="T831" s="124">
        <f t="shared" si="13"/>
        <v>139231.47</v>
      </c>
    </row>
    <row r="832" spans="2:20" x14ac:dyDescent="0.4">
      <c r="B832" s="121" t="s">
        <v>108</v>
      </c>
      <c r="C832" s="121"/>
      <c r="D832" s="122">
        <v>45755</v>
      </c>
      <c r="E832" s="121"/>
      <c r="F832" s="121" t="s">
        <v>944</v>
      </c>
      <c r="G832" s="121"/>
      <c r="H832" s="121" t="s">
        <v>863</v>
      </c>
      <c r="I832" s="121"/>
      <c r="J832" s="121" t="s">
        <v>945</v>
      </c>
      <c r="K832" s="121"/>
      <c r="L832" s="121"/>
      <c r="M832" s="121"/>
      <c r="N832" s="123"/>
      <c r="O832" s="121"/>
      <c r="P832" s="121" t="s">
        <v>113</v>
      </c>
      <c r="Q832" s="121"/>
      <c r="R832" s="124">
        <v>2950.48</v>
      </c>
      <c r="S832" s="121"/>
      <c r="T832" s="124">
        <f t="shared" si="13"/>
        <v>142181.95000000001</v>
      </c>
    </row>
    <row r="833" spans="2:20" x14ac:dyDescent="0.4">
      <c r="B833" s="121" t="s">
        <v>135</v>
      </c>
      <c r="C833" s="121"/>
      <c r="D833" s="122">
        <v>45777</v>
      </c>
      <c r="E833" s="121"/>
      <c r="F833" s="121" t="s">
        <v>233</v>
      </c>
      <c r="G833" s="121"/>
      <c r="H833" s="121"/>
      <c r="I833" s="121"/>
      <c r="J833" s="121" t="s">
        <v>946</v>
      </c>
      <c r="K833" s="121"/>
      <c r="L833" s="121" t="s">
        <v>149</v>
      </c>
      <c r="M833" s="121"/>
      <c r="N833" s="123"/>
      <c r="O833" s="121"/>
      <c r="P833" s="121" t="s">
        <v>138</v>
      </c>
      <c r="Q833" s="121"/>
      <c r="R833" s="124">
        <v>-291.81</v>
      </c>
      <c r="S833" s="121"/>
      <c r="T833" s="124">
        <f t="shared" si="13"/>
        <v>141890.14000000001</v>
      </c>
    </row>
    <row r="834" spans="2:20" x14ac:dyDescent="0.4">
      <c r="B834" s="121" t="s">
        <v>313</v>
      </c>
      <c r="C834" s="121"/>
      <c r="D834" s="122">
        <v>45783</v>
      </c>
      <c r="E834" s="121"/>
      <c r="F834" s="121"/>
      <c r="G834" s="121"/>
      <c r="H834" s="121"/>
      <c r="I834" s="121"/>
      <c r="J834" s="121" t="s">
        <v>947</v>
      </c>
      <c r="K834" s="121"/>
      <c r="L834" s="121"/>
      <c r="M834" s="121"/>
      <c r="N834" s="123"/>
      <c r="O834" s="121"/>
      <c r="P834" s="121" t="s">
        <v>948</v>
      </c>
      <c r="Q834" s="121"/>
      <c r="R834" s="124">
        <v>-500</v>
      </c>
      <c r="S834" s="121"/>
      <c r="T834" s="124">
        <f t="shared" si="13"/>
        <v>141390.14000000001</v>
      </c>
    </row>
    <row r="835" spans="2:20" x14ac:dyDescent="0.4">
      <c r="B835" s="121" t="s">
        <v>108</v>
      </c>
      <c r="C835" s="121"/>
      <c r="D835" s="122">
        <v>45812</v>
      </c>
      <c r="E835" s="121"/>
      <c r="F835" s="121" t="s">
        <v>949</v>
      </c>
      <c r="G835" s="121"/>
      <c r="H835" s="121" t="s">
        <v>597</v>
      </c>
      <c r="I835" s="121"/>
      <c r="J835" s="121" t="s">
        <v>949</v>
      </c>
      <c r="K835" s="121"/>
      <c r="L835" s="121" t="s">
        <v>149</v>
      </c>
      <c r="M835" s="121"/>
      <c r="N835" s="123"/>
      <c r="O835" s="121"/>
      <c r="P835" s="121" t="s">
        <v>113</v>
      </c>
      <c r="Q835" s="121"/>
      <c r="R835" s="124">
        <v>249.75</v>
      </c>
      <c r="S835" s="121"/>
      <c r="T835" s="124">
        <f t="shared" si="13"/>
        <v>141639.89000000001</v>
      </c>
    </row>
    <row r="836" spans="2:20" x14ac:dyDescent="0.4">
      <c r="B836" s="121" t="s">
        <v>108</v>
      </c>
      <c r="C836" s="121"/>
      <c r="D836" s="122">
        <v>45812</v>
      </c>
      <c r="E836" s="121"/>
      <c r="F836" s="121" t="s">
        <v>949</v>
      </c>
      <c r="G836" s="121"/>
      <c r="H836" s="121" t="s">
        <v>597</v>
      </c>
      <c r="I836" s="121"/>
      <c r="J836" s="121" t="s">
        <v>949</v>
      </c>
      <c r="K836" s="121"/>
      <c r="L836" s="121"/>
      <c r="M836" s="121"/>
      <c r="N836" s="123"/>
      <c r="O836" s="121"/>
      <c r="P836" s="121" t="s">
        <v>113</v>
      </c>
      <c r="Q836" s="121"/>
      <c r="R836" s="124">
        <v>2525.25</v>
      </c>
      <c r="S836" s="121"/>
      <c r="T836" s="124">
        <f t="shared" si="13"/>
        <v>144165.14000000001</v>
      </c>
    </row>
    <row r="837" spans="2:20" x14ac:dyDescent="0.4">
      <c r="B837" s="121" t="s">
        <v>108</v>
      </c>
      <c r="C837" s="121"/>
      <c r="D837" s="122">
        <v>45833</v>
      </c>
      <c r="E837" s="121"/>
      <c r="F837" s="121" t="s">
        <v>950</v>
      </c>
      <c r="G837" s="121"/>
      <c r="H837" s="121" t="s">
        <v>597</v>
      </c>
      <c r="I837" s="121"/>
      <c r="J837" s="121" t="s">
        <v>950</v>
      </c>
      <c r="K837" s="121"/>
      <c r="L837" s="121"/>
      <c r="M837" s="121"/>
      <c r="N837" s="123"/>
      <c r="O837" s="121"/>
      <c r="P837" s="121" t="s">
        <v>113</v>
      </c>
      <c r="Q837" s="121"/>
      <c r="R837" s="124">
        <v>572.4</v>
      </c>
      <c r="S837" s="121"/>
      <c r="T837" s="124">
        <f t="shared" si="13"/>
        <v>144737.54</v>
      </c>
    </row>
    <row r="838" spans="2:20" x14ac:dyDescent="0.4">
      <c r="B838" s="121" t="s">
        <v>108</v>
      </c>
      <c r="C838" s="121"/>
      <c r="D838" s="122">
        <v>45833</v>
      </c>
      <c r="E838" s="121"/>
      <c r="F838" s="121" t="s">
        <v>950</v>
      </c>
      <c r="G838" s="121"/>
      <c r="H838" s="121" t="s">
        <v>597</v>
      </c>
      <c r="I838" s="121"/>
      <c r="J838" s="121" t="s">
        <v>950</v>
      </c>
      <c r="K838" s="121"/>
      <c r="L838" s="121"/>
      <c r="M838" s="121"/>
      <c r="N838" s="123"/>
      <c r="O838" s="121"/>
      <c r="P838" s="121" t="s">
        <v>113</v>
      </c>
      <c r="Q838" s="121"/>
      <c r="R838" s="124">
        <v>5787.6</v>
      </c>
      <c r="S838" s="121"/>
      <c r="T838" s="124">
        <f t="shared" si="13"/>
        <v>150525.14000000001</v>
      </c>
    </row>
    <row r="839" spans="2:20" x14ac:dyDescent="0.4">
      <c r="B839" s="121" t="s">
        <v>135</v>
      </c>
      <c r="C839" s="121"/>
      <c r="D839" s="122">
        <v>45838</v>
      </c>
      <c r="E839" s="121"/>
      <c r="F839" s="121" t="s">
        <v>222</v>
      </c>
      <c r="G839" s="121"/>
      <c r="H839" s="121"/>
      <c r="I839" s="121"/>
      <c r="J839" s="121" t="s">
        <v>951</v>
      </c>
      <c r="K839" s="121"/>
      <c r="L839" s="121" t="s">
        <v>149</v>
      </c>
      <c r="M839" s="121"/>
      <c r="N839" s="123"/>
      <c r="O839" s="121"/>
      <c r="P839" s="121" t="s">
        <v>138</v>
      </c>
      <c r="Q839" s="121"/>
      <c r="R839" s="124">
        <v>-249.75</v>
      </c>
      <c r="S839" s="121"/>
      <c r="T839" s="124">
        <f t="shared" si="13"/>
        <v>150275.39000000001</v>
      </c>
    </row>
    <row r="840" spans="2:20" x14ac:dyDescent="0.4">
      <c r="B840" s="121" t="s">
        <v>108</v>
      </c>
      <c r="C840" s="121"/>
      <c r="D840" s="122">
        <v>45863</v>
      </c>
      <c r="E840" s="121"/>
      <c r="F840" s="121" t="s">
        <v>952</v>
      </c>
      <c r="G840" s="121"/>
      <c r="H840" s="121" t="s">
        <v>597</v>
      </c>
      <c r="I840" s="121"/>
      <c r="J840" s="121" t="s">
        <v>952</v>
      </c>
      <c r="K840" s="121"/>
      <c r="L840" s="121" t="s">
        <v>149</v>
      </c>
      <c r="M840" s="121"/>
      <c r="N840" s="123"/>
      <c r="O840" s="121"/>
      <c r="P840" s="121" t="s">
        <v>113</v>
      </c>
      <c r="Q840" s="121"/>
      <c r="R840" s="124">
        <v>166</v>
      </c>
      <c r="S840" s="121"/>
      <c r="T840" s="124">
        <f t="shared" si="13"/>
        <v>150441.39000000001</v>
      </c>
    </row>
    <row r="841" spans="2:20" x14ac:dyDescent="0.4">
      <c r="B841" s="121" t="s">
        <v>108</v>
      </c>
      <c r="C841" s="121"/>
      <c r="D841" s="122">
        <v>45863</v>
      </c>
      <c r="E841" s="121"/>
      <c r="F841" s="121" t="s">
        <v>952</v>
      </c>
      <c r="G841" s="121"/>
      <c r="H841" s="121" t="s">
        <v>597</v>
      </c>
      <c r="I841" s="121"/>
      <c r="J841" s="121" t="s">
        <v>952</v>
      </c>
      <c r="K841" s="121"/>
      <c r="L841" s="121"/>
      <c r="M841" s="121"/>
      <c r="N841" s="123"/>
      <c r="O841" s="121"/>
      <c r="P841" s="121" t="s">
        <v>113</v>
      </c>
      <c r="Q841" s="121"/>
      <c r="R841" s="124">
        <v>1678.4</v>
      </c>
      <c r="S841" s="121"/>
      <c r="T841" s="124">
        <f t="shared" si="13"/>
        <v>152119.79</v>
      </c>
    </row>
    <row r="842" spans="2:20" x14ac:dyDescent="0.4">
      <c r="B842" s="121" t="s">
        <v>135</v>
      </c>
      <c r="C842" s="121"/>
      <c r="D842" s="122">
        <v>45869</v>
      </c>
      <c r="E842" s="121"/>
      <c r="F842" s="121" t="s">
        <v>233</v>
      </c>
      <c r="G842" s="121"/>
      <c r="H842" s="121"/>
      <c r="I842" s="121"/>
      <c r="J842" s="121" t="s">
        <v>953</v>
      </c>
      <c r="K842" s="121"/>
      <c r="L842" s="121" t="s">
        <v>149</v>
      </c>
      <c r="M842" s="121"/>
      <c r="N842" s="123"/>
      <c r="O842" s="121"/>
      <c r="P842" s="121" t="s">
        <v>138</v>
      </c>
      <c r="Q842" s="121"/>
      <c r="R842" s="124">
        <v>-166</v>
      </c>
      <c r="S842" s="121"/>
      <c r="T842" s="124">
        <f t="shared" si="13"/>
        <v>151953.79</v>
      </c>
    </row>
    <row r="843" spans="2:20" x14ac:dyDescent="0.4">
      <c r="B843" s="121" t="s">
        <v>108</v>
      </c>
      <c r="C843" s="121"/>
      <c r="D843" s="122">
        <v>45918</v>
      </c>
      <c r="E843" s="121"/>
      <c r="F843" s="121" t="s">
        <v>954</v>
      </c>
      <c r="G843" s="121"/>
      <c r="H843" s="121" t="s">
        <v>732</v>
      </c>
      <c r="I843" s="121"/>
      <c r="J843" s="121" t="s">
        <v>954</v>
      </c>
      <c r="K843" s="121"/>
      <c r="L843" s="121" t="s">
        <v>149</v>
      </c>
      <c r="M843" s="121"/>
      <c r="N843" s="123"/>
      <c r="O843" s="121"/>
      <c r="P843" s="121" t="s">
        <v>113</v>
      </c>
      <c r="Q843" s="121"/>
      <c r="R843" s="124">
        <v>44.13</v>
      </c>
      <c r="S843" s="121"/>
      <c r="T843" s="124">
        <f t="shared" si="13"/>
        <v>151997.92000000001</v>
      </c>
    </row>
    <row r="844" spans="2:20" x14ac:dyDescent="0.4">
      <c r="B844" s="121" t="s">
        <v>108</v>
      </c>
      <c r="C844" s="121"/>
      <c r="D844" s="122">
        <v>45918</v>
      </c>
      <c r="E844" s="121"/>
      <c r="F844" s="121" t="s">
        <v>954</v>
      </c>
      <c r="G844" s="121"/>
      <c r="H844" s="121" t="s">
        <v>732</v>
      </c>
      <c r="I844" s="121"/>
      <c r="J844" s="121" t="s">
        <v>954</v>
      </c>
      <c r="K844" s="121"/>
      <c r="L844" s="121"/>
      <c r="M844" s="121"/>
      <c r="N844" s="123"/>
      <c r="O844" s="121"/>
      <c r="P844" s="121" t="s">
        <v>113</v>
      </c>
      <c r="Q844" s="121"/>
      <c r="R844" s="124">
        <v>446.23</v>
      </c>
      <c r="S844" s="121"/>
      <c r="T844" s="124">
        <f t="shared" ref="T844:T848" si="14">ROUND(T843+R844,5)</f>
        <v>152444.15</v>
      </c>
    </row>
    <row r="845" spans="2:20" x14ac:dyDescent="0.4">
      <c r="B845" s="121" t="s">
        <v>135</v>
      </c>
      <c r="C845" s="121"/>
      <c r="D845" s="122">
        <v>45930</v>
      </c>
      <c r="E845" s="121"/>
      <c r="F845" s="121" t="s">
        <v>801</v>
      </c>
      <c r="G845" s="121"/>
      <c r="H845" s="121"/>
      <c r="I845" s="121"/>
      <c r="J845" s="121" t="s">
        <v>955</v>
      </c>
      <c r="K845" s="121"/>
      <c r="L845" s="121" t="s">
        <v>149</v>
      </c>
      <c r="M845" s="121"/>
      <c r="N845" s="123"/>
      <c r="O845" s="121"/>
      <c r="P845" s="121" t="s">
        <v>138</v>
      </c>
      <c r="Q845" s="121"/>
      <c r="R845" s="124">
        <v>-44.13</v>
      </c>
      <c r="S845" s="121"/>
      <c r="T845" s="124">
        <f t="shared" si="14"/>
        <v>152400.01999999999</v>
      </c>
    </row>
    <row r="846" spans="2:20" x14ac:dyDescent="0.4">
      <c r="B846" s="121" t="s">
        <v>108</v>
      </c>
      <c r="C846" s="121"/>
      <c r="D846" s="122">
        <v>46012</v>
      </c>
      <c r="E846" s="121"/>
      <c r="F846" s="121" t="s">
        <v>956</v>
      </c>
      <c r="G846" s="121"/>
      <c r="H846" s="121" t="s">
        <v>597</v>
      </c>
      <c r="I846" s="121"/>
      <c r="J846" s="121" t="s">
        <v>956</v>
      </c>
      <c r="K846" s="121"/>
      <c r="L846" s="121" t="s">
        <v>149</v>
      </c>
      <c r="M846" s="121"/>
      <c r="N846" s="123"/>
      <c r="O846" s="121"/>
      <c r="P846" s="121" t="s">
        <v>113</v>
      </c>
      <c r="Q846" s="121"/>
      <c r="R846" s="124">
        <v>256.25</v>
      </c>
      <c r="S846" s="121"/>
      <c r="T846" s="124">
        <f t="shared" si="14"/>
        <v>152656.26999999999</v>
      </c>
    </row>
    <row r="847" spans="2:20" x14ac:dyDescent="0.4">
      <c r="B847" s="121" t="s">
        <v>108</v>
      </c>
      <c r="C847" s="121"/>
      <c r="D847" s="122">
        <v>46012</v>
      </c>
      <c r="E847" s="121"/>
      <c r="F847" s="121" t="s">
        <v>956</v>
      </c>
      <c r="G847" s="121"/>
      <c r="H847" s="121" t="s">
        <v>597</v>
      </c>
      <c r="I847" s="121"/>
      <c r="J847" s="121" t="s">
        <v>956</v>
      </c>
      <c r="K847" s="121"/>
      <c r="L847" s="121"/>
      <c r="M847" s="121"/>
      <c r="N847" s="123"/>
      <c r="O847" s="121"/>
      <c r="P847" s="121" t="s">
        <v>113</v>
      </c>
      <c r="Q847" s="121"/>
      <c r="R847" s="124">
        <v>2591.0100000000002</v>
      </c>
      <c r="S847" s="121"/>
      <c r="T847" s="124">
        <f t="shared" si="14"/>
        <v>155247.28</v>
      </c>
    </row>
    <row r="848" spans="2:20" ht="15" thickBot="1" x14ac:dyDescent="0.45">
      <c r="B848" s="121" t="s">
        <v>135</v>
      </c>
      <c r="C848" s="121"/>
      <c r="D848" s="122">
        <v>46022</v>
      </c>
      <c r="E848" s="121"/>
      <c r="F848" s="121" t="s">
        <v>240</v>
      </c>
      <c r="G848" s="121"/>
      <c r="H848" s="121"/>
      <c r="I848" s="121"/>
      <c r="J848" s="121" t="s">
        <v>957</v>
      </c>
      <c r="K848" s="121"/>
      <c r="L848" s="121" t="s">
        <v>149</v>
      </c>
      <c r="M848" s="121"/>
      <c r="N848" s="123"/>
      <c r="O848" s="121"/>
      <c r="P848" s="121" t="s">
        <v>138</v>
      </c>
      <c r="Q848" s="121"/>
      <c r="R848" s="124">
        <v>-256.25</v>
      </c>
      <c r="S848" s="121"/>
      <c r="T848" s="124">
        <f t="shared" si="14"/>
        <v>154991.03</v>
      </c>
    </row>
    <row r="849" spans="2:20" ht="15" thickBot="1" x14ac:dyDescent="0.45">
      <c r="B849" s="121"/>
      <c r="C849" s="121"/>
      <c r="D849" s="121"/>
      <c r="E849" s="121" t="s">
        <v>958</v>
      </c>
      <c r="F849" s="121"/>
      <c r="G849" s="121"/>
      <c r="H849" s="121"/>
      <c r="I849" s="121"/>
      <c r="J849" s="122"/>
      <c r="K849" s="121"/>
      <c r="L849" s="121"/>
      <c r="M849" s="121"/>
      <c r="N849" s="121"/>
      <c r="O849" s="121"/>
      <c r="P849" s="121"/>
      <c r="Q849" s="121"/>
      <c r="R849" s="125">
        <f>ROUND(SUM(R458:R848),5)</f>
        <v>154991.03</v>
      </c>
      <c r="S849" s="121"/>
      <c r="T849" s="125">
        <f>T848</f>
        <v>154991.03</v>
      </c>
    </row>
    <row r="850" spans="2:20" ht="15" thickBot="1" x14ac:dyDescent="0.45">
      <c r="B850" s="121"/>
      <c r="C850" s="121"/>
      <c r="D850" s="121" t="s">
        <v>959</v>
      </c>
      <c r="E850" s="121"/>
      <c r="F850" s="121"/>
      <c r="G850" s="121"/>
      <c r="H850" s="121"/>
      <c r="I850" s="121"/>
      <c r="J850" s="122"/>
      <c r="K850" s="121"/>
      <c r="L850" s="121"/>
      <c r="M850" s="121"/>
      <c r="N850" s="121"/>
      <c r="O850" s="121"/>
      <c r="P850" s="121"/>
      <c r="Q850" s="121"/>
      <c r="R850" s="125">
        <f>R849</f>
        <v>154991.03</v>
      </c>
      <c r="S850" s="121"/>
      <c r="T850" s="125">
        <f>T849</f>
        <v>154991.03</v>
      </c>
    </row>
    <row r="851" spans="2:20" ht="15" thickBot="1" x14ac:dyDescent="0.45">
      <c r="B851" s="121"/>
      <c r="C851" s="121" t="s">
        <v>960</v>
      </c>
      <c r="D851" s="121"/>
      <c r="E851" s="121"/>
      <c r="F851" s="121"/>
      <c r="G851" s="121"/>
      <c r="H851" s="121"/>
      <c r="I851" s="121"/>
      <c r="J851" s="122"/>
      <c r="K851" s="121"/>
      <c r="L851" s="121"/>
      <c r="M851" s="121"/>
      <c r="N851" s="121"/>
      <c r="O851" s="121"/>
      <c r="P851" s="121"/>
      <c r="Q851" s="121"/>
      <c r="R851" s="125">
        <f>R850</f>
        <v>154991.03</v>
      </c>
      <c r="S851" s="121"/>
      <c r="T851" s="125">
        <f>T850</f>
        <v>154991.03</v>
      </c>
    </row>
    <row r="852" spans="2:20" ht="15" thickBot="1" x14ac:dyDescent="0.45">
      <c r="B852" s="117" t="s">
        <v>33</v>
      </c>
      <c r="C852" s="117"/>
      <c r="D852" s="117"/>
      <c r="E852" s="117"/>
      <c r="F852" s="117"/>
      <c r="G852" s="117"/>
      <c r="H852" s="117"/>
      <c r="I852" s="117"/>
      <c r="J852" s="118"/>
      <c r="K852" s="117"/>
      <c r="L852" s="117"/>
      <c r="M852" s="117"/>
      <c r="N852" s="117"/>
      <c r="O852" s="117"/>
      <c r="P852" s="117"/>
      <c r="Q852" s="117"/>
      <c r="R852" s="126">
        <f>R851</f>
        <v>154991.03</v>
      </c>
      <c r="S852" s="117"/>
      <c r="T852" s="126">
        <f>T851</f>
        <v>154991.03</v>
      </c>
    </row>
    <row r="853" spans="2:20" ht="15" thickTop="1" x14ac:dyDescent="0.4"/>
    <row r="857" spans="2:20" ht="15.45" x14ac:dyDescent="0.4">
      <c r="B857" s="110" t="s">
        <v>92</v>
      </c>
      <c r="C857" s="109"/>
      <c r="D857" s="109"/>
      <c r="E857" s="109"/>
      <c r="F857" s="109"/>
      <c r="G857" s="109"/>
      <c r="H857" s="133" t="s">
        <v>961</v>
      </c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11" t="s">
        <v>962</v>
      </c>
    </row>
    <row r="858" spans="2:20" ht="17.600000000000001" x14ac:dyDescent="0.4">
      <c r="B858" s="112" t="s">
        <v>95</v>
      </c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13">
        <v>46065</v>
      </c>
    </row>
    <row r="859" spans="2:20" x14ac:dyDescent="0.4">
      <c r="B859" s="114" t="s">
        <v>96</v>
      </c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11" t="s">
        <v>97</v>
      </c>
    </row>
    <row r="860" spans="2:20" ht="15" thickBot="1" x14ac:dyDescent="0.45">
      <c r="B860" s="116" t="s">
        <v>98</v>
      </c>
      <c r="C860" s="115"/>
      <c r="D860" s="116" t="s">
        <v>99</v>
      </c>
      <c r="E860" s="115"/>
      <c r="F860" s="116" t="s">
        <v>100</v>
      </c>
      <c r="G860" s="115"/>
      <c r="H860" s="116" t="s">
        <v>101</v>
      </c>
      <c r="I860" s="115"/>
      <c r="J860" s="116" t="s">
        <v>102</v>
      </c>
      <c r="K860" s="115"/>
      <c r="L860" s="116" t="s">
        <v>103</v>
      </c>
      <c r="M860" s="115"/>
      <c r="N860" s="116" t="s">
        <v>104</v>
      </c>
      <c r="O860" s="115"/>
      <c r="P860" s="116" t="s">
        <v>105</v>
      </c>
      <c r="Q860" s="115"/>
      <c r="R860" s="116" t="s">
        <v>106</v>
      </c>
      <c r="S860" s="115"/>
      <c r="T860" s="116" t="s">
        <v>107</v>
      </c>
    </row>
    <row r="861" spans="2:20" ht="15" thickTop="1" x14ac:dyDescent="0.4">
      <c r="B861" s="117"/>
      <c r="C861" s="117" t="s">
        <v>593</v>
      </c>
      <c r="D861" s="117"/>
      <c r="E861" s="117"/>
      <c r="F861" s="117"/>
      <c r="G861" s="117"/>
      <c r="H861" s="117"/>
      <c r="I861" s="117"/>
      <c r="J861" s="118"/>
      <c r="K861" s="117"/>
      <c r="L861" s="117"/>
      <c r="M861" s="117"/>
      <c r="N861" s="117"/>
      <c r="O861" s="117"/>
      <c r="P861" s="117"/>
      <c r="Q861" s="117"/>
      <c r="R861" s="117"/>
      <c r="S861" s="117"/>
      <c r="T861" s="119">
        <v>0</v>
      </c>
    </row>
    <row r="862" spans="2:20" x14ac:dyDescent="0.4">
      <c r="B862" s="117"/>
      <c r="C862" s="117"/>
      <c r="D862" s="117" t="s">
        <v>594</v>
      </c>
      <c r="E862" s="117"/>
      <c r="F862" s="117"/>
      <c r="G862" s="117"/>
      <c r="H862" s="117"/>
      <c r="I862" s="117"/>
      <c r="J862" s="118"/>
      <c r="K862" s="117"/>
      <c r="L862" s="117"/>
      <c r="M862" s="117"/>
      <c r="N862" s="117"/>
      <c r="O862" s="117"/>
      <c r="P862" s="117"/>
      <c r="Q862" s="117"/>
      <c r="R862" s="117"/>
      <c r="S862" s="117"/>
      <c r="T862" s="119">
        <v>0</v>
      </c>
    </row>
    <row r="863" spans="2:20" x14ac:dyDescent="0.4">
      <c r="B863" s="117"/>
      <c r="C863" s="117"/>
      <c r="D863" s="117"/>
      <c r="E863" s="117" t="s">
        <v>805</v>
      </c>
      <c r="F863" s="117"/>
      <c r="G863" s="117"/>
      <c r="H863" s="117"/>
      <c r="I863" s="117"/>
      <c r="J863" s="118"/>
      <c r="K863" s="117"/>
      <c r="L863" s="117"/>
      <c r="M863" s="117"/>
      <c r="N863" s="117"/>
      <c r="O863" s="117"/>
      <c r="P863" s="117"/>
      <c r="Q863" s="117"/>
      <c r="R863" s="117"/>
      <c r="S863" s="117"/>
      <c r="T863" s="119">
        <v>0</v>
      </c>
    </row>
    <row r="864" spans="2:20" x14ac:dyDescent="0.4">
      <c r="B864" s="121" t="s">
        <v>108</v>
      </c>
      <c r="C864" s="121"/>
      <c r="D864" s="122">
        <v>41801</v>
      </c>
      <c r="E864" s="121"/>
      <c r="F864" s="121" t="s">
        <v>963</v>
      </c>
      <c r="G864" s="121"/>
      <c r="H864" s="121" t="s">
        <v>601</v>
      </c>
      <c r="I864" s="121"/>
      <c r="J864" s="121" t="s">
        <v>963</v>
      </c>
      <c r="K864" s="121"/>
      <c r="L864" s="121"/>
      <c r="M864" s="121"/>
      <c r="N864" s="123"/>
      <c r="O864" s="121"/>
      <c r="P864" s="121" t="s">
        <v>113</v>
      </c>
      <c r="Q864" s="121"/>
      <c r="R864" s="124">
        <v>1478.75</v>
      </c>
      <c r="S864" s="121"/>
      <c r="T864" s="124">
        <f>ROUND(T863+R864,5)</f>
        <v>1478.75</v>
      </c>
    </row>
    <row r="865" spans="2:20" x14ac:dyDescent="0.4">
      <c r="B865" s="121" t="s">
        <v>108</v>
      </c>
      <c r="C865" s="121"/>
      <c r="D865" s="122">
        <v>41801</v>
      </c>
      <c r="E865" s="121"/>
      <c r="F865" s="121" t="s">
        <v>964</v>
      </c>
      <c r="G865" s="121"/>
      <c r="H865" s="121" t="s">
        <v>601</v>
      </c>
      <c r="I865" s="121"/>
      <c r="J865" s="121" t="s">
        <v>964</v>
      </c>
      <c r="K865" s="121"/>
      <c r="L865" s="121"/>
      <c r="M865" s="121"/>
      <c r="N865" s="123"/>
      <c r="O865" s="121"/>
      <c r="P865" s="121" t="s">
        <v>113</v>
      </c>
      <c r="Q865" s="121"/>
      <c r="R865" s="124">
        <v>1478.75</v>
      </c>
      <c r="S865" s="121"/>
      <c r="T865" s="124">
        <f t="shared" ref="T865:T897" si="15">ROUND(T864+R865,5)</f>
        <v>2957.5</v>
      </c>
    </row>
    <row r="866" spans="2:20" x14ac:dyDescent="0.4">
      <c r="B866" s="121" t="s">
        <v>135</v>
      </c>
      <c r="C866" s="121"/>
      <c r="D866" s="122">
        <v>42400</v>
      </c>
      <c r="E866" s="121"/>
      <c r="F866" s="121" t="s">
        <v>164</v>
      </c>
      <c r="G866" s="121"/>
      <c r="H866" s="121" t="s">
        <v>165</v>
      </c>
      <c r="I866" s="121"/>
      <c r="J866" s="121" t="s">
        <v>199</v>
      </c>
      <c r="K866" s="121"/>
      <c r="L866" s="121"/>
      <c r="M866" s="121"/>
      <c r="N866" s="123"/>
      <c r="O866" s="121"/>
      <c r="P866" s="121" t="s">
        <v>167</v>
      </c>
      <c r="Q866" s="121"/>
      <c r="R866" s="124">
        <v>-65</v>
      </c>
      <c r="S866" s="121"/>
      <c r="T866" s="124">
        <f t="shared" si="15"/>
        <v>2892.5</v>
      </c>
    </row>
    <row r="867" spans="2:20" x14ac:dyDescent="0.4">
      <c r="B867" s="121" t="s">
        <v>135</v>
      </c>
      <c r="C867" s="121"/>
      <c r="D867" s="122">
        <v>42735</v>
      </c>
      <c r="E867" s="121"/>
      <c r="F867" s="121" t="s">
        <v>803</v>
      </c>
      <c r="G867" s="121"/>
      <c r="H867" s="121"/>
      <c r="I867" s="121"/>
      <c r="J867" s="121" t="s">
        <v>804</v>
      </c>
      <c r="K867" s="121"/>
      <c r="L867" s="121"/>
      <c r="M867" s="121"/>
      <c r="N867" s="123"/>
      <c r="O867" s="121"/>
      <c r="P867" s="121" t="s">
        <v>672</v>
      </c>
      <c r="Q867" s="121"/>
      <c r="R867" s="124">
        <v>65</v>
      </c>
      <c r="S867" s="121"/>
      <c r="T867" s="124">
        <f t="shared" si="15"/>
        <v>2957.5</v>
      </c>
    </row>
    <row r="868" spans="2:20" x14ac:dyDescent="0.4">
      <c r="B868" s="121" t="s">
        <v>108</v>
      </c>
      <c r="C868" s="121"/>
      <c r="D868" s="122">
        <v>43115</v>
      </c>
      <c r="E868" s="121"/>
      <c r="F868" s="121" t="s">
        <v>965</v>
      </c>
      <c r="G868" s="121"/>
      <c r="H868" s="121" t="s">
        <v>966</v>
      </c>
      <c r="I868" s="121"/>
      <c r="J868" s="121" t="s">
        <v>965</v>
      </c>
      <c r="K868" s="121"/>
      <c r="L868" s="121"/>
      <c r="M868" s="121"/>
      <c r="N868" s="123"/>
      <c r="O868" s="121"/>
      <c r="P868" s="121" t="s">
        <v>113</v>
      </c>
      <c r="Q868" s="121"/>
      <c r="R868" s="124">
        <v>106</v>
      </c>
      <c r="S868" s="121"/>
      <c r="T868" s="124">
        <f t="shared" si="15"/>
        <v>3063.5</v>
      </c>
    </row>
    <row r="869" spans="2:20" x14ac:dyDescent="0.4">
      <c r="B869" s="121" t="s">
        <v>108</v>
      </c>
      <c r="C869" s="121"/>
      <c r="D869" s="122">
        <v>43242</v>
      </c>
      <c r="E869" s="121"/>
      <c r="F869" s="121" t="s">
        <v>967</v>
      </c>
      <c r="G869" s="121"/>
      <c r="H869" s="121" t="s">
        <v>601</v>
      </c>
      <c r="I869" s="121"/>
      <c r="J869" s="121" t="s">
        <v>968</v>
      </c>
      <c r="K869" s="121"/>
      <c r="L869" s="121"/>
      <c r="M869" s="121"/>
      <c r="N869" s="123"/>
      <c r="O869" s="121"/>
      <c r="P869" s="121" t="s">
        <v>113</v>
      </c>
      <c r="Q869" s="121"/>
      <c r="R869" s="124">
        <v>5411.84</v>
      </c>
      <c r="S869" s="121"/>
      <c r="T869" s="124">
        <f t="shared" si="15"/>
        <v>8475.34</v>
      </c>
    </row>
    <row r="870" spans="2:20" x14ac:dyDescent="0.4">
      <c r="B870" s="121" t="s">
        <v>108</v>
      </c>
      <c r="C870" s="121"/>
      <c r="D870" s="122">
        <v>43327</v>
      </c>
      <c r="E870" s="121"/>
      <c r="F870" s="121" t="s">
        <v>969</v>
      </c>
      <c r="G870" s="121"/>
      <c r="H870" s="121" t="s">
        <v>601</v>
      </c>
      <c r="I870" s="121"/>
      <c r="J870" s="121" t="s">
        <v>969</v>
      </c>
      <c r="K870" s="121"/>
      <c r="L870" s="121"/>
      <c r="M870" s="121"/>
      <c r="N870" s="123"/>
      <c r="O870" s="121"/>
      <c r="P870" s="121" t="s">
        <v>113</v>
      </c>
      <c r="Q870" s="121"/>
      <c r="R870" s="124">
        <v>975</v>
      </c>
      <c r="S870" s="121"/>
      <c r="T870" s="124">
        <f t="shared" si="15"/>
        <v>9450.34</v>
      </c>
    </row>
    <row r="871" spans="2:20" x14ac:dyDescent="0.4">
      <c r="B871" s="121" t="s">
        <v>108</v>
      </c>
      <c r="C871" s="121"/>
      <c r="D871" s="122">
        <v>43508</v>
      </c>
      <c r="E871" s="121"/>
      <c r="F871" s="121" t="s">
        <v>622</v>
      </c>
      <c r="G871" s="121"/>
      <c r="H871" s="121" t="s">
        <v>623</v>
      </c>
      <c r="I871" s="121"/>
      <c r="J871" s="121" t="s">
        <v>624</v>
      </c>
      <c r="K871" s="121"/>
      <c r="L871" s="121"/>
      <c r="M871" s="121"/>
      <c r="N871" s="123"/>
      <c r="O871" s="121"/>
      <c r="P871" s="121" t="s">
        <v>113</v>
      </c>
      <c r="Q871" s="121"/>
      <c r="R871" s="124">
        <v>3683.5</v>
      </c>
      <c r="S871" s="121"/>
      <c r="T871" s="124">
        <f t="shared" si="15"/>
        <v>13133.84</v>
      </c>
    </row>
    <row r="872" spans="2:20" x14ac:dyDescent="0.4">
      <c r="B872" s="121" t="s">
        <v>108</v>
      </c>
      <c r="C872" s="121"/>
      <c r="D872" s="122">
        <v>44118</v>
      </c>
      <c r="E872" s="121"/>
      <c r="F872" s="121" t="s">
        <v>970</v>
      </c>
      <c r="G872" s="121"/>
      <c r="H872" s="121" t="s">
        <v>966</v>
      </c>
      <c r="I872" s="121"/>
      <c r="J872" s="121" t="s">
        <v>971</v>
      </c>
      <c r="K872" s="121"/>
      <c r="L872" s="121"/>
      <c r="M872" s="121"/>
      <c r="N872" s="123"/>
      <c r="O872" s="121"/>
      <c r="P872" s="121" t="s">
        <v>113</v>
      </c>
      <c r="Q872" s="121"/>
      <c r="R872" s="124">
        <v>667.8</v>
      </c>
      <c r="S872" s="121"/>
      <c r="T872" s="124">
        <f t="shared" si="15"/>
        <v>13801.64</v>
      </c>
    </row>
    <row r="873" spans="2:20" x14ac:dyDescent="0.4">
      <c r="B873" s="121" t="s">
        <v>108</v>
      </c>
      <c r="C873" s="121"/>
      <c r="D873" s="122">
        <v>44174</v>
      </c>
      <c r="E873" s="121"/>
      <c r="F873" s="121" t="s">
        <v>972</v>
      </c>
      <c r="G873" s="121"/>
      <c r="H873" s="121" t="s">
        <v>966</v>
      </c>
      <c r="I873" s="121"/>
      <c r="J873" s="121" t="s">
        <v>972</v>
      </c>
      <c r="K873" s="121"/>
      <c r="L873" s="121"/>
      <c r="M873" s="121"/>
      <c r="N873" s="123"/>
      <c r="O873" s="121"/>
      <c r="P873" s="121" t="s">
        <v>113</v>
      </c>
      <c r="Q873" s="121"/>
      <c r="R873" s="124">
        <v>437.78</v>
      </c>
      <c r="S873" s="121"/>
      <c r="T873" s="124">
        <f t="shared" si="15"/>
        <v>14239.42</v>
      </c>
    </row>
    <row r="874" spans="2:20" x14ac:dyDescent="0.4">
      <c r="B874" s="121" t="s">
        <v>108</v>
      </c>
      <c r="C874" s="121"/>
      <c r="D874" s="122">
        <v>44201</v>
      </c>
      <c r="E874" s="121"/>
      <c r="F874" s="121" t="s">
        <v>633</v>
      </c>
      <c r="G874" s="121"/>
      <c r="H874" s="121" t="s">
        <v>110</v>
      </c>
      <c r="I874" s="121"/>
      <c r="J874" s="121" t="s">
        <v>973</v>
      </c>
      <c r="K874" s="121"/>
      <c r="L874" s="121"/>
      <c r="M874" s="121"/>
      <c r="N874" s="123"/>
      <c r="O874" s="121"/>
      <c r="P874" s="121" t="s">
        <v>113</v>
      </c>
      <c r="Q874" s="121"/>
      <c r="R874" s="124">
        <v>1067.95</v>
      </c>
      <c r="S874" s="121"/>
      <c r="T874" s="124">
        <f t="shared" si="15"/>
        <v>15307.37</v>
      </c>
    </row>
    <row r="875" spans="2:20" x14ac:dyDescent="0.4">
      <c r="B875" s="121" t="s">
        <v>108</v>
      </c>
      <c r="C875" s="121"/>
      <c r="D875" s="122">
        <v>44211</v>
      </c>
      <c r="E875" s="121"/>
      <c r="F875" s="121" t="s">
        <v>974</v>
      </c>
      <c r="G875" s="121"/>
      <c r="H875" s="121" t="s">
        <v>966</v>
      </c>
      <c r="I875" s="121"/>
      <c r="J875" s="121" t="s">
        <v>974</v>
      </c>
      <c r="K875" s="121"/>
      <c r="L875" s="121"/>
      <c r="M875" s="121"/>
      <c r="N875" s="123"/>
      <c r="O875" s="121"/>
      <c r="P875" s="121" t="s">
        <v>113</v>
      </c>
      <c r="Q875" s="121"/>
      <c r="R875" s="124">
        <v>106</v>
      </c>
      <c r="S875" s="121"/>
      <c r="T875" s="124">
        <f t="shared" si="15"/>
        <v>15413.37</v>
      </c>
    </row>
    <row r="876" spans="2:20" x14ac:dyDescent="0.4">
      <c r="B876" s="121" t="s">
        <v>135</v>
      </c>
      <c r="C876" s="121"/>
      <c r="D876" s="122">
        <v>44227</v>
      </c>
      <c r="E876" s="121"/>
      <c r="F876" s="121" t="s">
        <v>164</v>
      </c>
      <c r="G876" s="121"/>
      <c r="H876" s="121" t="s">
        <v>165</v>
      </c>
      <c r="I876" s="121"/>
      <c r="J876" s="121" t="s">
        <v>975</v>
      </c>
      <c r="K876" s="121"/>
      <c r="L876" s="121"/>
      <c r="M876" s="121"/>
      <c r="N876" s="123"/>
      <c r="O876" s="121"/>
      <c r="P876" s="121" t="s">
        <v>167</v>
      </c>
      <c r="Q876" s="121"/>
      <c r="R876" s="124">
        <v>-106</v>
      </c>
      <c r="S876" s="121"/>
      <c r="T876" s="124">
        <f t="shared" si="15"/>
        <v>15307.37</v>
      </c>
    </row>
    <row r="877" spans="2:20" x14ac:dyDescent="0.4">
      <c r="B877" s="121" t="s">
        <v>108</v>
      </c>
      <c r="C877" s="121"/>
      <c r="D877" s="122">
        <v>44259</v>
      </c>
      <c r="E877" s="121"/>
      <c r="F877" s="121" t="s">
        <v>976</v>
      </c>
      <c r="G877" s="121"/>
      <c r="H877" s="121" t="s">
        <v>977</v>
      </c>
      <c r="I877" s="121"/>
      <c r="J877" s="121" t="s">
        <v>978</v>
      </c>
      <c r="K877" s="121"/>
      <c r="L877" s="121"/>
      <c r="M877" s="121"/>
      <c r="N877" s="123"/>
      <c r="O877" s="121"/>
      <c r="P877" s="121" t="s">
        <v>113</v>
      </c>
      <c r="Q877" s="121"/>
      <c r="R877" s="124">
        <v>618.94000000000005</v>
      </c>
      <c r="S877" s="121"/>
      <c r="T877" s="124">
        <f t="shared" si="15"/>
        <v>15926.31</v>
      </c>
    </row>
    <row r="878" spans="2:20" x14ac:dyDescent="0.4">
      <c r="B878" s="121" t="s">
        <v>108</v>
      </c>
      <c r="C878" s="121"/>
      <c r="D878" s="122">
        <v>44259</v>
      </c>
      <c r="E878" s="121"/>
      <c r="F878" s="121" t="s">
        <v>979</v>
      </c>
      <c r="G878" s="121"/>
      <c r="H878" s="121" t="s">
        <v>977</v>
      </c>
      <c r="I878" s="121"/>
      <c r="J878" s="121" t="s">
        <v>980</v>
      </c>
      <c r="K878" s="121"/>
      <c r="L878" s="121"/>
      <c r="M878" s="121"/>
      <c r="N878" s="123"/>
      <c r="O878" s="121"/>
      <c r="P878" s="121" t="s">
        <v>113</v>
      </c>
      <c r="Q878" s="121"/>
      <c r="R878" s="124">
        <v>86.59</v>
      </c>
      <c r="S878" s="121"/>
      <c r="T878" s="124">
        <f t="shared" si="15"/>
        <v>16012.9</v>
      </c>
    </row>
    <row r="879" spans="2:20" x14ac:dyDescent="0.4">
      <c r="B879" s="121" t="s">
        <v>135</v>
      </c>
      <c r="C879" s="121"/>
      <c r="D879" s="122">
        <v>44347</v>
      </c>
      <c r="E879" s="121"/>
      <c r="F879" s="121" t="s">
        <v>164</v>
      </c>
      <c r="G879" s="121"/>
      <c r="H879" s="121" t="s">
        <v>165</v>
      </c>
      <c r="I879" s="121"/>
      <c r="J879" s="121" t="s">
        <v>981</v>
      </c>
      <c r="K879" s="121"/>
      <c r="L879" s="121"/>
      <c r="M879" s="121"/>
      <c r="N879" s="123"/>
      <c r="O879" s="121"/>
      <c r="P879" s="121" t="s">
        <v>167</v>
      </c>
      <c r="Q879" s="121"/>
      <c r="R879" s="124">
        <v>-75</v>
      </c>
      <c r="S879" s="121"/>
      <c r="T879" s="124">
        <f t="shared" si="15"/>
        <v>15937.9</v>
      </c>
    </row>
    <row r="880" spans="2:20" x14ac:dyDescent="0.4">
      <c r="B880" s="121" t="s">
        <v>135</v>
      </c>
      <c r="C880" s="121"/>
      <c r="D880" s="122">
        <v>44561</v>
      </c>
      <c r="E880" s="121"/>
      <c r="F880" s="121" t="s">
        <v>164</v>
      </c>
      <c r="G880" s="121"/>
      <c r="H880" s="121" t="s">
        <v>165</v>
      </c>
      <c r="I880" s="121"/>
      <c r="J880" s="121" t="s">
        <v>489</v>
      </c>
      <c r="K880" s="121"/>
      <c r="L880" s="121"/>
      <c r="M880" s="121"/>
      <c r="N880" s="123"/>
      <c r="O880" s="121"/>
      <c r="P880" s="121" t="s">
        <v>167</v>
      </c>
      <c r="Q880" s="121"/>
      <c r="R880" s="124">
        <v>-75</v>
      </c>
      <c r="S880" s="121"/>
      <c r="T880" s="124">
        <f t="shared" si="15"/>
        <v>15862.9</v>
      </c>
    </row>
    <row r="881" spans="2:20" x14ac:dyDescent="0.4">
      <c r="B881" s="121" t="s">
        <v>108</v>
      </c>
      <c r="C881" s="121"/>
      <c r="D881" s="122">
        <v>44594</v>
      </c>
      <c r="E881" s="121"/>
      <c r="F881" s="121" t="s">
        <v>982</v>
      </c>
      <c r="G881" s="121"/>
      <c r="H881" s="121" t="s">
        <v>966</v>
      </c>
      <c r="I881" s="121"/>
      <c r="J881" s="121" t="s">
        <v>983</v>
      </c>
      <c r="K881" s="121"/>
      <c r="L881" s="121"/>
      <c r="M881" s="121"/>
      <c r="N881" s="123"/>
      <c r="O881" s="121"/>
      <c r="P881" s="121" t="s">
        <v>113</v>
      </c>
      <c r="Q881" s="121"/>
      <c r="R881" s="124">
        <v>339.2</v>
      </c>
      <c r="S881" s="121"/>
      <c r="T881" s="124">
        <f t="shared" si="15"/>
        <v>16202.1</v>
      </c>
    </row>
    <row r="882" spans="2:20" x14ac:dyDescent="0.4">
      <c r="B882" s="121" t="s">
        <v>135</v>
      </c>
      <c r="C882" s="121"/>
      <c r="D882" s="122">
        <v>44620</v>
      </c>
      <c r="E882" s="121"/>
      <c r="F882" s="121" t="s">
        <v>164</v>
      </c>
      <c r="G882" s="121"/>
      <c r="H882" s="121" t="s">
        <v>165</v>
      </c>
      <c r="I882" s="121"/>
      <c r="J882" s="121" t="s">
        <v>498</v>
      </c>
      <c r="K882" s="121"/>
      <c r="L882" s="121"/>
      <c r="M882" s="121"/>
      <c r="N882" s="123"/>
      <c r="O882" s="121"/>
      <c r="P882" s="121" t="s">
        <v>167</v>
      </c>
      <c r="Q882" s="121"/>
      <c r="R882" s="124">
        <v>-50</v>
      </c>
      <c r="S882" s="121"/>
      <c r="T882" s="124">
        <f t="shared" si="15"/>
        <v>16152.1</v>
      </c>
    </row>
    <row r="883" spans="2:20" x14ac:dyDescent="0.4">
      <c r="B883" s="121" t="s">
        <v>135</v>
      </c>
      <c r="C883" s="121"/>
      <c r="D883" s="122">
        <v>44742</v>
      </c>
      <c r="E883" s="121"/>
      <c r="F883" s="121" t="s">
        <v>164</v>
      </c>
      <c r="G883" s="121"/>
      <c r="H883" s="121" t="s">
        <v>165</v>
      </c>
      <c r="I883" s="121"/>
      <c r="J883" s="121" t="s">
        <v>505</v>
      </c>
      <c r="K883" s="121"/>
      <c r="L883" s="121"/>
      <c r="M883" s="121"/>
      <c r="N883" s="123"/>
      <c r="O883" s="121"/>
      <c r="P883" s="121" t="s">
        <v>167</v>
      </c>
      <c r="Q883" s="121"/>
      <c r="R883" s="124">
        <v>-50</v>
      </c>
      <c r="S883" s="121"/>
      <c r="T883" s="124">
        <f t="shared" si="15"/>
        <v>16102.1</v>
      </c>
    </row>
    <row r="884" spans="2:20" x14ac:dyDescent="0.4">
      <c r="B884" s="121" t="s">
        <v>135</v>
      </c>
      <c r="C884" s="121"/>
      <c r="D884" s="122">
        <v>44804</v>
      </c>
      <c r="E884" s="121"/>
      <c r="F884" s="121" t="s">
        <v>164</v>
      </c>
      <c r="G884" s="121"/>
      <c r="H884" s="121" t="s">
        <v>165</v>
      </c>
      <c r="I884" s="121"/>
      <c r="J884" s="121" t="s">
        <v>508</v>
      </c>
      <c r="K884" s="121"/>
      <c r="L884" s="121"/>
      <c r="M884" s="121"/>
      <c r="N884" s="123"/>
      <c r="O884" s="121"/>
      <c r="P884" s="121" t="s">
        <v>167</v>
      </c>
      <c r="Q884" s="121"/>
      <c r="R884" s="124">
        <v>-40</v>
      </c>
      <c r="S884" s="121"/>
      <c r="T884" s="124">
        <f t="shared" si="15"/>
        <v>16062.1</v>
      </c>
    </row>
    <row r="885" spans="2:20" x14ac:dyDescent="0.4">
      <c r="B885" s="121" t="s">
        <v>108</v>
      </c>
      <c r="C885" s="121"/>
      <c r="D885" s="122">
        <v>44880</v>
      </c>
      <c r="E885" s="121"/>
      <c r="F885" s="121" t="s">
        <v>984</v>
      </c>
      <c r="G885" s="121"/>
      <c r="H885" s="121" t="s">
        <v>966</v>
      </c>
      <c r="I885" s="121"/>
      <c r="J885" s="121" t="s">
        <v>985</v>
      </c>
      <c r="K885" s="121"/>
      <c r="L885" s="121"/>
      <c r="M885" s="121"/>
      <c r="N885" s="123"/>
      <c r="O885" s="121"/>
      <c r="P885" s="121" t="s">
        <v>113</v>
      </c>
      <c r="Q885" s="121"/>
      <c r="R885" s="124">
        <v>290.07</v>
      </c>
      <c r="S885" s="121"/>
      <c r="T885" s="124">
        <f t="shared" si="15"/>
        <v>16352.17</v>
      </c>
    </row>
    <row r="886" spans="2:20" x14ac:dyDescent="0.4">
      <c r="B886" s="121" t="s">
        <v>108</v>
      </c>
      <c r="C886" s="121"/>
      <c r="D886" s="122">
        <v>44886</v>
      </c>
      <c r="E886" s="121"/>
      <c r="F886" s="121" t="s">
        <v>986</v>
      </c>
      <c r="G886" s="121"/>
      <c r="H886" s="121" t="s">
        <v>623</v>
      </c>
      <c r="I886" s="121"/>
      <c r="J886" s="121" t="s">
        <v>987</v>
      </c>
      <c r="K886" s="121"/>
      <c r="L886" s="121"/>
      <c r="M886" s="121"/>
      <c r="N886" s="123"/>
      <c r="O886" s="121"/>
      <c r="P886" s="121" t="s">
        <v>113</v>
      </c>
      <c r="Q886" s="121"/>
      <c r="R886" s="124">
        <v>9145.7099999999991</v>
      </c>
      <c r="S886" s="121"/>
      <c r="T886" s="124">
        <f t="shared" si="15"/>
        <v>25497.88</v>
      </c>
    </row>
    <row r="887" spans="2:20" x14ac:dyDescent="0.4">
      <c r="B887" s="121" t="s">
        <v>108</v>
      </c>
      <c r="C887" s="121"/>
      <c r="D887" s="122">
        <v>45208</v>
      </c>
      <c r="E887" s="121"/>
      <c r="F887" s="121" t="s">
        <v>325</v>
      </c>
      <c r="G887" s="121"/>
      <c r="H887" s="121" t="s">
        <v>305</v>
      </c>
      <c r="I887" s="121"/>
      <c r="J887" s="121" t="s">
        <v>988</v>
      </c>
      <c r="K887" s="121"/>
      <c r="L887" s="121"/>
      <c r="M887" s="121"/>
      <c r="N887" s="123"/>
      <c r="O887" s="121"/>
      <c r="P887" s="121" t="s">
        <v>113</v>
      </c>
      <c r="Q887" s="121"/>
      <c r="R887" s="124">
        <v>3080.17</v>
      </c>
      <c r="S887" s="121"/>
      <c r="T887" s="124">
        <f t="shared" si="15"/>
        <v>28578.05</v>
      </c>
    </row>
    <row r="888" spans="2:20" x14ac:dyDescent="0.4">
      <c r="B888" s="121" t="s">
        <v>135</v>
      </c>
      <c r="C888" s="121"/>
      <c r="D888" s="122">
        <v>45322</v>
      </c>
      <c r="E888" s="121"/>
      <c r="F888" s="121" t="s">
        <v>164</v>
      </c>
      <c r="G888" s="121"/>
      <c r="H888" s="121" t="s">
        <v>165</v>
      </c>
      <c r="I888" s="121"/>
      <c r="J888" s="121" t="s">
        <v>541</v>
      </c>
      <c r="K888" s="121"/>
      <c r="L888" s="121"/>
      <c r="M888" s="121"/>
      <c r="N888" s="123"/>
      <c r="O888" s="121"/>
      <c r="P888" s="121" t="s">
        <v>167</v>
      </c>
      <c r="Q888" s="121"/>
      <c r="R888" s="124">
        <v>-100</v>
      </c>
      <c r="S888" s="121"/>
      <c r="T888" s="124">
        <f t="shared" si="15"/>
        <v>28478.05</v>
      </c>
    </row>
    <row r="889" spans="2:20" x14ac:dyDescent="0.4">
      <c r="B889" s="121" t="s">
        <v>135</v>
      </c>
      <c r="C889" s="121"/>
      <c r="D889" s="122">
        <v>45351</v>
      </c>
      <c r="E889" s="121"/>
      <c r="F889" s="121" t="s">
        <v>164</v>
      </c>
      <c r="G889" s="121"/>
      <c r="H889" s="121" t="s">
        <v>165</v>
      </c>
      <c r="I889" s="121"/>
      <c r="J889" s="121" t="s">
        <v>542</v>
      </c>
      <c r="K889" s="121"/>
      <c r="L889" s="121"/>
      <c r="M889" s="121"/>
      <c r="N889" s="123"/>
      <c r="O889" s="121"/>
      <c r="P889" s="121" t="s">
        <v>167</v>
      </c>
      <c r="Q889" s="121"/>
      <c r="R889" s="124">
        <v>-50</v>
      </c>
      <c r="S889" s="121"/>
      <c r="T889" s="124">
        <f t="shared" si="15"/>
        <v>28428.05</v>
      </c>
    </row>
    <row r="890" spans="2:20" x14ac:dyDescent="0.4">
      <c r="B890" s="121" t="s">
        <v>135</v>
      </c>
      <c r="C890" s="121"/>
      <c r="D890" s="122">
        <v>45443</v>
      </c>
      <c r="E890" s="121"/>
      <c r="F890" s="121" t="s">
        <v>164</v>
      </c>
      <c r="G890" s="121"/>
      <c r="H890" s="121" t="s">
        <v>165</v>
      </c>
      <c r="I890" s="121"/>
      <c r="J890" s="121" t="s">
        <v>545</v>
      </c>
      <c r="K890" s="121"/>
      <c r="L890" s="121"/>
      <c r="M890" s="121"/>
      <c r="N890" s="123"/>
      <c r="O890" s="121"/>
      <c r="P890" s="121" t="s">
        <v>167</v>
      </c>
      <c r="Q890" s="121"/>
      <c r="R890" s="124">
        <v>-50</v>
      </c>
      <c r="S890" s="121"/>
      <c r="T890" s="124">
        <f t="shared" si="15"/>
        <v>28378.05</v>
      </c>
    </row>
    <row r="891" spans="2:20" x14ac:dyDescent="0.4">
      <c r="B891" s="121" t="s">
        <v>135</v>
      </c>
      <c r="C891" s="121"/>
      <c r="D891" s="122">
        <v>45596</v>
      </c>
      <c r="E891" s="121"/>
      <c r="F891" s="121" t="s">
        <v>164</v>
      </c>
      <c r="G891" s="121"/>
      <c r="H891" s="121" t="s">
        <v>165</v>
      </c>
      <c r="I891" s="121"/>
      <c r="J891" s="121" t="s">
        <v>552</v>
      </c>
      <c r="K891" s="121"/>
      <c r="L891" s="121"/>
      <c r="M891" s="121"/>
      <c r="N891" s="123"/>
      <c r="O891" s="121"/>
      <c r="P891" s="121" t="s">
        <v>167</v>
      </c>
      <c r="Q891" s="121"/>
      <c r="R891" s="124">
        <v>-50</v>
      </c>
      <c r="S891" s="121"/>
      <c r="T891" s="124">
        <f t="shared" si="15"/>
        <v>28328.05</v>
      </c>
    </row>
    <row r="892" spans="2:20" x14ac:dyDescent="0.4">
      <c r="B892" s="121" t="s">
        <v>135</v>
      </c>
      <c r="C892" s="121"/>
      <c r="D892" s="122">
        <v>45657</v>
      </c>
      <c r="E892" s="121"/>
      <c r="F892" s="121" t="s">
        <v>164</v>
      </c>
      <c r="G892" s="121"/>
      <c r="H892" s="121" t="s">
        <v>165</v>
      </c>
      <c r="I892" s="121"/>
      <c r="J892" s="121" t="s">
        <v>556</v>
      </c>
      <c r="K892" s="121"/>
      <c r="L892" s="121"/>
      <c r="M892" s="121"/>
      <c r="N892" s="123"/>
      <c r="O892" s="121"/>
      <c r="P892" s="121" t="s">
        <v>167</v>
      </c>
      <c r="Q892" s="121"/>
      <c r="R892" s="124">
        <v>-75</v>
      </c>
      <c r="S892" s="121"/>
      <c r="T892" s="124">
        <f t="shared" si="15"/>
        <v>28253.05</v>
      </c>
    </row>
    <row r="893" spans="2:20" x14ac:dyDescent="0.4">
      <c r="B893" s="121" t="s">
        <v>135</v>
      </c>
      <c r="C893" s="121"/>
      <c r="D893" s="122">
        <v>45657</v>
      </c>
      <c r="E893" s="121"/>
      <c r="F893" s="121" t="s">
        <v>989</v>
      </c>
      <c r="G893" s="121"/>
      <c r="H893" s="121"/>
      <c r="I893" s="121"/>
      <c r="J893" s="121" t="s">
        <v>990</v>
      </c>
      <c r="K893" s="121"/>
      <c r="L893" s="121"/>
      <c r="M893" s="121"/>
      <c r="N893" s="123"/>
      <c r="O893" s="121"/>
      <c r="P893" s="121" t="s">
        <v>599</v>
      </c>
      <c r="Q893" s="121"/>
      <c r="R893" s="124">
        <v>325</v>
      </c>
      <c r="S893" s="121"/>
      <c r="T893" s="124">
        <f t="shared" si="15"/>
        <v>28578.05</v>
      </c>
    </row>
    <row r="894" spans="2:20" x14ac:dyDescent="0.4">
      <c r="B894" s="121" t="s">
        <v>135</v>
      </c>
      <c r="C894" s="121"/>
      <c r="D894" s="122">
        <v>45930</v>
      </c>
      <c r="E894" s="121"/>
      <c r="F894" s="121" t="s">
        <v>164</v>
      </c>
      <c r="G894" s="121"/>
      <c r="H894" s="121" t="s">
        <v>165</v>
      </c>
      <c r="I894" s="121"/>
      <c r="J894" s="121" t="s">
        <v>580</v>
      </c>
      <c r="K894" s="121"/>
      <c r="L894" s="121"/>
      <c r="M894" s="121"/>
      <c r="N894" s="123"/>
      <c r="O894" s="121"/>
      <c r="P894" s="121" t="s">
        <v>167</v>
      </c>
      <c r="Q894" s="121"/>
      <c r="R894" s="124">
        <v>-50</v>
      </c>
      <c r="S894" s="121"/>
      <c r="T894" s="124">
        <f t="shared" si="15"/>
        <v>28528.05</v>
      </c>
    </row>
    <row r="895" spans="2:20" x14ac:dyDescent="0.4">
      <c r="B895" s="121" t="s">
        <v>135</v>
      </c>
      <c r="C895" s="121"/>
      <c r="D895" s="122">
        <v>45961</v>
      </c>
      <c r="E895" s="121"/>
      <c r="F895" s="121" t="s">
        <v>164</v>
      </c>
      <c r="G895" s="121"/>
      <c r="H895" s="121" t="s">
        <v>165</v>
      </c>
      <c r="I895" s="121"/>
      <c r="J895" s="121" t="s">
        <v>582</v>
      </c>
      <c r="K895" s="121"/>
      <c r="L895" s="121"/>
      <c r="M895" s="121"/>
      <c r="N895" s="123"/>
      <c r="O895" s="121"/>
      <c r="P895" s="121" t="s">
        <v>167</v>
      </c>
      <c r="Q895" s="121"/>
      <c r="R895" s="124">
        <v>-50</v>
      </c>
      <c r="S895" s="121"/>
      <c r="T895" s="124">
        <f t="shared" si="15"/>
        <v>28478.05</v>
      </c>
    </row>
    <row r="896" spans="2:20" x14ac:dyDescent="0.4">
      <c r="B896" s="121" t="s">
        <v>135</v>
      </c>
      <c r="C896" s="121"/>
      <c r="D896" s="122">
        <v>45991</v>
      </c>
      <c r="E896" s="121"/>
      <c r="F896" s="121" t="s">
        <v>164</v>
      </c>
      <c r="G896" s="121"/>
      <c r="H896" s="121" t="s">
        <v>165</v>
      </c>
      <c r="I896" s="121"/>
      <c r="J896" s="121" t="s">
        <v>585</v>
      </c>
      <c r="K896" s="121"/>
      <c r="L896" s="121"/>
      <c r="M896" s="121"/>
      <c r="N896" s="123"/>
      <c r="O896" s="121"/>
      <c r="P896" s="121" t="s">
        <v>167</v>
      </c>
      <c r="Q896" s="121"/>
      <c r="R896" s="124">
        <v>-50</v>
      </c>
      <c r="S896" s="121"/>
      <c r="T896" s="124">
        <f t="shared" si="15"/>
        <v>28428.05</v>
      </c>
    </row>
    <row r="897" spans="2:20" ht="15" thickBot="1" x14ac:dyDescent="0.45">
      <c r="B897" s="121" t="s">
        <v>108</v>
      </c>
      <c r="C897" s="121"/>
      <c r="D897" s="122">
        <v>46003</v>
      </c>
      <c r="E897" s="121"/>
      <c r="F897" s="121" t="s">
        <v>991</v>
      </c>
      <c r="G897" s="121"/>
      <c r="H897" s="121" t="s">
        <v>298</v>
      </c>
      <c r="I897" s="121"/>
      <c r="J897" s="121" t="s">
        <v>992</v>
      </c>
      <c r="K897" s="121"/>
      <c r="L897" s="121"/>
      <c r="M897" s="121"/>
      <c r="N897" s="123"/>
      <c r="O897" s="121"/>
      <c r="P897" s="121" t="s">
        <v>113</v>
      </c>
      <c r="Q897" s="121"/>
      <c r="R897" s="124">
        <v>217.4</v>
      </c>
      <c r="S897" s="121"/>
      <c r="T897" s="124">
        <f t="shared" si="15"/>
        <v>28645.45</v>
      </c>
    </row>
    <row r="898" spans="2:20" ht="15" thickBot="1" x14ac:dyDescent="0.45">
      <c r="B898" s="121"/>
      <c r="C898" s="121"/>
      <c r="D898" s="121"/>
      <c r="E898" s="121" t="s">
        <v>993</v>
      </c>
      <c r="F898" s="121"/>
      <c r="G898" s="121"/>
      <c r="H898" s="121"/>
      <c r="I898" s="121"/>
      <c r="J898" s="122"/>
      <c r="K898" s="121"/>
      <c r="L898" s="121"/>
      <c r="M898" s="121"/>
      <c r="N898" s="121"/>
      <c r="O898" s="121"/>
      <c r="P898" s="121"/>
      <c r="Q898" s="121"/>
      <c r="R898" s="125">
        <f>ROUND(SUM(R864:R897),5)</f>
        <v>28645.45</v>
      </c>
      <c r="S898" s="121"/>
      <c r="T898" s="125">
        <f>T897</f>
        <v>28645.45</v>
      </c>
    </row>
    <row r="899" spans="2:20" ht="15" thickBot="1" x14ac:dyDescent="0.45">
      <c r="B899" s="121"/>
      <c r="C899" s="121"/>
      <c r="D899" s="121" t="s">
        <v>352</v>
      </c>
      <c r="E899" s="121"/>
      <c r="F899" s="121"/>
      <c r="G899" s="121"/>
      <c r="H899" s="121"/>
      <c r="I899" s="121"/>
      <c r="J899" s="122"/>
      <c r="K899" s="121"/>
      <c r="L899" s="121"/>
      <c r="M899" s="121"/>
      <c r="N899" s="121"/>
      <c r="O899" s="121"/>
      <c r="P899" s="121"/>
      <c r="Q899" s="121"/>
      <c r="R899" s="125">
        <f>R898</f>
        <v>28645.45</v>
      </c>
      <c r="S899" s="121"/>
      <c r="T899" s="125">
        <f>T898</f>
        <v>28645.45</v>
      </c>
    </row>
    <row r="900" spans="2:20" ht="15" thickBot="1" x14ac:dyDescent="0.45">
      <c r="B900" s="121"/>
      <c r="C900" s="121" t="s">
        <v>353</v>
      </c>
      <c r="D900" s="121"/>
      <c r="E900" s="121"/>
      <c r="F900" s="121"/>
      <c r="G900" s="121"/>
      <c r="H900" s="121"/>
      <c r="I900" s="121"/>
      <c r="J900" s="122"/>
      <c r="K900" s="121"/>
      <c r="L900" s="121"/>
      <c r="M900" s="121"/>
      <c r="N900" s="121"/>
      <c r="O900" s="121"/>
      <c r="P900" s="121"/>
      <c r="Q900" s="121"/>
      <c r="R900" s="125">
        <f>R899</f>
        <v>28645.45</v>
      </c>
      <c r="S900" s="121"/>
      <c r="T900" s="125">
        <f>T899</f>
        <v>28645.45</v>
      </c>
    </row>
    <row r="901" spans="2:20" ht="15" thickBot="1" x14ac:dyDescent="0.45">
      <c r="B901" s="117" t="s">
        <v>33</v>
      </c>
      <c r="C901" s="117"/>
      <c r="D901" s="117"/>
      <c r="E901" s="117"/>
      <c r="F901" s="117"/>
      <c r="G901" s="117"/>
      <c r="H901" s="117"/>
      <c r="I901" s="117"/>
      <c r="J901" s="118"/>
      <c r="K901" s="117"/>
      <c r="L901" s="117"/>
      <c r="M901" s="117"/>
      <c r="N901" s="117"/>
      <c r="O901" s="117"/>
      <c r="P901" s="117"/>
      <c r="Q901" s="117"/>
      <c r="R901" s="126">
        <f>R900</f>
        <v>28645.45</v>
      </c>
      <c r="S901" s="117"/>
      <c r="T901" s="126">
        <f>T900</f>
        <v>28645.45</v>
      </c>
    </row>
    <row r="902" spans="2:20" ht="15" thickTop="1" x14ac:dyDescent="0.4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</xdr:col>
                <xdr:colOff>762000</xdr:colOff>
                <xdr:row>3</xdr:row>
                <xdr:rowOff>27214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</xdr:col>
                <xdr:colOff>762000</xdr:colOff>
                <xdr:row>3</xdr:row>
                <xdr:rowOff>27214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D4D6-E7B2-4913-A14D-1CA3AF3570AA}">
  <dimension ref="A1:G23"/>
  <sheetViews>
    <sheetView workbookViewId="0">
      <selection activeCell="H30" sqref="H30"/>
    </sheetView>
  </sheetViews>
  <sheetFormatPr defaultRowHeight="14.6" x14ac:dyDescent="0.4"/>
  <cols>
    <col min="1" max="1" width="9.23046875" style="39"/>
    <col min="2" max="2" width="5.07421875" customWidth="1"/>
    <col min="3" max="3" width="12.921875" customWidth="1"/>
    <col min="4" max="4" width="5.07421875" customWidth="1"/>
    <col min="5" max="5" width="11.53515625" customWidth="1"/>
    <col min="6" max="6" width="5.07421875" customWidth="1"/>
    <col min="7" max="7" width="10.07421875" bestFit="1" customWidth="1"/>
  </cols>
  <sheetData>
    <row r="1" spans="1:7" ht="15.9" x14ac:dyDescent="0.45">
      <c r="A1" s="45" t="s">
        <v>995</v>
      </c>
      <c r="B1" s="43"/>
      <c r="C1" s="43"/>
      <c r="E1" s="41" t="s">
        <v>41</v>
      </c>
    </row>
    <row r="2" spans="1:7" x14ac:dyDescent="0.4">
      <c r="A2" s="34"/>
    </row>
    <row r="3" spans="1:7" s="25" customFormat="1" x14ac:dyDescent="0.4">
      <c r="A3" s="35"/>
      <c r="C3" s="2" t="s">
        <v>34</v>
      </c>
      <c r="E3" s="2" t="s">
        <v>34</v>
      </c>
      <c r="G3" s="2" t="s">
        <v>35</v>
      </c>
    </row>
    <row r="4" spans="1:7" s="25" customFormat="1" x14ac:dyDescent="0.4">
      <c r="A4" s="2"/>
      <c r="C4" s="36" t="s">
        <v>36</v>
      </c>
      <c r="E4" s="36" t="s">
        <v>37</v>
      </c>
      <c r="G4" s="36" t="s">
        <v>38</v>
      </c>
    </row>
    <row r="6" spans="1:7" x14ac:dyDescent="0.4">
      <c r="A6" s="37">
        <v>2013</v>
      </c>
      <c r="B6" s="38"/>
      <c r="C6" s="38">
        <v>29968</v>
      </c>
      <c r="D6" s="38"/>
      <c r="E6" s="38">
        <v>44968</v>
      </c>
      <c r="F6" s="38"/>
      <c r="G6" s="38">
        <f>E6-C6</f>
        <v>15000</v>
      </c>
    </row>
    <row r="7" spans="1:7" x14ac:dyDescent="0.4">
      <c r="A7" s="37">
        <v>2014</v>
      </c>
      <c r="B7" s="38"/>
      <c r="C7" s="38">
        <v>44337</v>
      </c>
      <c r="D7" s="38"/>
      <c r="E7" s="38">
        <v>48677</v>
      </c>
      <c r="F7" s="38"/>
      <c r="G7" s="38">
        <f t="shared" ref="G7:G19" si="0">E7-C7</f>
        <v>4340</v>
      </c>
    </row>
    <row r="8" spans="1:7" x14ac:dyDescent="0.4">
      <c r="A8" s="37">
        <v>2015</v>
      </c>
      <c r="B8" s="38"/>
      <c r="C8" s="38">
        <v>43012</v>
      </c>
      <c r="D8" s="38"/>
      <c r="E8" s="38">
        <v>50827</v>
      </c>
      <c r="F8" s="38"/>
      <c r="G8" s="38">
        <f t="shared" si="0"/>
        <v>7815</v>
      </c>
    </row>
    <row r="9" spans="1:7" x14ac:dyDescent="0.4">
      <c r="A9" s="37">
        <v>2016</v>
      </c>
      <c r="B9" s="38"/>
      <c r="C9" s="38">
        <v>48390</v>
      </c>
      <c r="D9" s="38"/>
      <c r="E9" s="38">
        <v>63271</v>
      </c>
      <c r="F9" s="38"/>
      <c r="G9" s="38">
        <f t="shared" si="0"/>
        <v>14881</v>
      </c>
    </row>
    <row r="10" spans="1:7" x14ac:dyDescent="0.4">
      <c r="A10" s="37">
        <v>2017</v>
      </c>
      <c r="B10" s="38"/>
      <c r="C10" s="38">
        <v>60022</v>
      </c>
      <c r="D10" s="38"/>
      <c r="E10" s="38">
        <v>63319</v>
      </c>
      <c r="F10" s="38"/>
      <c r="G10" s="38">
        <f t="shared" si="0"/>
        <v>3297</v>
      </c>
    </row>
    <row r="11" spans="1:7" x14ac:dyDescent="0.4">
      <c r="A11" s="37">
        <v>2018</v>
      </c>
      <c r="B11" s="38"/>
      <c r="C11" s="38">
        <v>56915</v>
      </c>
      <c r="D11" s="38"/>
      <c r="E11" s="38">
        <v>53569</v>
      </c>
      <c r="F11" s="38"/>
      <c r="G11" s="38">
        <f t="shared" si="0"/>
        <v>-3346</v>
      </c>
    </row>
    <row r="12" spans="1:7" x14ac:dyDescent="0.4">
      <c r="A12" s="37">
        <v>2019</v>
      </c>
      <c r="B12" s="38"/>
      <c r="C12" s="38">
        <v>58924</v>
      </c>
      <c r="D12" s="38"/>
      <c r="E12" s="38">
        <v>61790</v>
      </c>
      <c r="F12" s="38"/>
      <c r="G12" s="38">
        <f t="shared" si="0"/>
        <v>2866</v>
      </c>
    </row>
    <row r="13" spans="1:7" x14ac:dyDescent="0.4">
      <c r="A13" s="37">
        <v>2020</v>
      </c>
      <c r="B13" s="38"/>
      <c r="C13" s="38">
        <v>59368</v>
      </c>
      <c r="D13" s="38"/>
      <c r="E13" s="38">
        <v>63914</v>
      </c>
      <c r="F13" s="38"/>
      <c r="G13" s="38">
        <f t="shared" si="0"/>
        <v>4546</v>
      </c>
    </row>
    <row r="14" spans="1:7" x14ac:dyDescent="0.4">
      <c r="A14" s="37">
        <v>2021</v>
      </c>
      <c r="B14" s="38"/>
      <c r="C14" s="38">
        <v>58538</v>
      </c>
      <c r="D14" s="38"/>
      <c r="E14" s="38">
        <v>57707</v>
      </c>
      <c r="F14" s="38"/>
      <c r="G14" s="38">
        <f t="shared" si="0"/>
        <v>-831</v>
      </c>
    </row>
    <row r="15" spans="1:7" x14ac:dyDescent="0.4">
      <c r="A15" s="37">
        <v>2022</v>
      </c>
      <c r="B15" s="38"/>
      <c r="C15" s="38">
        <v>57664</v>
      </c>
      <c r="D15" s="38"/>
      <c r="E15" s="38">
        <v>54793</v>
      </c>
      <c r="F15" s="38"/>
      <c r="G15" s="38">
        <f t="shared" si="0"/>
        <v>-2871</v>
      </c>
    </row>
    <row r="16" spans="1:7" x14ac:dyDescent="0.4">
      <c r="A16" s="37">
        <v>2023</v>
      </c>
      <c r="B16" s="38"/>
      <c r="C16" s="38">
        <v>57114</v>
      </c>
      <c r="D16" s="38"/>
      <c r="E16" s="38">
        <v>56808</v>
      </c>
      <c r="F16" s="38"/>
      <c r="G16" s="38">
        <f t="shared" si="0"/>
        <v>-306</v>
      </c>
    </row>
    <row r="17" spans="1:7" x14ac:dyDescent="0.4">
      <c r="A17" s="37">
        <v>2024</v>
      </c>
      <c r="B17" s="38"/>
      <c r="C17" s="38">
        <v>56698</v>
      </c>
      <c r="D17" s="38"/>
      <c r="E17" s="38">
        <v>43990</v>
      </c>
      <c r="F17" s="38"/>
      <c r="G17" s="38">
        <f t="shared" si="0"/>
        <v>-12708</v>
      </c>
    </row>
    <row r="18" spans="1:7" x14ac:dyDescent="0.4">
      <c r="A18" s="37">
        <v>2025</v>
      </c>
      <c r="B18" s="38"/>
      <c r="C18" s="38">
        <v>55859</v>
      </c>
      <c r="D18" s="38"/>
      <c r="E18" s="38">
        <v>100415</v>
      </c>
      <c r="F18" s="38"/>
      <c r="G18" s="38">
        <f t="shared" si="0"/>
        <v>44556</v>
      </c>
    </row>
    <row r="19" spans="1:7" x14ac:dyDescent="0.4">
      <c r="A19" s="37">
        <v>2026</v>
      </c>
      <c r="B19" s="38"/>
      <c r="C19" s="42">
        <v>14000</v>
      </c>
      <c r="D19" s="38"/>
      <c r="E19" s="42">
        <v>25000</v>
      </c>
      <c r="F19" s="38"/>
      <c r="G19" s="42">
        <f t="shared" si="0"/>
        <v>11000</v>
      </c>
    </row>
    <row r="20" spans="1:7" x14ac:dyDescent="0.4">
      <c r="B20" s="38"/>
      <c r="C20" s="38"/>
      <c r="D20" s="38"/>
      <c r="E20" s="38"/>
      <c r="F20" s="38"/>
      <c r="G20" s="38"/>
    </row>
    <row r="21" spans="1:7" x14ac:dyDescent="0.4">
      <c r="A21" s="37" t="s">
        <v>33</v>
      </c>
      <c r="B21" s="38"/>
      <c r="C21" s="40">
        <f>SUM(C6:C20)</f>
        <v>700809</v>
      </c>
      <c r="D21" s="38"/>
      <c r="E21" s="40">
        <f>SUM(E6:E20)</f>
        <v>789048</v>
      </c>
      <c r="F21" s="38"/>
      <c r="G21" s="40">
        <f>SUM(G6:G20)</f>
        <v>88239</v>
      </c>
    </row>
    <row r="23" spans="1:7" x14ac:dyDescent="0.4">
      <c r="E23" s="108" t="s">
        <v>84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PHDR Stf-4</vt:lpstr>
      <vt:lpstr>PHDR Stf-6b</vt:lpstr>
      <vt:lpstr>PHDR Stf-6b2</vt:lpstr>
      <vt:lpstr>PHDR Stf-7</vt:lpstr>
      <vt:lpstr>PHDR Stf-12</vt:lpstr>
      <vt:lpstr>PHDR Stf-13</vt:lpstr>
      <vt:lpstr>'PHDR Stf-6b2'!Print_Area</vt:lpstr>
      <vt:lpstr>'PHDR Stf-7'!Print_Area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Robinson</dc:creator>
  <cp:lastModifiedBy>Allyson  Honaker</cp:lastModifiedBy>
  <cp:lastPrinted>2026-02-12T15:39:54Z</cp:lastPrinted>
  <dcterms:created xsi:type="dcterms:W3CDTF">2026-02-04T15:55:13Z</dcterms:created>
  <dcterms:modified xsi:type="dcterms:W3CDTF">2026-02-17T01:47:33Z</dcterms:modified>
</cp:coreProperties>
</file>