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teve\Documents\Kentucky\PSC dockets\GR25\"/>
    </mc:Choice>
  </mc:AlternateContent>
  <xr:revisionPtr revIDLastSave="0" documentId="13_ncr:1_{66B40101-B00E-45CB-A2B5-08C047DC6B0D}" xr6:coauthVersionLast="47" xr6:coauthVersionMax="47" xr10:uidLastSave="{00000000-0000-0000-0000-000000000000}"/>
  <bookViews>
    <workbookView xWindow="8623" yWindow="1757" windowWidth="18797" windowHeight="16483" xr2:uid="{CEC4E974-2841-4E31-88D2-258118CE0DEA}"/>
  </bookViews>
  <sheets>
    <sheet name="L&amp;U Sum" sheetId="2" r:id="rId1"/>
    <sheet name="GBA 2023-26" sheetId="1" r:id="rId2"/>
  </sheets>
  <definedNames>
    <definedName name="_xlnm.Print_Area" localSheetId="1">'GBA 2023-26'!$A$3:$O$141</definedName>
    <definedName name="_xlnm.Print_Titles" localSheetId="1">'GBA 2023-26'!$1:$2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9" i="2" l="1"/>
  <c r="N43" i="2"/>
  <c r="N39" i="2"/>
  <c r="N35" i="2"/>
  <c r="N31" i="2"/>
  <c r="N25" i="2"/>
  <c r="N21" i="2"/>
  <c r="N17" i="2"/>
  <c r="M25" i="2" l="1"/>
  <c r="M21" i="2"/>
  <c r="M17" i="2"/>
  <c r="M13" i="2"/>
  <c r="M27" i="2" s="1"/>
  <c r="M31" i="2"/>
  <c r="M35" i="2"/>
  <c r="M39" i="2"/>
  <c r="M43" i="2"/>
  <c r="C17" i="1"/>
  <c r="C7" i="2" s="1"/>
  <c r="D119" i="1"/>
  <c r="D42" i="2" s="1"/>
  <c r="C119" i="1"/>
  <c r="D115" i="1"/>
  <c r="D41" i="2" s="1"/>
  <c r="C115" i="1"/>
  <c r="H115" i="1" s="1"/>
  <c r="H41" i="2" s="1"/>
  <c r="D107" i="1"/>
  <c r="D38" i="2" s="1"/>
  <c r="C107" i="1"/>
  <c r="C38" i="2" s="1"/>
  <c r="D103" i="1"/>
  <c r="D37" i="2" s="1"/>
  <c r="C103" i="1"/>
  <c r="D95" i="1"/>
  <c r="C95" i="1"/>
  <c r="C34" i="2" s="1"/>
  <c r="D91" i="1"/>
  <c r="D33" i="2" s="1"/>
  <c r="C91" i="1"/>
  <c r="C33" i="2" s="1"/>
  <c r="D34" i="2"/>
  <c r="C99" i="1"/>
  <c r="C35" i="2" s="1"/>
  <c r="D99" i="1"/>
  <c r="D35" i="2" s="1"/>
  <c r="D79" i="1"/>
  <c r="D29" i="2" s="1"/>
  <c r="C48" i="2"/>
  <c r="D48" i="2"/>
  <c r="G43" i="2"/>
  <c r="C42" i="2"/>
  <c r="C41" i="2"/>
  <c r="G33" i="2"/>
  <c r="C31" i="2"/>
  <c r="D31" i="2"/>
  <c r="C25" i="2"/>
  <c r="G25" i="2"/>
  <c r="D24" i="2"/>
  <c r="C19" i="2"/>
  <c r="D19" i="2"/>
  <c r="G19" i="2"/>
  <c r="H19" i="2"/>
  <c r="D17" i="2"/>
  <c r="C13" i="2"/>
  <c r="D13" i="2"/>
  <c r="G13" i="2"/>
  <c r="C11" i="2"/>
  <c r="D11" i="2"/>
  <c r="G11" i="2"/>
  <c r="D7" i="2"/>
  <c r="G6" i="2"/>
  <c r="G5" i="2"/>
  <c r="G136" i="1"/>
  <c r="G48" i="2" s="1"/>
  <c r="D136" i="1"/>
  <c r="C136" i="1"/>
  <c r="I135" i="1"/>
  <c r="J135" i="1" s="1"/>
  <c r="H135" i="1"/>
  <c r="E135" i="1"/>
  <c r="I134" i="1"/>
  <c r="H134" i="1"/>
  <c r="E134" i="1"/>
  <c r="G132" i="1"/>
  <c r="G47" i="2" s="1"/>
  <c r="D132" i="1"/>
  <c r="D47" i="2" s="1"/>
  <c r="C132" i="1"/>
  <c r="C47" i="2" s="1"/>
  <c r="I131" i="1"/>
  <c r="J131" i="1" s="1"/>
  <c r="H131" i="1"/>
  <c r="E131" i="1"/>
  <c r="I130" i="1"/>
  <c r="J130" i="1" s="1"/>
  <c r="H130" i="1"/>
  <c r="E130" i="1"/>
  <c r="D127" i="1"/>
  <c r="C127" i="1"/>
  <c r="D126" i="1"/>
  <c r="C126" i="1"/>
  <c r="G123" i="1"/>
  <c r="D123" i="1"/>
  <c r="D43" i="2" s="1"/>
  <c r="C123" i="1"/>
  <c r="C43" i="2" s="1"/>
  <c r="H122" i="1"/>
  <c r="E122" i="1"/>
  <c r="H121" i="1"/>
  <c r="E121" i="1"/>
  <c r="G119" i="1"/>
  <c r="G42" i="2" s="1"/>
  <c r="H118" i="1"/>
  <c r="E118" i="1"/>
  <c r="H117" i="1"/>
  <c r="E117" i="1"/>
  <c r="G115" i="1"/>
  <c r="G41" i="2" s="1"/>
  <c r="H114" i="1"/>
  <c r="E114" i="1"/>
  <c r="O113" i="1"/>
  <c r="I122" i="1" s="1"/>
  <c r="J122" i="1" s="1"/>
  <c r="H113" i="1"/>
  <c r="E113" i="1"/>
  <c r="G111" i="1"/>
  <c r="G39" i="2" s="1"/>
  <c r="C111" i="1"/>
  <c r="H111" i="1" s="1"/>
  <c r="H39" i="2" s="1"/>
  <c r="H110" i="1"/>
  <c r="E110" i="1"/>
  <c r="H109" i="1"/>
  <c r="D111" i="1"/>
  <c r="D39" i="2" s="1"/>
  <c r="G107" i="1"/>
  <c r="G38" i="2" s="1"/>
  <c r="H106" i="1"/>
  <c r="E106" i="1"/>
  <c r="H105" i="1"/>
  <c r="E105" i="1"/>
  <c r="G103" i="1"/>
  <c r="G37" i="2" s="1"/>
  <c r="C37" i="2"/>
  <c r="H102" i="1"/>
  <c r="E102" i="1"/>
  <c r="O101" i="1"/>
  <c r="I101" i="1"/>
  <c r="J101" i="1" s="1"/>
  <c r="H101" i="1"/>
  <c r="E101" i="1"/>
  <c r="G98" i="1"/>
  <c r="G127" i="1" s="1"/>
  <c r="L127" i="1" s="1"/>
  <c r="E98" i="1"/>
  <c r="E97" i="1"/>
  <c r="H94" i="1"/>
  <c r="E94" i="1"/>
  <c r="G93" i="1"/>
  <c r="H93" i="1" s="1"/>
  <c r="E93" i="1"/>
  <c r="G91" i="1"/>
  <c r="H90" i="1"/>
  <c r="E90" i="1"/>
  <c r="O89" i="1"/>
  <c r="I90" i="1" s="1"/>
  <c r="J90" i="1" s="1"/>
  <c r="H89" i="1"/>
  <c r="E89" i="1"/>
  <c r="D87" i="1"/>
  <c r="C87" i="1"/>
  <c r="H86" i="1"/>
  <c r="E86" i="1"/>
  <c r="G85" i="1"/>
  <c r="E85" i="1"/>
  <c r="D83" i="1"/>
  <c r="D30" i="2" s="1"/>
  <c r="C83" i="1"/>
  <c r="C30" i="2" s="1"/>
  <c r="H82" i="1"/>
  <c r="E82" i="1"/>
  <c r="G81" i="1"/>
  <c r="E81" i="1"/>
  <c r="G79" i="1"/>
  <c r="G29" i="2" s="1"/>
  <c r="C79" i="1"/>
  <c r="C29" i="2" s="1"/>
  <c r="H78" i="1"/>
  <c r="E78" i="1"/>
  <c r="O77" i="1"/>
  <c r="I86" i="1" s="1"/>
  <c r="J86" i="1" s="1"/>
  <c r="I77" i="1"/>
  <c r="H77" i="1"/>
  <c r="E77" i="1"/>
  <c r="D74" i="1"/>
  <c r="C74" i="1"/>
  <c r="L73" i="1"/>
  <c r="D73" i="1"/>
  <c r="C73" i="1"/>
  <c r="D70" i="1"/>
  <c r="D25" i="2" s="1"/>
  <c r="C70" i="1"/>
  <c r="G69" i="1"/>
  <c r="G70" i="1" s="1"/>
  <c r="E69" i="1"/>
  <c r="H68" i="1"/>
  <c r="E68" i="1"/>
  <c r="D66" i="1"/>
  <c r="C66" i="1"/>
  <c r="C24" i="2" s="1"/>
  <c r="G65" i="1"/>
  <c r="G74" i="1" s="1"/>
  <c r="L74" i="1" s="1"/>
  <c r="E65" i="1"/>
  <c r="H64" i="1"/>
  <c r="E64" i="1"/>
  <c r="D62" i="1"/>
  <c r="D23" i="2" s="1"/>
  <c r="C62" i="1"/>
  <c r="C23" i="2" s="1"/>
  <c r="H61" i="1"/>
  <c r="E61" i="1"/>
  <c r="O60" i="1"/>
  <c r="I61" i="1" s="1"/>
  <c r="J61" i="1" s="1"/>
  <c r="G60" i="1"/>
  <c r="G73" i="1" s="1"/>
  <c r="E60" i="1"/>
  <c r="G58" i="1"/>
  <c r="G21" i="2" s="1"/>
  <c r="D58" i="1"/>
  <c r="D21" i="2" s="1"/>
  <c r="C58" i="1"/>
  <c r="C21" i="2" s="1"/>
  <c r="H57" i="1"/>
  <c r="E57" i="1"/>
  <c r="H56" i="1"/>
  <c r="E56" i="1"/>
  <c r="G54" i="1"/>
  <c r="G20" i="2" s="1"/>
  <c r="D54" i="1"/>
  <c r="D20" i="2" s="1"/>
  <c r="C54" i="1"/>
  <c r="C20" i="2" s="1"/>
  <c r="H53" i="1"/>
  <c r="E53" i="1"/>
  <c r="H52" i="1"/>
  <c r="E52" i="1"/>
  <c r="G50" i="1"/>
  <c r="D50" i="1"/>
  <c r="C50" i="1"/>
  <c r="H50" i="1" s="1"/>
  <c r="H49" i="1"/>
  <c r="E49" i="1"/>
  <c r="O48" i="1"/>
  <c r="I52" i="1" s="1"/>
  <c r="J52" i="1" s="1"/>
  <c r="I48" i="1"/>
  <c r="J48" i="1" s="1"/>
  <c r="H48" i="1"/>
  <c r="E48" i="1"/>
  <c r="G46" i="1"/>
  <c r="G17" i="2" s="1"/>
  <c r="D46" i="1"/>
  <c r="C46" i="1"/>
  <c r="C17" i="2" s="1"/>
  <c r="I45" i="1"/>
  <c r="J45" i="1" s="1"/>
  <c r="H45" i="1"/>
  <c r="E45" i="1"/>
  <c r="I44" i="1"/>
  <c r="J44" i="1" s="1"/>
  <c r="H44" i="1"/>
  <c r="E44" i="1"/>
  <c r="G42" i="1"/>
  <c r="G16" i="2" s="1"/>
  <c r="D42" i="1"/>
  <c r="D16" i="2" s="1"/>
  <c r="C42" i="1"/>
  <c r="C16" i="2" s="1"/>
  <c r="H41" i="1"/>
  <c r="E41" i="1"/>
  <c r="H40" i="1"/>
  <c r="E40" i="1"/>
  <c r="G38" i="1"/>
  <c r="G15" i="2" s="1"/>
  <c r="D38" i="1"/>
  <c r="D15" i="2" s="1"/>
  <c r="C38" i="1"/>
  <c r="C15" i="2" s="1"/>
  <c r="H37" i="1"/>
  <c r="E37" i="1"/>
  <c r="O36" i="1"/>
  <c r="I41" i="1" s="1"/>
  <c r="J41" i="1" s="1"/>
  <c r="H36" i="1"/>
  <c r="E36" i="1"/>
  <c r="G34" i="1"/>
  <c r="D34" i="1"/>
  <c r="C34" i="1"/>
  <c r="H34" i="1" s="1"/>
  <c r="H13" i="2" s="1"/>
  <c r="H33" i="1"/>
  <c r="E33" i="1"/>
  <c r="H32" i="1"/>
  <c r="E32" i="1"/>
  <c r="G30" i="1"/>
  <c r="G12" i="2" s="1"/>
  <c r="D30" i="1"/>
  <c r="D12" i="2" s="1"/>
  <c r="C30" i="1"/>
  <c r="H29" i="1"/>
  <c r="E29" i="1"/>
  <c r="H28" i="1"/>
  <c r="E28" i="1"/>
  <c r="G26" i="1"/>
  <c r="D26" i="1"/>
  <c r="C26" i="1"/>
  <c r="H25" i="1"/>
  <c r="E25" i="1"/>
  <c r="O24" i="1"/>
  <c r="I28" i="1" s="1"/>
  <c r="H24" i="1"/>
  <c r="E24" i="1"/>
  <c r="L21" i="1"/>
  <c r="H21" i="1"/>
  <c r="L20" i="1"/>
  <c r="G17" i="1"/>
  <c r="G7" i="2" s="1"/>
  <c r="H16" i="1"/>
  <c r="E16" i="1"/>
  <c r="H15" i="1"/>
  <c r="D15" i="1"/>
  <c r="D17" i="1" s="1"/>
  <c r="G13" i="1"/>
  <c r="D13" i="1"/>
  <c r="D6" i="2" s="1"/>
  <c r="C13" i="1"/>
  <c r="C6" i="2" s="1"/>
  <c r="H12" i="1"/>
  <c r="E12" i="1"/>
  <c r="H11" i="1"/>
  <c r="E11" i="1"/>
  <c r="G9" i="1"/>
  <c r="D9" i="1"/>
  <c r="D5" i="2" s="1"/>
  <c r="C9" i="1"/>
  <c r="C5" i="2" s="1"/>
  <c r="H8" i="1"/>
  <c r="E8" i="1"/>
  <c r="O7" i="1"/>
  <c r="I12" i="1" s="1"/>
  <c r="J12" i="1" s="1"/>
  <c r="H7" i="1"/>
  <c r="E7" i="1"/>
  <c r="M45" i="2" l="1"/>
  <c r="M49" i="2" s="1"/>
  <c r="I24" i="1"/>
  <c r="J24" i="1" s="1"/>
  <c r="H30" i="1"/>
  <c r="H12" i="2" s="1"/>
  <c r="C39" i="2"/>
  <c r="H107" i="1"/>
  <c r="H38" i="2" s="1"/>
  <c r="H73" i="1"/>
  <c r="H136" i="1"/>
  <c r="H48" i="2" s="1"/>
  <c r="G126" i="1"/>
  <c r="I46" i="1"/>
  <c r="I17" i="2" s="1"/>
  <c r="J17" i="2"/>
  <c r="J43" i="2"/>
  <c r="J132" i="1"/>
  <c r="D128" i="1"/>
  <c r="D45" i="2" s="1"/>
  <c r="C12" i="2"/>
  <c r="I89" i="1"/>
  <c r="H70" i="1"/>
  <c r="H25" i="2" s="1"/>
  <c r="I7" i="1"/>
  <c r="E123" i="1"/>
  <c r="E43" i="2" s="1"/>
  <c r="M127" i="1"/>
  <c r="H17" i="1"/>
  <c r="H7" i="2" s="1"/>
  <c r="E91" i="1"/>
  <c r="E33" i="2" s="1"/>
  <c r="E26" i="1"/>
  <c r="E11" i="2" s="1"/>
  <c r="I78" i="1"/>
  <c r="I79" i="1" s="1"/>
  <c r="I29" i="2" s="1"/>
  <c r="J29" i="2" s="1"/>
  <c r="I94" i="1"/>
  <c r="J94" i="1" s="1"/>
  <c r="J46" i="1"/>
  <c r="H79" i="1"/>
  <c r="H29" i="2" s="1"/>
  <c r="I113" i="1"/>
  <c r="I98" i="1"/>
  <c r="J98" i="1" s="1"/>
  <c r="I82" i="1"/>
  <c r="J82" i="1" s="1"/>
  <c r="E34" i="1"/>
  <c r="E13" i="2" s="1"/>
  <c r="I68" i="1"/>
  <c r="J68" i="1" s="1"/>
  <c r="E42" i="1"/>
  <c r="E16" i="2" s="1"/>
  <c r="E103" i="1"/>
  <c r="E37" i="2" s="1"/>
  <c r="E46" i="1"/>
  <c r="E17" i="2" s="1"/>
  <c r="I36" i="1"/>
  <c r="E87" i="1"/>
  <c r="E31" i="2" s="1"/>
  <c r="H9" i="1"/>
  <c r="H5" i="2" s="1"/>
  <c r="I81" i="1"/>
  <c r="J81" i="1" s="1"/>
  <c r="I64" i="1"/>
  <c r="J64" i="1" s="1"/>
  <c r="E54" i="1"/>
  <c r="E20" i="2" s="1"/>
  <c r="D22" i="1"/>
  <c r="E70" i="1"/>
  <c r="E25" i="2" s="1"/>
  <c r="I37" i="1"/>
  <c r="J37" i="1" s="1"/>
  <c r="I33" i="1"/>
  <c r="J33" i="1" s="1"/>
  <c r="H46" i="1"/>
  <c r="H17" i="2" s="1"/>
  <c r="E62" i="1"/>
  <c r="E23" i="2" s="1"/>
  <c r="E132" i="1"/>
  <c r="E47" i="2" s="1"/>
  <c r="I53" i="1"/>
  <c r="I132" i="1"/>
  <c r="I47" i="2" s="1"/>
  <c r="J47" i="2" s="1"/>
  <c r="E9" i="1"/>
  <c r="E5" i="2" s="1"/>
  <c r="H26" i="1"/>
  <c r="H11" i="2" s="1"/>
  <c r="I40" i="1"/>
  <c r="H54" i="1"/>
  <c r="H20" i="2" s="1"/>
  <c r="I117" i="1"/>
  <c r="J117" i="1" s="1"/>
  <c r="H98" i="1"/>
  <c r="G66" i="1"/>
  <c r="G24" i="2" s="1"/>
  <c r="E38" i="1"/>
  <c r="E15" i="2" s="1"/>
  <c r="E119" i="1"/>
  <c r="E42" i="2" s="1"/>
  <c r="H13" i="1"/>
  <c r="H6" i="2" s="1"/>
  <c r="E30" i="1"/>
  <c r="E12" i="2" s="1"/>
  <c r="I57" i="1"/>
  <c r="J57" i="1" s="1"/>
  <c r="H103" i="1"/>
  <c r="H37" i="2" s="1"/>
  <c r="E17" i="1"/>
  <c r="E7" i="2" s="1"/>
  <c r="H58" i="1"/>
  <c r="H21" i="2" s="1"/>
  <c r="I121" i="1"/>
  <c r="I123" i="1" s="1"/>
  <c r="I43" i="2" s="1"/>
  <c r="I118" i="1"/>
  <c r="J118" i="1" s="1"/>
  <c r="H119" i="1"/>
  <c r="H42" i="2" s="1"/>
  <c r="E136" i="1"/>
  <c r="E48" i="2" s="1"/>
  <c r="E15" i="1"/>
  <c r="H91" i="1"/>
  <c r="H33" i="2" s="1"/>
  <c r="E95" i="1"/>
  <c r="E34" i="2" s="1"/>
  <c r="I25" i="1"/>
  <c r="E79" i="1"/>
  <c r="E29" i="2" s="1"/>
  <c r="E50" i="1"/>
  <c r="E19" i="2" s="1"/>
  <c r="E83" i="1"/>
  <c r="E30" i="2" s="1"/>
  <c r="E115" i="1"/>
  <c r="E41" i="2" s="1"/>
  <c r="I56" i="1"/>
  <c r="M73" i="1"/>
  <c r="H123" i="1"/>
  <c r="H43" i="2" s="1"/>
  <c r="G75" i="1"/>
  <c r="C128" i="1"/>
  <c r="C45" i="2" s="1"/>
  <c r="H126" i="1"/>
  <c r="E126" i="1"/>
  <c r="G128" i="1"/>
  <c r="L126" i="1"/>
  <c r="M126" i="1" s="1"/>
  <c r="I106" i="1"/>
  <c r="J106" i="1" s="1"/>
  <c r="I105" i="1"/>
  <c r="I109" i="1"/>
  <c r="I102" i="1"/>
  <c r="E66" i="1"/>
  <c r="E24" i="2" s="1"/>
  <c r="M20" i="1"/>
  <c r="C22" i="1"/>
  <c r="C9" i="2" s="1"/>
  <c r="H20" i="1"/>
  <c r="G22" i="1"/>
  <c r="M74" i="1"/>
  <c r="H74" i="1"/>
  <c r="C75" i="1"/>
  <c r="C27" i="2" s="1"/>
  <c r="E74" i="1"/>
  <c r="D75" i="1"/>
  <c r="D27" i="2" s="1"/>
  <c r="G87" i="1"/>
  <c r="H85" i="1"/>
  <c r="I85" i="1"/>
  <c r="E20" i="1"/>
  <c r="I8" i="1"/>
  <c r="J8" i="1" s="1"/>
  <c r="I16" i="1"/>
  <c r="J16" i="1" s="1"/>
  <c r="I15" i="1"/>
  <c r="I11" i="1"/>
  <c r="H81" i="1"/>
  <c r="E58" i="1"/>
  <c r="E21" i="2" s="1"/>
  <c r="G83" i="1"/>
  <c r="I110" i="1"/>
  <c r="J110" i="1" s="1"/>
  <c r="I136" i="1"/>
  <c r="I48" i="2" s="1"/>
  <c r="J48" i="2" s="1"/>
  <c r="J134" i="1"/>
  <c r="J136" i="1" s="1"/>
  <c r="E13" i="1"/>
  <c r="E6" i="2" s="1"/>
  <c r="H65" i="1"/>
  <c r="H132" i="1"/>
  <c r="H47" i="2" s="1"/>
  <c r="I65" i="1"/>
  <c r="J65" i="1" s="1"/>
  <c r="I93" i="1"/>
  <c r="G95" i="1"/>
  <c r="G99" i="1"/>
  <c r="I97" i="1"/>
  <c r="H97" i="1"/>
  <c r="I49" i="1"/>
  <c r="E127" i="1"/>
  <c r="E111" i="1"/>
  <c r="E39" i="2" s="1"/>
  <c r="H127" i="1"/>
  <c r="E109" i="1"/>
  <c r="E73" i="1"/>
  <c r="M21" i="1"/>
  <c r="E99" i="1"/>
  <c r="E35" i="2" s="1"/>
  <c r="E107" i="1"/>
  <c r="E38" i="2" s="1"/>
  <c r="J28" i="1"/>
  <c r="G62" i="1"/>
  <c r="I60" i="1"/>
  <c r="E21" i="1"/>
  <c r="H60" i="1"/>
  <c r="H69" i="1"/>
  <c r="I69" i="1"/>
  <c r="J69" i="1" s="1"/>
  <c r="I32" i="1"/>
  <c r="I34" i="1" s="1"/>
  <c r="I13" i="2" s="1"/>
  <c r="J13" i="2" s="1"/>
  <c r="I29" i="1"/>
  <c r="I30" i="1" s="1"/>
  <c r="I12" i="2" s="1"/>
  <c r="J12" i="2" s="1"/>
  <c r="J77" i="1"/>
  <c r="I114" i="1"/>
  <c r="J114" i="1" s="1"/>
  <c r="H38" i="1"/>
  <c r="H15" i="2" s="1"/>
  <c r="H42" i="1"/>
  <c r="H16" i="2" s="1"/>
  <c r="H95" i="1" l="1"/>
  <c r="H34" i="2" s="1"/>
  <c r="G34" i="2"/>
  <c r="J105" i="1"/>
  <c r="J107" i="1" s="1"/>
  <c r="I107" i="1"/>
  <c r="I38" i="2" s="1"/>
  <c r="J38" i="2" s="1"/>
  <c r="J40" i="1"/>
  <c r="J42" i="1" s="1"/>
  <c r="I42" i="1"/>
  <c r="I16" i="2" s="1"/>
  <c r="J16" i="2" s="1"/>
  <c r="L75" i="1"/>
  <c r="K27" i="2" s="1"/>
  <c r="G27" i="2"/>
  <c r="J53" i="1"/>
  <c r="J54" i="1" s="1"/>
  <c r="I54" i="1"/>
  <c r="I20" i="2" s="1"/>
  <c r="J20" i="2" s="1"/>
  <c r="E22" i="1"/>
  <c r="E9" i="2" s="1"/>
  <c r="D9" i="2"/>
  <c r="H62" i="1"/>
  <c r="H23" i="2" s="1"/>
  <c r="G23" i="2"/>
  <c r="J36" i="1"/>
  <c r="I38" i="1"/>
  <c r="I15" i="2" s="1"/>
  <c r="J15" i="2" s="1"/>
  <c r="J89" i="1"/>
  <c r="J91" i="1" s="1"/>
  <c r="I91" i="1"/>
  <c r="I33" i="2" s="1"/>
  <c r="J33" i="2" s="1"/>
  <c r="J25" i="1"/>
  <c r="J26" i="1" s="1"/>
  <c r="I26" i="1"/>
  <c r="I11" i="2" s="1"/>
  <c r="J11" i="2" s="1"/>
  <c r="H66" i="1"/>
  <c r="H24" i="2" s="1"/>
  <c r="J49" i="1"/>
  <c r="J50" i="1" s="1"/>
  <c r="I50" i="1"/>
  <c r="I19" i="2" s="1"/>
  <c r="J19" i="2" s="1"/>
  <c r="J93" i="1"/>
  <c r="J95" i="1" s="1"/>
  <c r="I95" i="1"/>
  <c r="I34" i="2" s="1"/>
  <c r="J34" i="2" s="1"/>
  <c r="J7" i="1"/>
  <c r="J9" i="1" s="1"/>
  <c r="I9" i="1"/>
  <c r="I5" i="2" s="1"/>
  <c r="J5" i="2" s="1"/>
  <c r="J56" i="1"/>
  <c r="J58" i="1" s="1"/>
  <c r="I58" i="1"/>
  <c r="I21" i="2" s="1"/>
  <c r="J21" i="2" s="1"/>
  <c r="J11" i="1"/>
  <c r="J13" i="1" s="1"/>
  <c r="I13" i="1"/>
  <c r="I6" i="2" s="1"/>
  <c r="J6" i="2" s="1"/>
  <c r="H87" i="1"/>
  <c r="H31" i="2" s="1"/>
  <c r="G31" i="2"/>
  <c r="L22" i="1"/>
  <c r="K9" i="2" s="1"/>
  <c r="G9" i="2"/>
  <c r="J102" i="1"/>
  <c r="J103" i="1" s="1"/>
  <c r="I103" i="1"/>
  <c r="I37" i="2" s="1"/>
  <c r="J37" i="2" s="1"/>
  <c r="J113" i="1"/>
  <c r="I115" i="1"/>
  <c r="I41" i="2" s="1"/>
  <c r="J41" i="2" s="1"/>
  <c r="J15" i="1"/>
  <c r="J17" i="1" s="1"/>
  <c r="I17" i="1"/>
  <c r="I7" i="2" s="1"/>
  <c r="J7" i="2" s="1"/>
  <c r="J109" i="1"/>
  <c r="I111" i="1"/>
  <c r="I39" i="2" s="1"/>
  <c r="J39" i="2" s="1"/>
  <c r="J97" i="1"/>
  <c r="I99" i="1"/>
  <c r="I35" i="2" s="1"/>
  <c r="J35" i="2" s="1"/>
  <c r="H99" i="1"/>
  <c r="H35" i="2" s="1"/>
  <c r="G35" i="2"/>
  <c r="H83" i="1"/>
  <c r="H30" i="2" s="1"/>
  <c r="G30" i="2"/>
  <c r="L128" i="1"/>
  <c r="K45" i="2" s="1"/>
  <c r="G45" i="2"/>
  <c r="E75" i="1"/>
  <c r="E27" i="2" s="1"/>
  <c r="J38" i="1"/>
  <c r="J119" i="1"/>
  <c r="J83" i="1"/>
  <c r="J99" i="1"/>
  <c r="J115" i="1"/>
  <c r="J78" i="1"/>
  <c r="J79" i="1"/>
  <c r="I83" i="1"/>
  <c r="I30" i="2" s="1"/>
  <c r="J30" i="2" s="1"/>
  <c r="I73" i="1"/>
  <c r="J66" i="1"/>
  <c r="I66" i="1"/>
  <c r="I24" i="2" s="1"/>
  <c r="J24" i="2" s="1"/>
  <c r="I119" i="1"/>
  <c r="I42" i="2" s="1"/>
  <c r="J42" i="2" s="1"/>
  <c r="J121" i="1"/>
  <c r="J123" i="1" s="1"/>
  <c r="J73" i="1"/>
  <c r="J75" i="1" s="1"/>
  <c r="J27" i="2" s="1"/>
  <c r="H128" i="1"/>
  <c r="H45" i="2" s="1"/>
  <c r="H22" i="1"/>
  <c r="H9" i="2" s="1"/>
  <c r="H75" i="1"/>
  <c r="H27" i="2" s="1"/>
  <c r="I127" i="1"/>
  <c r="J60" i="1"/>
  <c r="J62" i="1" s="1"/>
  <c r="I62" i="1"/>
  <c r="I23" i="2" s="1"/>
  <c r="J23" i="2" s="1"/>
  <c r="J29" i="1"/>
  <c r="J30" i="1" s="1"/>
  <c r="I74" i="1"/>
  <c r="J126" i="1"/>
  <c r="J128" i="1" s="1"/>
  <c r="J45" i="2" s="1"/>
  <c r="I70" i="1"/>
  <c r="I25" i="2" s="1"/>
  <c r="J25" i="2" s="1"/>
  <c r="E128" i="1"/>
  <c r="E45" i="2" s="1"/>
  <c r="J85" i="1"/>
  <c r="J87" i="1" s="1"/>
  <c r="I87" i="1"/>
  <c r="I31" i="2" s="1"/>
  <c r="J31" i="2" s="1"/>
  <c r="I126" i="1"/>
  <c r="J32" i="1"/>
  <c r="J34" i="1" s="1"/>
  <c r="J70" i="1"/>
  <c r="J111" i="1"/>
  <c r="J20" i="1"/>
  <c r="J22" i="1" s="1"/>
  <c r="J9" i="2" s="1"/>
  <c r="M75" i="1" l="1"/>
  <c r="M22" i="1"/>
  <c r="L9" i="2" s="1"/>
  <c r="M128" i="1"/>
  <c r="L45" i="2" s="1"/>
  <c r="L27" i="2"/>
  <c r="I22" i="1"/>
  <c r="I9" i="2" s="1"/>
  <c r="I128" i="1"/>
  <c r="I45" i="2" s="1"/>
  <c r="I75" i="1"/>
  <c r="I2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White</author>
    <author>Steve Shute</author>
  </authors>
  <commentList>
    <comment ref="D8" authorId="0" shapeId="0" xr:uid="{F2A1B9A1-A2D6-4FCB-BBA3-4BBC38B505FF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 2/16/26 reflects 2023 L&amp;U</t>
        </r>
      </text>
    </comment>
    <comment ref="C15" authorId="0" shapeId="0" xr:uid="{39FA0170-B295-4DE8-80A8-07C833B7968C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2/16/26 reflect 2023 L&amp;U</t>
        </r>
      </text>
    </comment>
    <comment ref="D15" authorId="1" shapeId="0" xr:uid="{FF31C157-E99F-445D-A97B-A2715913559C}">
      <text>
        <r>
          <rPr>
            <b/>
            <sz val="9"/>
            <color indexed="81"/>
            <rFont val="Tahoma"/>
            <family val="2"/>
          </rPr>
          <t>Steve Shute:</t>
        </r>
        <r>
          <rPr>
            <sz val="9"/>
            <color indexed="81"/>
            <rFont val="Tahoma"/>
            <family val="2"/>
          </rPr>
          <t xml:space="preserve">
add the gas portion of Bad Debts for past yr, est from previous adjmt</t>
        </r>
      </text>
    </comment>
    <comment ref="C28" authorId="0" shapeId="0" xr:uid="{425C3C17-8469-4FD0-AA43-E62F26CB8D22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2/16/26 reflect 2023 L&amp;U</t>
        </r>
      </text>
    </comment>
    <comment ref="D32" authorId="0" shapeId="0" xr:uid="{135FFC5D-94FA-4982-8FA4-9504FF2C167B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adj 6/12/25</t>
        </r>
      </text>
    </comment>
    <comment ref="C36" authorId="0" shapeId="0" xr:uid="{2BD73890-C7B1-4339-9F77-17A262026DDA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adj 6/12/25</t>
        </r>
      </text>
    </comment>
    <comment ref="G36" authorId="0" shapeId="0" xr:uid="{0A69C01F-D776-4EB8-BF05-030B62B55E8A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adj 6/12/25</t>
        </r>
      </text>
    </comment>
    <comment ref="O36" authorId="1" shapeId="0" xr:uid="{E7BAA228-0A92-4CE6-88CA-567718520544}">
      <text>
        <r>
          <rPr>
            <b/>
            <sz val="9"/>
            <color indexed="81"/>
            <rFont val="Tahoma"/>
            <family val="2"/>
          </rPr>
          <t>Steve Shute:</t>
        </r>
        <r>
          <rPr>
            <sz val="9"/>
            <color indexed="81"/>
            <rFont val="Tahoma"/>
            <family val="2"/>
          </rPr>
          <t xml:space="preserve">
SS GBA; DH math is 5.59 - 3.432 = 2.158</t>
        </r>
      </text>
    </comment>
    <comment ref="G37" authorId="0" shapeId="0" xr:uid="{AFA9C4F7-86D7-470A-92C1-CA9C8673A2B4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adj 6/12/25</t>
        </r>
      </text>
    </comment>
    <comment ref="C44" authorId="0" shapeId="0" xr:uid="{EB3599E4-65CD-4AFC-BE0A-D7AFCEAC3540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adj 6/12/25</t>
        </r>
      </text>
    </comment>
    <comment ref="D44" authorId="0" shapeId="0" xr:uid="{008633F1-7815-42C5-A0A7-87E2D480CE5E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2/16/26 reflect 2024 L&amp;U</t>
        </r>
      </text>
    </comment>
    <comment ref="C53" authorId="0" shapeId="0" xr:uid="{8E2B5244-3434-4B1B-9FDB-1D6F016D6496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2/16/26 reflect L&amp;U
</t>
        </r>
      </text>
    </comment>
    <comment ref="C56" authorId="0" shapeId="0" xr:uid="{AADFBEFC-28C5-4EAA-A7DE-46DDA1517255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2/16/26 reflect 2024</t>
        </r>
      </text>
    </comment>
    <comment ref="G56" authorId="0" shapeId="0" xr:uid="{30030682-6C2B-4599-B841-9FFB3D83A3A5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adj 6/12/25
SS: but copied Jun value</t>
        </r>
      </text>
    </comment>
    <comment ref="C57" authorId="0" shapeId="0" xr:uid="{82E8A556-54AD-444C-8549-57CAC2FB4197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adj 6/12/25</t>
        </r>
      </text>
    </comment>
    <comment ref="G57" authorId="0" shapeId="0" xr:uid="{08B55C9D-9F7C-4E83-B9AB-BF87A3DACC29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adj 6/12/25</t>
        </r>
      </text>
    </comment>
    <comment ref="C60" authorId="0" shapeId="0" xr:uid="{EE7F222C-EABA-424D-80C2-FD2AB84F9946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updated 5/16/25</t>
        </r>
      </text>
    </comment>
    <comment ref="D61" authorId="0" shapeId="0" xr:uid="{E69A8BE4-CCB6-4805-AA17-2DEF2C312F85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2/6/26 Reflect 2024 L&amp;U</t>
        </r>
      </text>
    </comment>
    <comment ref="G61" authorId="0" shapeId="0" xr:uid="{6B56A7F5-22E8-46DB-9B45-01419FE0C86A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adj 6/12/25</t>
        </r>
      </text>
    </comment>
    <comment ref="C64" authorId="0" shapeId="0" xr:uid="{33D2CFC5-9383-49D2-AC46-5E91273639CD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updated 5/16/25</t>
        </r>
      </text>
    </comment>
    <comment ref="G64" authorId="0" shapeId="0" xr:uid="{7AD47974-246B-4E05-BA53-72007153E519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adj 6/12/25</t>
        </r>
      </text>
    </comment>
    <comment ref="C65" authorId="0" shapeId="0" xr:uid="{AB64867D-F268-4AE8-A0AD-E2D2B6043D68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adj 6/12/25</t>
        </r>
      </text>
    </comment>
    <comment ref="D65" authorId="0" shapeId="0" xr:uid="{AD23236B-0C18-4334-9E35-04FF90FCCAB1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2/6/26 reflect 2024 L&amp;U</t>
        </r>
      </text>
    </comment>
    <comment ref="G65" authorId="0" shapeId="0" xr:uid="{93C53F1D-A140-4B07-8C2A-8596924A1D1F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adj 6/12/25</t>
        </r>
      </text>
    </comment>
    <comment ref="C68" authorId="0" shapeId="0" xr:uid="{3E76E0BC-5C1B-4275-9081-5F3B75BDC13C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2/16/26 reflect 2024 L&amp;U</t>
        </r>
      </text>
    </comment>
    <comment ref="D68" authorId="1" shapeId="0" xr:uid="{6A8E3E22-A3BE-4717-AB1D-354328AA9996}">
      <text>
        <r>
          <rPr>
            <b/>
            <sz val="9"/>
            <color indexed="81"/>
            <rFont val="Tahoma"/>
            <family val="2"/>
          </rPr>
          <t>Steve Shute:</t>
        </r>
        <r>
          <rPr>
            <sz val="9"/>
            <color indexed="81"/>
            <rFont val="Tahoma"/>
            <family val="2"/>
          </rPr>
          <t xml:space="preserve">
add the gas portion of Bad Debts for past yr, est from previous adjmt</t>
        </r>
      </text>
    </comment>
    <comment ref="G68" authorId="0" shapeId="0" xr:uid="{C13E8728-4806-43F5-B878-EEB15C7EF946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adj 6/12/25</t>
        </r>
      </text>
    </comment>
    <comment ref="D69" authorId="0" shapeId="0" xr:uid="{0BA2BC45-E2F5-4D20-BEC7-92EC1478C926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2/16/26 Reflect 2024 L&amp;U</t>
        </r>
      </text>
    </comment>
    <comment ref="G69" authorId="0" shapeId="0" xr:uid="{D87E9EB9-2590-4714-BB0F-2E164EE7B8A2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adj 6/12/25</t>
        </r>
      </text>
    </comment>
    <comment ref="C77" authorId="0" shapeId="0" xr:uid="{B6F7FE75-2DC7-4C56-9AD5-9A4E6D2D8E18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updated 5/16/25</t>
        </r>
      </text>
    </comment>
    <comment ref="D77" authorId="0" shapeId="0" xr:uid="{4A0384C6-917A-4490-A504-250916596DEB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reflect 2024 L&amp;U</t>
        </r>
      </text>
    </comment>
    <comment ref="G77" authorId="0" shapeId="0" xr:uid="{0CE60B0E-5A56-4D13-8930-1E0915DAFE49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adj 6/12/25</t>
        </r>
      </text>
    </comment>
    <comment ref="C78" authorId="0" shapeId="0" xr:uid="{BCD1FA47-FB58-43FB-8F69-653AB2684B26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adj 6/12/25</t>
        </r>
      </text>
    </comment>
    <comment ref="D78" authorId="0" shapeId="0" xr:uid="{59A7598D-A302-4F14-AB63-2813C7BE8EBC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reflect 2024 L&amp;U</t>
        </r>
      </text>
    </comment>
    <comment ref="G78" authorId="0" shapeId="0" xr:uid="{1C3C85C3-ABB4-4D0D-82CA-C35D06652AF0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adj 6/12/25</t>
        </r>
      </text>
    </comment>
    <comment ref="C81" authorId="0" shapeId="0" xr:uid="{89159346-E169-4220-AA05-D1A2C4E758C2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updated 5/16/25</t>
        </r>
      </text>
    </comment>
    <comment ref="C82" authorId="0" shapeId="0" xr:uid="{9528418F-3091-4883-AF8B-63F361728704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adj 6/12/25</t>
        </r>
      </text>
    </comment>
    <comment ref="D82" authorId="0" shapeId="0" xr:uid="{663D06DF-E580-4B6D-B591-20DDDCF0050A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reflect 2024 L&amp;U</t>
        </r>
      </text>
    </comment>
    <comment ref="G82" authorId="0" shapeId="0" xr:uid="{FEBE183B-E5B0-473A-A277-478BC6097E89}">
      <text>
        <r>
          <rPr>
            <b/>
            <sz val="9"/>
            <color indexed="81"/>
            <rFont val="Tahoma"/>
            <family val="2"/>
          </rPr>
          <t>John White:
2/16/26 reflect 2024 L&amp;U</t>
        </r>
      </text>
    </comment>
    <comment ref="C85" authorId="0" shapeId="0" xr:uid="{12CD6C7F-BF63-4F1F-96A8-673779CBD53B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updated 5/16/25</t>
        </r>
      </text>
    </comment>
    <comment ref="C86" authorId="0" shapeId="0" xr:uid="{82C442E6-E078-4C31-ADB8-5344D0BF769F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adj 6/12/25</t>
        </r>
      </text>
    </comment>
    <comment ref="D86" authorId="0" shapeId="0" xr:uid="{399D37DF-7869-45E4-845E-4445B2D79919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2/16/26 reflect 2025 L&amp;U</t>
        </r>
      </text>
    </comment>
    <comment ref="G86" authorId="0" shapeId="0" xr:uid="{5D081E97-A896-4FCD-8AAE-8BDEE3C0078E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adj 6/12/25</t>
        </r>
      </text>
    </comment>
    <comment ref="C89" authorId="0" shapeId="0" xr:uid="{0BA93AA1-4E88-4B59-9B0E-11F6F2BACF49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2/16/26 reflect 2025 L&amp;U</t>
        </r>
      </text>
    </comment>
    <comment ref="G89" authorId="0" shapeId="0" xr:uid="{F9521925-EBDF-4224-9049-0492FDFDD9EE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adj 6/12/25</t>
        </r>
      </text>
    </comment>
    <comment ref="C90" authorId="0" shapeId="0" xr:uid="{A76BF857-B366-4524-ACB1-D25E6E7BF745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adj 6/12/25 JW; 
SS adj back to actual bills Feb26</t>
        </r>
      </text>
    </comment>
    <comment ref="D90" authorId="0" shapeId="0" xr:uid="{5267FC0C-99E1-481D-8ABC-11F134EC901B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2/16/26 reflect 2025 L&amp;U</t>
        </r>
      </text>
    </comment>
    <comment ref="G90" authorId="0" shapeId="0" xr:uid="{564BE462-DF47-4BED-85D2-71E0E115658F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adj 6/12/25</t>
        </r>
      </text>
    </comment>
    <comment ref="C93" authorId="0" shapeId="0" xr:uid="{A03B094E-9592-4343-8410-18DD7851070F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2/16/26 reflect 2025 L&amp;U</t>
        </r>
      </text>
    </comment>
    <comment ref="D94" authorId="0" shapeId="0" xr:uid="{B2D70558-7F81-4C97-9343-98B14E744B51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2/16/26 reflect 2025 L&amp;U </t>
        </r>
      </text>
    </comment>
    <comment ref="G94" authorId="0" shapeId="0" xr:uid="{CF073740-2163-4280-A5DE-48BC221B3E93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adj 6/12/25</t>
        </r>
      </text>
    </comment>
    <comment ref="C97" authorId="0" shapeId="0" xr:uid="{E23C43E2-6452-447C-AA66-C64F6D8625F8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2/16/26 reflect L&amp;U</t>
        </r>
      </text>
    </comment>
    <comment ref="G97" authorId="0" shapeId="0" xr:uid="{4EFB868F-A422-4A27-9734-0319E990E336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2/16/26 reflect 2025 L&amp;U</t>
        </r>
      </text>
    </comment>
    <comment ref="C98" authorId="0" shapeId="0" xr:uid="{3762F4EC-38EE-48AD-9251-55E4C44D49A4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adj 6/12/25</t>
        </r>
      </text>
    </comment>
    <comment ref="D98" authorId="0" shapeId="0" xr:uid="{6546D93C-9D02-4E56-A107-E60881B3DCEE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2/16/26 reflect 2025 L&amp;U</t>
        </r>
      </text>
    </comment>
    <comment ref="C101" authorId="0" shapeId="0" xr:uid="{EE7DCFBA-35D5-481D-ADC2-46136F4853A4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2/16/26 reflect 2025 L&amp;U</t>
        </r>
      </text>
    </comment>
    <comment ref="G101" authorId="0" shapeId="0" xr:uid="{4F54AD67-6523-43B5-96EB-75CC61BAAE56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2/16/26 reflect 2025 L&amp;U</t>
        </r>
      </text>
    </comment>
    <comment ref="C102" authorId="0" shapeId="0" xr:uid="{CF411DD9-C1AE-44EE-8352-06F5221678B5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2/16/26 reflect 2025 L&amp;U</t>
        </r>
      </text>
    </comment>
    <comment ref="C105" authorId="0" shapeId="0" xr:uid="{30938DDD-3D51-4CDA-A573-BDBC7689FB21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2/16/26 reflect 2025 L&amp;U</t>
        </r>
      </text>
    </comment>
    <comment ref="C106" authorId="0" shapeId="0" xr:uid="{B5FED78A-1422-42F7-A239-83C837D6DFC6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2/16/26 reflect 2025 L&amp;U</t>
        </r>
      </text>
    </comment>
    <comment ref="C109" authorId="0" shapeId="0" xr:uid="{BF57B5C2-76A3-4A93-A502-45FC0426A276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2/16/26 reflect 2025 L&amp;U</t>
        </r>
      </text>
    </comment>
    <comment ref="C110" authorId="0" shapeId="0" xr:uid="{0511BD6F-1FF8-4362-B26A-A067EFE5E97C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2/16/26 reflect 2025 L&amp;U</t>
        </r>
      </text>
    </comment>
    <comment ref="C113" authorId="0" shapeId="0" xr:uid="{0C6F7D1C-893C-4744-B90B-132CC4A0AF24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2/16/26 reflect 2025 L&amp;U</t>
        </r>
      </text>
    </comment>
    <comment ref="C117" authorId="0" shapeId="0" xr:uid="{4DEFADA7-2902-43A8-AB76-FD529CB73D80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2/16/26 reflect 2025 L&amp;U</t>
        </r>
      </text>
    </comment>
    <comment ref="C118" authorId="0" shapeId="0" xr:uid="{5C5B2EE4-4FC7-489B-955E-62FC81A89E0B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2/16/26 reflect 2025 L&amp;U</t>
        </r>
      </text>
    </comment>
    <comment ref="C121" authorId="0" shapeId="0" xr:uid="{ADA0100E-664E-4009-BEF9-263D0FA90B7F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2/16/26 reflect 2025 L&amp;U</t>
        </r>
      </text>
    </comment>
    <comment ref="C130" authorId="0" shapeId="0" xr:uid="{0B1406D5-79FD-48DB-9F65-45E138C8B520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2/16/26 reflect 2025 L&amp;U</t>
        </r>
      </text>
    </comment>
    <comment ref="C131" authorId="0" shapeId="0" xr:uid="{73DB80DA-068C-4658-A953-DD91732B7D39}">
      <text>
        <r>
          <rPr>
            <b/>
            <sz val="9"/>
            <color indexed="81"/>
            <rFont val="Tahoma"/>
            <family val="2"/>
          </rPr>
          <t>John White:</t>
        </r>
        <r>
          <rPr>
            <sz val="9"/>
            <color indexed="81"/>
            <rFont val="Tahoma"/>
            <family val="2"/>
          </rPr>
          <t xml:space="preserve">
2/16/26 reflect 2025 L&amp;U</t>
        </r>
      </text>
    </comment>
  </commentList>
</comments>
</file>

<file path=xl/sharedStrings.xml><?xml version="1.0" encoding="utf-8"?>
<sst xmlns="http://schemas.openxmlformats.org/spreadsheetml/2006/main" count="162" uniqueCount="36">
  <si>
    <t>KFG GAS BALANCING ACCOUNT</t>
  </si>
  <si>
    <t>per Dennis Horner</t>
  </si>
  <si>
    <t>Month</t>
  </si>
  <si>
    <t>System</t>
  </si>
  <si>
    <t>Purch      Mcf</t>
  </si>
  <si>
    <t>Purch</t>
  </si>
  <si>
    <t>Purch $/Mcf</t>
  </si>
  <si>
    <t>Sales Mcf</t>
  </si>
  <si>
    <t>L&amp;U</t>
  </si>
  <si>
    <t>Gas Sales</t>
  </si>
  <si>
    <t>O/U Recov Cost</t>
  </si>
  <si>
    <t>Expected Gas Cost $/MCF</t>
  </si>
  <si>
    <t>AA + BA Adjst</t>
  </si>
  <si>
    <t>Gas Cost Reconcil'n</t>
  </si>
  <si>
    <t>GCA Rate $/Mcf</t>
  </si>
  <si>
    <t>KFG</t>
  </si>
  <si>
    <t>PGC</t>
  </si>
  <si>
    <t>Total</t>
  </si>
  <si>
    <t>Sales/limtr</t>
  </si>
  <si>
    <t>Excess L&amp;U</t>
  </si>
  <si>
    <t>L&amp;U Limit calcs</t>
  </si>
  <si>
    <t>estimate</t>
  </si>
  <si>
    <t>Limiter</t>
  </si>
  <si>
    <t>GCA calc</t>
  </si>
  <si>
    <t>7.5% Sales/limtr</t>
  </si>
  <si>
    <t>GCA calcs</t>
  </si>
  <si>
    <t>7.5% Limiter</t>
  </si>
  <si>
    <t>doesn't incl gas cost portion of Bad Debt into Purch cost</t>
  </si>
  <si>
    <t>TBD</t>
  </si>
  <si>
    <t>Carryover L&amp;U</t>
  </si>
  <si>
    <t>Split calcs for KFG Frontier and PGC Public Gas</t>
  </si>
  <si>
    <r>
      <t xml:space="preserve">  </t>
    </r>
    <r>
      <rPr>
        <i/>
        <sz val="10"/>
        <color theme="1"/>
        <rFont val="Calibri"/>
        <family val="2"/>
        <scheme val="minor"/>
      </rPr>
      <t>These totals feed to L&amp;U Sum</t>
    </r>
  </si>
  <si>
    <t>artificially under-recovered</t>
  </si>
  <si>
    <t>(Monthly GCA calcs take more</t>
  </si>
  <si>
    <t>than the 7.5% limit)</t>
  </si>
  <si>
    <t>Totals from GBA 2023-26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</si>
</sst>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.000_);_(&quot;$&quot;* \(#,##0.000\);_(&quot;$&quot;* &quot;-&quot;??_);_(@_)"/>
    <numFmt numFmtId="166" formatCode="_(&quot;$&quot;* #,##0_);_(&quot;$&quot;* \(#,##0\);_(&quot;$&quot;* &quot;-&quot;??_);_(@_)"/>
    <numFmt numFmtId="167" formatCode="0.0%"/>
    <numFmt numFmtId="168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4" fillId="2" borderId="0" xfId="0" applyFont="1" applyFill="1"/>
    <xf numFmtId="0" fontId="5" fillId="2" borderId="0" xfId="0" applyFont="1" applyFill="1"/>
    <xf numFmtId="16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 wrapText="1"/>
    </xf>
    <xf numFmtId="5" fontId="3" fillId="2" borderId="1" xfId="0" applyNumberFormat="1" applyFont="1" applyFill="1" applyBorder="1" applyAlignment="1">
      <alignment horizontal="center" wrapText="1"/>
    </xf>
    <xf numFmtId="165" fontId="6" fillId="2" borderId="1" xfId="2" applyNumberFormat="1" applyFont="1" applyFill="1" applyBorder="1" applyAlignment="1">
      <alignment horizontal="center" wrapText="1"/>
    </xf>
    <xf numFmtId="5" fontId="3" fillId="2" borderId="2" xfId="0" applyNumberFormat="1" applyFont="1" applyFill="1" applyBorder="1" applyAlignment="1">
      <alignment horizontal="center" wrapText="1"/>
    </xf>
    <xf numFmtId="9" fontId="3" fillId="2" borderId="1" xfId="0" applyNumberFormat="1" applyFont="1" applyFill="1" applyBorder="1" applyAlignment="1">
      <alignment horizontal="center" wrapText="1"/>
    </xf>
    <xf numFmtId="165" fontId="3" fillId="2" borderId="1" xfId="2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left"/>
    </xf>
    <xf numFmtId="0" fontId="5" fillId="3" borderId="0" xfId="0" applyFont="1" applyFill="1"/>
    <xf numFmtId="3" fontId="5" fillId="3" borderId="0" xfId="0" applyNumberFormat="1" applyFont="1" applyFill="1"/>
    <xf numFmtId="5" fontId="5" fillId="3" borderId="0" xfId="0" applyNumberFormat="1" applyFont="1" applyFill="1"/>
    <xf numFmtId="165" fontId="4" fillId="3" borderId="0" xfId="2" applyNumberFormat="1" applyFont="1" applyFill="1"/>
    <xf numFmtId="5" fontId="5" fillId="3" borderId="3" xfId="0" applyNumberFormat="1" applyFont="1" applyFill="1" applyBorder="1"/>
    <xf numFmtId="9" fontId="5" fillId="3" borderId="0" xfId="0" applyNumberFormat="1" applyFont="1" applyFill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5" fillId="0" borderId="0" xfId="0" applyFont="1"/>
    <xf numFmtId="3" fontId="5" fillId="0" borderId="0" xfId="0" applyNumberFormat="1" applyFont="1"/>
    <xf numFmtId="5" fontId="5" fillId="0" borderId="0" xfId="0" applyNumberFormat="1" applyFont="1"/>
    <xf numFmtId="165" fontId="4" fillId="0" borderId="0" xfId="2" applyNumberFormat="1" applyFont="1"/>
    <xf numFmtId="9" fontId="5" fillId="0" borderId="0" xfId="0" applyNumberFormat="1" applyFont="1"/>
    <xf numFmtId="165" fontId="4" fillId="0" borderId="0" xfId="2" applyNumberFormat="1" applyFont="1" applyAlignment="1">
      <alignment horizontal="center"/>
    </xf>
    <xf numFmtId="0" fontId="4" fillId="0" borderId="0" xfId="0" applyFont="1"/>
    <xf numFmtId="164" fontId="7" fillId="4" borderId="4" xfId="0" applyNumberFormat="1" applyFont="1" applyFill="1" applyBorder="1" applyAlignment="1">
      <alignment horizontal="left"/>
    </xf>
    <xf numFmtId="0" fontId="7" fillId="4" borderId="5" xfId="0" applyFont="1" applyFill="1" applyBorder="1"/>
    <xf numFmtId="3" fontId="7" fillId="4" borderId="5" xfId="0" applyNumberFormat="1" applyFont="1" applyFill="1" applyBorder="1"/>
    <xf numFmtId="5" fontId="7" fillId="4" borderId="5" xfId="0" applyNumberFormat="1" applyFont="1" applyFill="1" applyBorder="1"/>
    <xf numFmtId="165" fontId="8" fillId="4" borderId="5" xfId="2" applyNumberFormat="1" applyFont="1" applyFill="1" applyBorder="1"/>
    <xf numFmtId="5" fontId="7" fillId="4" borderId="3" xfId="0" applyNumberFormat="1" applyFont="1" applyFill="1" applyBorder="1"/>
    <xf numFmtId="165" fontId="8" fillId="4" borderId="4" xfId="2" applyNumberFormat="1" applyFont="1" applyFill="1" applyBorder="1"/>
    <xf numFmtId="165" fontId="8" fillId="4" borderId="6" xfId="2" applyNumberFormat="1" applyFont="1" applyFill="1" applyBorder="1"/>
    <xf numFmtId="0" fontId="7" fillId="4" borderId="0" xfId="0" applyFont="1" applyFill="1"/>
    <xf numFmtId="164" fontId="5" fillId="0" borderId="4" xfId="0" applyNumberFormat="1" applyFont="1" applyBorder="1" applyAlignment="1">
      <alignment horizontal="left"/>
    </xf>
    <xf numFmtId="0" fontId="5" fillId="0" borderId="5" xfId="0" applyFont="1" applyBorder="1"/>
    <xf numFmtId="3" fontId="5" fillId="0" borderId="5" xfId="0" applyNumberFormat="1" applyFont="1" applyBorder="1"/>
    <xf numFmtId="5" fontId="5" fillId="0" borderId="5" xfId="0" applyNumberFormat="1" applyFont="1" applyBorder="1"/>
    <xf numFmtId="165" fontId="4" fillId="0" borderId="5" xfId="2" applyNumberFormat="1" applyFont="1" applyBorder="1"/>
    <xf numFmtId="165" fontId="4" fillId="0" borderId="4" xfId="2" applyNumberFormat="1" applyFont="1" applyBorder="1"/>
    <xf numFmtId="165" fontId="4" fillId="0" borderId="6" xfId="2" applyNumberFormat="1" applyFont="1" applyBorder="1"/>
    <xf numFmtId="5" fontId="5" fillId="5" borderId="0" xfId="0" applyNumberFormat="1" applyFont="1" applyFill="1"/>
    <xf numFmtId="165" fontId="5" fillId="0" borderId="0" xfId="2" applyNumberFormat="1" applyFont="1"/>
    <xf numFmtId="44" fontId="4" fillId="0" borderId="0" xfId="2" applyFont="1" applyFill="1"/>
    <xf numFmtId="0" fontId="3" fillId="6" borderId="0" xfId="0" applyFont="1" applyFill="1" applyAlignment="1">
      <alignment horizontal="center"/>
    </xf>
    <xf numFmtId="0" fontId="3" fillId="6" borderId="0" xfId="0" applyFont="1" applyFill="1"/>
    <xf numFmtId="3" fontId="6" fillId="6" borderId="0" xfId="0" applyNumberFormat="1" applyFont="1" applyFill="1"/>
    <xf numFmtId="3" fontId="3" fillId="6" borderId="0" xfId="0" applyNumberFormat="1" applyFont="1" applyFill="1"/>
    <xf numFmtId="166" fontId="5" fillId="6" borderId="0" xfId="2" applyNumberFormat="1" applyFont="1" applyFill="1"/>
    <xf numFmtId="44" fontId="4" fillId="6" borderId="0" xfId="2" applyFont="1" applyFill="1"/>
    <xf numFmtId="167" fontId="4" fillId="6" borderId="0" xfId="3" applyNumberFormat="1" applyFont="1" applyFill="1"/>
    <xf numFmtId="168" fontId="5" fillId="6" borderId="0" xfId="1" applyNumberFormat="1" applyFont="1" applyFill="1"/>
    <xf numFmtId="164" fontId="4" fillId="6" borderId="0" xfId="0" applyNumberFormat="1" applyFont="1" applyFill="1" applyAlignment="1">
      <alignment horizontal="left"/>
    </xf>
    <xf numFmtId="0" fontId="4" fillId="6" borderId="0" xfId="0" applyFont="1" applyFill="1"/>
    <xf numFmtId="3" fontId="4" fillId="0" borderId="0" xfId="0" applyNumberFormat="1" applyFont="1"/>
    <xf numFmtId="166" fontId="4" fillId="0" borderId="0" xfId="2" applyNumberFormat="1" applyFont="1" applyFill="1"/>
    <xf numFmtId="165" fontId="7" fillId="4" borderId="4" xfId="2" applyNumberFormat="1" applyFont="1" applyFill="1" applyBorder="1"/>
    <xf numFmtId="165" fontId="7" fillId="4" borderId="5" xfId="2" applyNumberFormat="1" applyFont="1" applyFill="1" applyBorder="1"/>
    <xf numFmtId="165" fontId="7" fillId="4" borderId="6" xfId="2" applyNumberFormat="1" applyFont="1" applyFill="1" applyBorder="1"/>
    <xf numFmtId="3" fontId="3" fillId="0" borderId="0" xfId="0" applyNumberFormat="1" applyFont="1"/>
    <xf numFmtId="0" fontId="6" fillId="0" borderId="0" xfId="0" applyFont="1" applyAlignment="1">
      <alignment horizontal="center"/>
    </xf>
    <xf numFmtId="9" fontId="10" fillId="0" borderId="0" xfId="3" applyFont="1"/>
    <xf numFmtId="3" fontId="11" fillId="0" borderId="0" xfId="0" applyNumberFormat="1" applyFont="1" applyAlignment="1">
      <alignment vertical="top"/>
    </xf>
    <xf numFmtId="168" fontId="5" fillId="0" borderId="0" xfId="1" applyNumberFormat="1" applyFont="1"/>
    <xf numFmtId="166" fontId="5" fillId="0" borderId="0" xfId="2" applyNumberFormat="1" applyFont="1"/>
    <xf numFmtId="0" fontId="3" fillId="0" borderId="0" xfId="0" applyFont="1" applyAlignment="1">
      <alignment horizontal="center"/>
    </xf>
    <xf numFmtId="168" fontId="5" fillId="0" borderId="0" xfId="1" applyNumberFormat="1" applyFont="1" applyFill="1"/>
    <xf numFmtId="166" fontId="5" fillId="0" borderId="0" xfId="2" applyNumberFormat="1" applyFont="1" applyFill="1"/>
    <xf numFmtId="166" fontId="3" fillId="0" borderId="0" xfId="0" applyNumberFormat="1" applyFont="1"/>
    <xf numFmtId="166" fontId="3" fillId="0" borderId="0" xfId="2" applyNumberFormat="1" applyFont="1" applyFill="1"/>
    <xf numFmtId="165" fontId="4" fillId="0" borderId="0" xfId="2" applyNumberFormat="1" applyFont="1" applyFill="1"/>
    <xf numFmtId="3" fontId="5" fillId="7" borderId="0" xfId="0" applyNumberFormat="1" applyFont="1" applyFill="1"/>
    <xf numFmtId="3" fontId="4" fillId="7" borderId="0" xfId="0" applyNumberFormat="1" applyFont="1" applyFill="1" applyAlignment="1">
      <alignment horizontal="center"/>
    </xf>
    <xf numFmtId="0" fontId="3" fillId="7" borderId="0" xfId="0" applyFont="1" applyFill="1"/>
    <xf numFmtId="167" fontId="4" fillId="7" borderId="0" xfId="3" applyNumberFormat="1" applyFont="1" applyFill="1"/>
    <xf numFmtId="167" fontId="6" fillId="8" borderId="0" xfId="3" applyNumberFormat="1" applyFont="1" applyFill="1"/>
    <xf numFmtId="166" fontId="0" fillId="0" borderId="0" xfId="2" applyNumberFormat="1" applyFont="1"/>
    <xf numFmtId="44" fontId="9" fillId="0" borderId="0" xfId="2" applyFont="1"/>
    <xf numFmtId="9" fontId="9" fillId="0" borderId="0" xfId="3" applyFont="1"/>
    <xf numFmtId="166" fontId="0" fillId="6" borderId="0" xfId="2" applyNumberFormat="1" applyFont="1" applyFill="1"/>
    <xf numFmtId="44" fontId="9" fillId="6" borderId="0" xfId="2" applyFont="1" applyFill="1"/>
    <xf numFmtId="167" fontId="14" fillId="6" borderId="0" xfId="3" applyNumberFormat="1" applyFont="1" applyFill="1"/>
    <xf numFmtId="164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wrapText="1"/>
    </xf>
    <xf numFmtId="5" fontId="2" fillId="2" borderId="1" xfId="0" applyNumberFormat="1" applyFont="1" applyFill="1" applyBorder="1" applyAlignment="1">
      <alignment horizontal="center" wrapText="1"/>
    </xf>
    <xf numFmtId="165" fontId="14" fillId="2" borderId="1" xfId="2" applyNumberFormat="1" applyFont="1" applyFill="1" applyBorder="1" applyAlignment="1">
      <alignment horizontal="center" wrapText="1"/>
    </xf>
    <xf numFmtId="5" fontId="2" fillId="9" borderId="2" xfId="0" applyNumberFormat="1" applyFont="1" applyFill="1" applyBorder="1" applyAlignment="1">
      <alignment horizontal="center" wrapText="1"/>
    </xf>
    <xf numFmtId="9" fontId="2" fillId="2" borderId="1" xfId="0" applyNumberFormat="1" applyFont="1" applyFill="1" applyBorder="1" applyAlignment="1">
      <alignment horizontal="center" wrapText="1"/>
    </xf>
    <xf numFmtId="5" fontId="0" fillId="9" borderId="3" xfId="0" applyNumberFormat="1" applyFill="1" applyBorder="1"/>
    <xf numFmtId="164" fontId="15" fillId="4" borderId="4" xfId="0" applyNumberFormat="1" applyFont="1" applyFill="1" applyBorder="1" applyAlignment="1">
      <alignment horizontal="left"/>
    </xf>
    <xf numFmtId="0" fontId="15" fillId="4" borderId="5" xfId="0" applyFont="1" applyFill="1" applyBorder="1"/>
    <xf numFmtId="3" fontId="15" fillId="4" borderId="5" xfId="0" applyNumberFormat="1" applyFont="1" applyFill="1" applyBorder="1"/>
    <xf numFmtId="5" fontId="15" fillId="4" borderId="5" xfId="0" applyNumberFormat="1" applyFont="1" applyFill="1" applyBorder="1"/>
    <xf numFmtId="165" fontId="16" fillId="4" borderId="5" xfId="2" applyNumberFormat="1" applyFont="1" applyFill="1" applyBorder="1"/>
    <xf numFmtId="5" fontId="15" fillId="4" borderId="3" xfId="0" applyNumberFormat="1" applyFont="1" applyFill="1" applyBorder="1"/>
    <xf numFmtId="165" fontId="16" fillId="4" borderId="4" xfId="2" applyNumberFormat="1" applyFont="1" applyFill="1" applyBorder="1"/>
    <xf numFmtId="165" fontId="16" fillId="4" borderId="6" xfId="2" applyNumberFormat="1" applyFont="1" applyFill="1" applyBorder="1"/>
    <xf numFmtId="0" fontId="15" fillId="4" borderId="0" xfId="0" applyFont="1" applyFill="1"/>
    <xf numFmtId="164" fontId="0" fillId="0" borderId="0" xfId="0" applyNumberFormat="1" applyAlignment="1">
      <alignment horizontal="left"/>
    </xf>
    <xf numFmtId="3" fontId="0" fillId="0" borderId="0" xfId="0" applyNumberFormat="1"/>
    <xf numFmtId="0" fontId="0" fillId="9" borderId="0" xfId="0" applyFill="1"/>
    <xf numFmtId="3" fontId="14" fillId="6" borderId="0" xfId="0" applyNumberFormat="1" applyFont="1" applyFill="1"/>
    <xf numFmtId="3" fontId="2" fillId="6" borderId="0" xfId="0" applyNumberFormat="1" applyFont="1" applyFill="1"/>
    <xf numFmtId="3" fontId="0" fillId="6" borderId="0" xfId="0" applyNumberFormat="1" applyFill="1"/>
    <xf numFmtId="5" fontId="0" fillId="6" borderId="3" xfId="0" applyNumberFormat="1" applyFill="1" applyBorder="1"/>
    <xf numFmtId="165" fontId="15" fillId="4" borderId="4" xfId="2" applyNumberFormat="1" applyFont="1" applyFill="1" applyBorder="1"/>
    <xf numFmtId="165" fontId="15" fillId="4" borderId="5" xfId="2" applyNumberFormat="1" applyFont="1" applyFill="1" applyBorder="1"/>
    <xf numFmtId="165" fontId="15" fillId="4" borderId="6" xfId="2" applyNumberFormat="1" applyFont="1" applyFill="1" applyBorder="1"/>
    <xf numFmtId="164" fontId="0" fillId="3" borderId="0" xfId="0" applyNumberFormat="1" applyFill="1" applyAlignment="1">
      <alignment horizontal="left"/>
    </xf>
    <xf numFmtId="0" fontId="9" fillId="0" borderId="0" xfId="0" applyFont="1"/>
    <xf numFmtId="166" fontId="0" fillId="0" borderId="7" xfId="2" applyNumberFormat="1" applyFont="1" applyBorder="1"/>
    <xf numFmtId="166" fontId="0" fillId="0" borderId="0" xfId="0" applyNumberFormat="1"/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wrapText="1"/>
    </xf>
    <xf numFmtId="164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66" fontId="9" fillId="0" borderId="0" xfId="0" applyNumberFormat="1" applyFont="1"/>
    <xf numFmtId="166" fontId="2" fillId="7" borderId="0" xfId="0" applyNumberFormat="1" applyFont="1" applyFill="1"/>
    <xf numFmtId="5" fontId="0" fillId="9" borderId="0" xfId="0" applyNumberFormat="1" applyFill="1" applyBorder="1"/>
    <xf numFmtId="0" fontId="6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30E81-9757-48A5-AEA8-F5731C60E1D2}">
  <dimension ref="A1:O57"/>
  <sheetViews>
    <sheetView tabSelected="1" workbookViewId="0">
      <pane xSplit="1" ySplit="4" topLeftCell="B5" activePane="bottomRight" state="frozen"/>
      <selection activeCell="B4" sqref="B4"/>
      <selection pane="topRight" activeCell="B4" sqref="B4"/>
      <selection pane="bottomLeft" activeCell="B4" sqref="B4"/>
      <selection pane="bottomRight" activeCell="B2" sqref="B2"/>
    </sheetView>
  </sheetViews>
  <sheetFormatPr defaultRowHeight="14.6" x14ac:dyDescent="0.4"/>
  <cols>
    <col min="1" max="1" width="12.921875" customWidth="1"/>
    <col min="2" max="2" width="3.23046875" customWidth="1"/>
    <col min="4" max="4" width="13.15234375" customWidth="1"/>
    <col min="6" max="6" width="1.69140625" style="105" customWidth="1"/>
    <col min="9" max="9" width="11.69140625" customWidth="1"/>
    <col min="10" max="10" width="10.69140625" bestFit="1" customWidth="1"/>
    <col min="11" max="11" width="11.07421875" customWidth="1"/>
    <col min="13" max="13" width="11.15234375" customWidth="1"/>
  </cols>
  <sheetData>
    <row r="1" spans="1:15" ht="29.6" thickBot="1" x14ac:dyDescent="0.45">
      <c r="A1" s="86" t="s">
        <v>2</v>
      </c>
      <c r="B1" s="87"/>
      <c r="C1" s="88" t="s">
        <v>4</v>
      </c>
      <c r="D1" s="89" t="s">
        <v>5</v>
      </c>
      <c r="E1" s="90" t="s">
        <v>6</v>
      </c>
      <c r="F1" s="91"/>
      <c r="G1" s="88" t="s">
        <v>7</v>
      </c>
      <c r="H1" s="92" t="s">
        <v>8</v>
      </c>
      <c r="I1" s="89" t="s">
        <v>9</v>
      </c>
      <c r="J1" s="89" t="s">
        <v>10</v>
      </c>
      <c r="K1" s="117" t="s">
        <v>24</v>
      </c>
      <c r="L1" s="117" t="s">
        <v>29</v>
      </c>
      <c r="M1" s="118" t="s">
        <v>25</v>
      </c>
      <c r="N1" s="118"/>
    </row>
    <row r="2" spans="1:15" x14ac:dyDescent="0.4">
      <c r="B2" s="124" t="s">
        <v>35</v>
      </c>
      <c r="F2" s="93"/>
    </row>
    <row r="3" spans="1:15" x14ac:dyDescent="0.4">
      <c r="F3" s="123"/>
    </row>
    <row r="4" spans="1:15" s="102" customFormat="1" ht="3" customHeight="1" x14ac:dyDescent="0.4">
      <c r="A4" s="94"/>
      <c r="B4" s="94"/>
      <c r="C4" s="96"/>
      <c r="D4" s="97"/>
      <c r="E4" s="98"/>
      <c r="F4" s="98"/>
      <c r="G4" s="96"/>
      <c r="H4" s="95"/>
      <c r="I4" s="97"/>
      <c r="J4" s="97"/>
      <c r="K4" s="99"/>
      <c r="L4" s="100"/>
      <c r="M4" s="98"/>
      <c r="N4" s="98"/>
      <c r="O4" s="101"/>
    </row>
    <row r="5" spans="1:15" x14ac:dyDescent="0.4">
      <c r="A5" s="103">
        <v>45139</v>
      </c>
      <c r="B5" s="22"/>
      <c r="C5" s="104">
        <f>'GBA 2023-26'!C9</f>
        <v>8943</v>
      </c>
      <c r="D5" s="80">
        <f>'GBA 2023-26'!D9</f>
        <v>36308.639999999999</v>
      </c>
      <c r="E5" s="81">
        <f>'GBA 2023-26'!E9</f>
        <v>4.0600067091580003</v>
      </c>
      <c r="F5" s="93"/>
      <c r="G5" s="104">
        <f>'GBA 2023-26'!G9</f>
        <v>8508.4</v>
      </c>
      <c r="H5" s="82">
        <f>'GBA 2023-26'!H9</f>
        <v>4.8596667784859708E-2</v>
      </c>
      <c r="I5" s="80">
        <f>'GBA 2023-26'!I9</f>
        <v>29126.805720000004</v>
      </c>
      <c r="J5" s="80">
        <f>I5-D5</f>
        <v>-7181.8342799999955</v>
      </c>
      <c r="M5" s="80"/>
    </row>
    <row r="6" spans="1:15" x14ac:dyDescent="0.4">
      <c r="A6" s="103">
        <v>45170</v>
      </c>
      <c r="C6" s="104">
        <f>'GBA 2023-26'!C13</f>
        <v>9720</v>
      </c>
      <c r="D6" s="80">
        <f>'GBA 2023-26'!D13</f>
        <v>34450.42</v>
      </c>
      <c r="E6" s="81">
        <f>'GBA 2023-26'!E13</f>
        <v>3.5442818930041149</v>
      </c>
      <c r="F6" s="93"/>
      <c r="G6" s="104">
        <f>'GBA 2023-26'!G13</f>
        <v>8605.9</v>
      </c>
      <c r="H6" s="82">
        <f>'GBA 2023-26'!H13</f>
        <v>0.11461934156378605</v>
      </c>
      <c r="I6" s="80">
        <f>'GBA 2023-26'!I13</f>
        <v>29460.577470000004</v>
      </c>
      <c r="J6" s="80">
        <f t="shared" ref="J6:J7" si="0">I6-D6</f>
        <v>-4989.8425299999944</v>
      </c>
      <c r="M6" s="80"/>
    </row>
    <row r="7" spans="1:15" x14ac:dyDescent="0.4">
      <c r="A7" s="103">
        <v>45200</v>
      </c>
      <c r="C7" s="104">
        <f>'GBA 2023-26'!C17</f>
        <v>18949</v>
      </c>
      <c r="D7" s="80">
        <f>'GBA 2023-26'!D17</f>
        <v>79132.78</v>
      </c>
      <c r="E7" s="81">
        <f>'GBA 2023-26'!E17</f>
        <v>4.1760926697978782</v>
      </c>
      <c r="F7" s="93"/>
      <c r="G7" s="104">
        <f>'GBA 2023-26'!G17</f>
        <v>16485.400000000001</v>
      </c>
      <c r="H7" s="82">
        <f>'GBA 2023-26'!H17</f>
        <v>0.13001213784368559</v>
      </c>
      <c r="I7" s="80">
        <f>'GBA 2023-26'!I17</f>
        <v>56434.469820000006</v>
      </c>
      <c r="J7" s="80">
        <f t="shared" si="0"/>
        <v>-22698.310179999993</v>
      </c>
      <c r="M7" s="80"/>
      <c r="N7" s="114"/>
    </row>
    <row r="8" spans="1:15" x14ac:dyDescent="0.4">
      <c r="A8" s="103"/>
      <c r="F8" s="93"/>
      <c r="H8" s="82"/>
      <c r="N8" s="114"/>
    </row>
    <row r="9" spans="1:15" x14ac:dyDescent="0.4">
      <c r="A9" s="106" t="s">
        <v>20</v>
      </c>
      <c r="B9" s="107"/>
      <c r="C9" s="108">
        <f>'GBA 2023-26'!C22</f>
        <v>374538.97</v>
      </c>
      <c r="D9" s="83">
        <f>'GBA 2023-26'!D22</f>
        <v>2484869.54</v>
      </c>
      <c r="E9" s="84">
        <f>'GBA 2023-26'!E22</f>
        <v>6.6344752857092555</v>
      </c>
      <c r="F9" s="109"/>
      <c r="G9" s="108">
        <f>'GBA 2023-26'!G22</f>
        <v>351886.02</v>
      </c>
      <c r="H9" s="85">
        <f>'GBA 2023-26'!H22</f>
        <v>6.4375816919353568E-2</v>
      </c>
      <c r="I9" s="83">
        <f>'GBA 2023-26'!I22</f>
        <v>3742385.24</v>
      </c>
      <c r="J9" s="83">
        <f>'GBA 2023-26'!J22</f>
        <v>-29630.637382350407</v>
      </c>
      <c r="K9" s="108">
        <f>'GBA 2023-26'!L22</f>
        <v>380417.3189189189</v>
      </c>
      <c r="L9" s="108">
        <f>'GBA 2023-26'!M22</f>
        <v>-5878.3489189189277</v>
      </c>
      <c r="M9" s="114"/>
      <c r="N9" s="114"/>
    </row>
    <row r="10" spans="1:15" s="102" customFormat="1" ht="6" customHeight="1" x14ac:dyDescent="0.4">
      <c r="A10" s="94"/>
      <c r="B10" s="95"/>
      <c r="C10" s="96"/>
      <c r="D10" s="97"/>
      <c r="E10" s="98"/>
      <c r="F10" s="99"/>
      <c r="G10" s="96"/>
      <c r="H10" s="95"/>
      <c r="I10" s="97"/>
      <c r="J10" s="97"/>
      <c r="K10" s="99"/>
      <c r="L10" s="110"/>
      <c r="M10" s="111"/>
      <c r="N10" s="111"/>
      <c r="O10" s="112"/>
    </row>
    <row r="11" spans="1:15" x14ac:dyDescent="0.4">
      <c r="A11" s="103">
        <v>45231</v>
      </c>
      <c r="C11" s="104">
        <f>'GBA 2023-26'!C26</f>
        <v>44243</v>
      </c>
      <c r="D11" s="80">
        <f>'GBA 2023-26'!D26</f>
        <v>213651.72999999998</v>
      </c>
      <c r="E11" s="81">
        <f>'GBA 2023-26'!E26</f>
        <v>4.8290516013832692</v>
      </c>
      <c r="F11" s="93"/>
      <c r="G11" s="104">
        <f>'GBA 2023-26'!G26</f>
        <v>40714.67</v>
      </c>
      <c r="H11" s="82">
        <f>'GBA 2023-26'!H26</f>
        <v>7.9748886829554999E-2</v>
      </c>
      <c r="I11" s="80">
        <f>'GBA 2023-26'!I26</f>
        <v>122783.23031900001</v>
      </c>
      <c r="J11" s="80">
        <f t="shared" ref="J11:J25" si="1">I11-D11</f>
        <v>-90868.499680999972</v>
      </c>
      <c r="M11" s="80">
        <v>38978.67</v>
      </c>
      <c r="N11" t="s">
        <v>23</v>
      </c>
    </row>
    <row r="12" spans="1:15" x14ac:dyDescent="0.4">
      <c r="A12" s="103">
        <v>45261</v>
      </c>
      <c r="C12" s="104">
        <f>'GBA 2023-26'!C30</f>
        <v>60488</v>
      </c>
      <c r="D12" s="80">
        <f>'GBA 2023-26'!D30</f>
        <v>288569.11</v>
      </c>
      <c r="E12" s="81">
        <f>'GBA 2023-26'!E30</f>
        <v>4.7706836066657843</v>
      </c>
      <c r="F12" s="93"/>
      <c r="G12" s="104">
        <f>'GBA 2023-26'!G30</f>
        <v>58026.039999999994</v>
      </c>
      <c r="H12" s="82">
        <f>'GBA 2023-26'!H30</f>
        <v>4.0701626768946016E-2</v>
      </c>
      <c r="I12" s="80">
        <f>'GBA 2023-26'!I30</f>
        <v>174989.12882799999</v>
      </c>
      <c r="J12" s="80">
        <f t="shared" si="1"/>
        <v>-113579.981172</v>
      </c>
      <c r="M12" s="115">
        <v>40142.22</v>
      </c>
      <c r="N12" t="s">
        <v>26</v>
      </c>
    </row>
    <row r="13" spans="1:15" x14ac:dyDescent="0.4">
      <c r="A13" s="113">
        <v>45292</v>
      </c>
      <c r="C13" s="104">
        <f>'GBA 2023-26'!C34</f>
        <v>84758</v>
      </c>
      <c r="D13" s="80">
        <f>'GBA 2023-26'!D34</f>
        <v>564367.18999999994</v>
      </c>
      <c r="E13" s="81">
        <f>'GBA 2023-26'!E34</f>
        <v>6.6585713442978829</v>
      </c>
      <c r="F13" s="93"/>
      <c r="G13" s="104">
        <f>'GBA 2023-26'!G34</f>
        <v>84663.69</v>
      </c>
      <c r="H13" s="82">
        <f>'GBA 2023-26'!H34</f>
        <v>1.1126973265060251E-3</v>
      </c>
      <c r="I13" s="80">
        <f>'GBA 2023-26'!I34</f>
        <v>255320.28993300002</v>
      </c>
      <c r="J13" s="80">
        <f t="shared" si="1"/>
        <v>-309046.90006699995</v>
      </c>
      <c r="M13" s="116">
        <f>M12-M11</f>
        <v>1163.5500000000029</v>
      </c>
      <c r="N13" s="114" t="s">
        <v>32</v>
      </c>
    </row>
    <row r="14" spans="1:15" s="102" customFormat="1" ht="3" customHeight="1" x14ac:dyDescent="0.4">
      <c r="A14" s="94"/>
      <c r="B14" s="95"/>
      <c r="C14" s="96"/>
      <c r="D14" s="97"/>
      <c r="E14" s="98"/>
      <c r="F14" s="98"/>
      <c r="G14" s="96"/>
      <c r="H14" s="95"/>
      <c r="I14" s="97"/>
      <c r="J14" s="97"/>
      <c r="K14" s="99"/>
      <c r="L14" s="100"/>
      <c r="M14" s="98"/>
      <c r="N14" s="98"/>
      <c r="O14" s="101"/>
    </row>
    <row r="15" spans="1:15" x14ac:dyDescent="0.4">
      <c r="A15" s="103">
        <v>45323</v>
      </c>
      <c r="C15" s="104">
        <f>'GBA 2023-26'!C38</f>
        <v>58528</v>
      </c>
      <c r="D15" s="80">
        <f>'GBA 2023-26'!D38</f>
        <v>307155.86</v>
      </c>
      <c r="E15" s="81">
        <f>'GBA 2023-26'!E38</f>
        <v>5.2480156506287585</v>
      </c>
      <c r="F15" s="93"/>
      <c r="G15" s="104">
        <f>'GBA 2023-26'!G38</f>
        <v>55173</v>
      </c>
      <c r="H15" s="82">
        <f>'GBA 2023-26'!H38</f>
        <v>5.7322990705303445E-2</v>
      </c>
      <c r="I15" s="80">
        <f>'GBA 2023-26'!I38</f>
        <v>316218.53220000002</v>
      </c>
      <c r="J15" s="80">
        <f t="shared" si="1"/>
        <v>9062.67220000003</v>
      </c>
      <c r="M15" s="80">
        <v>-187858.55</v>
      </c>
      <c r="N15" t="s">
        <v>23</v>
      </c>
    </row>
    <row r="16" spans="1:15" x14ac:dyDescent="0.4">
      <c r="A16" s="103">
        <v>45352</v>
      </c>
      <c r="C16" s="104">
        <f>'GBA 2023-26'!C42</f>
        <v>41621</v>
      </c>
      <c r="D16" s="80">
        <f>'GBA 2023-26'!D42</f>
        <v>181332.52000000002</v>
      </c>
      <c r="E16" s="81">
        <f>'GBA 2023-26'!E42</f>
        <v>4.3567554840104759</v>
      </c>
      <c r="F16" s="93"/>
      <c r="G16" s="104">
        <f>'GBA 2023-26'!G42</f>
        <v>38123.4</v>
      </c>
      <c r="H16" s="82">
        <f>'GBA 2023-26'!H42</f>
        <v>8.4034501813988097E-2</v>
      </c>
      <c r="I16" s="80">
        <f>'GBA 2023-26'!I42</f>
        <v>218500.45475999999</v>
      </c>
      <c r="J16" s="80">
        <f t="shared" si="1"/>
        <v>37167.934759999975</v>
      </c>
      <c r="M16" s="115">
        <v>-186090.29</v>
      </c>
      <c r="N16" t="s">
        <v>26</v>
      </c>
    </row>
    <row r="17" spans="1:15" x14ac:dyDescent="0.4">
      <c r="A17" s="103">
        <v>45383</v>
      </c>
      <c r="C17" s="104">
        <f>'GBA 2023-26'!C46</f>
        <v>25139</v>
      </c>
      <c r="D17" s="80">
        <f>'GBA 2023-26'!D46</f>
        <v>101461.25</v>
      </c>
      <c r="E17" s="81">
        <f>'GBA 2023-26'!E46</f>
        <v>4.0360097855921078</v>
      </c>
      <c r="F17" s="93"/>
      <c r="G17" s="104">
        <f>'GBA 2023-26'!G46</f>
        <v>26419.9</v>
      </c>
      <c r="H17" s="82">
        <f>'GBA 2023-26'!H46</f>
        <v>-5.0952702971478636E-2</v>
      </c>
      <c r="I17" s="80">
        <f>'GBA 2023-26'!I46</f>
        <v>57022.070170000006</v>
      </c>
      <c r="J17" s="80">
        <f t="shared" si="1"/>
        <v>-44439.179829999994</v>
      </c>
      <c r="M17" s="116">
        <f>M16-M15</f>
        <v>1768.2599999999802</v>
      </c>
      <c r="N17" s="114" t="str">
        <f>N$13</f>
        <v>artificially under-recovered</v>
      </c>
    </row>
    <row r="18" spans="1:15" s="102" customFormat="1" ht="3" customHeight="1" x14ac:dyDescent="0.4">
      <c r="A18" s="94"/>
      <c r="B18" s="95"/>
      <c r="C18" s="96"/>
      <c r="D18" s="97"/>
      <c r="E18" s="98"/>
      <c r="F18" s="98"/>
      <c r="G18" s="96"/>
      <c r="H18" s="95"/>
      <c r="I18" s="97"/>
      <c r="J18" s="97"/>
      <c r="K18" s="99"/>
      <c r="L18" s="100"/>
      <c r="M18" s="98"/>
      <c r="N18" s="98"/>
      <c r="O18" s="101"/>
    </row>
    <row r="19" spans="1:15" x14ac:dyDescent="0.4">
      <c r="A19" s="103">
        <v>45413</v>
      </c>
      <c r="C19" s="104">
        <f>'GBA 2023-26'!C50</f>
        <v>12194</v>
      </c>
      <c r="D19" s="80">
        <f>'GBA 2023-26'!D50</f>
        <v>50575.94</v>
      </c>
      <c r="E19" s="81">
        <f>'GBA 2023-26'!E50</f>
        <v>4.1476086599967195</v>
      </c>
      <c r="F19" s="93"/>
      <c r="G19" s="104">
        <f>'GBA 2023-26'!G50</f>
        <v>10682.099999999999</v>
      </c>
      <c r="H19" s="82">
        <f>'GBA 2023-26'!H50</f>
        <v>0.12398720682302784</v>
      </c>
      <c r="I19" s="80">
        <f>'GBA 2023-26'!I50</f>
        <v>40844.077559999998</v>
      </c>
      <c r="J19" s="80">
        <f t="shared" si="1"/>
        <v>-9731.8624400000044</v>
      </c>
      <c r="M19" s="80">
        <v>-35080.959999999999</v>
      </c>
      <c r="N19" t="s">
        <v>23</v>
      </c>
    </row>
    <row r="20" spans="1:15" x14ac:dyDescent="0.4">
      <c r="A20" s="103">
        <v>45444</v>
      </c>
      <c r="C20" s="104">
        <f>'GBA 2023-26'!C54</f>
        <v>9215</v>
      </c>
      <c r="D20" s="80">
        <f>'GBA 2023-26'!D54</f>
        <v>40159.979999999996</v>
      </c>
      <c r="E20" s="81">
        <f>'GBA 2023-26'!E54</f>
        <v>4.3581096039066738</v>
      </c>
      <c r="F20" s="93"/>
      <c r="G20" s="104">
        <f>'GBA 2023-26'!G54</f>
        <v>7764.4</v>
      </c>
      <c r="H20" s="82">
        <f>'GBA 2023-26'!H54</f>
        <v>0.15741725447639721</v>
      </c>
      <c r="I20" s="80">
        <f>'GBA 2023-26'!I54</f>
        <v>29687.959839999996</v>
      </c>
      <c r="J20" s="80">
        <f t="shared" si="1"/>
        <v>-10472.02016</v>
      </c>
      <c r="M20" s="115">
        <v>-35239.730000000003</v>
      </c>
      <c r="N20" t="s">
        <v>26</v>
      </c>
    </row>
    <row r="21" spans="1:15" x14ac:dyDescent="0.4">
      <c r="A21" s="103">
        <v>45474</v>
      </c>
      <c r="C21" s="104">
        <f>'GBA 2023-26'!C58</f>
        <v>8529</v>
      </c>
      <c r="D21" s="80">
        <f>'GBA 2023-26'!D58</f>
        <v>40757.86</v>
      </c>
      <c r="E21" s="81">
        <f>'GBA 2023-26'!E58</f>
        <v>4.7787384218548485</v>
      </c>
      <c r="F21" s="93"/>
      <c r="G21" s="104">
        <f>'GBA 2023-26'!G58</f>
        <v>7827.2999999999993</v>
      </c>
      <c r="H21" s="82">
        <f>'GBA 2023-26'!H58</f>
        <v>8.227224762574753E-2</v>
      </c>
      <c r="I21" s="80">
        <f>'GBA 2023-26'!I58</f>
        <v>29928.46428</v>
      </c>
      <c r="J21" s="80">
        <f t="shared" si="1"/>
        <v>-10829.39572</v>
      </c>
      <c r="M21" s="116">
        <f>M20-M19</f>
        <v>-158.77000000000407</v>
      </c>
      <c r="N21" s="114" t="str">
        <f>N$13</f>
        <v>artificially under-recovered</v>
      </c>
    </row>
    <row r="22" spans="1:15" s="102" customFormat="1" ht="3" customHeight="1" x14ac:dyDescent="0.4">
      <c r="A22" s="94"/>
      <c r="B22" s="95"/>
      <c r="C22" s="96"/>
      <c r="D22" s="97"/>
      <c r="E22" s="98"/>
      <c r="F22" s="98"/>
      <c r="G22" s="96"/>
      <c r="H22" s="95"/>
      <c r="I22" s="97"/>
      <c r="J22" s="97"/>
      <c r="K22" s="99"/>
      <c r="L22" s="100"/>
      <c r="M22" s="98"/>
      <c r="N22" s="98"/>
      <c r="O22" s="101"/>
    </row>
    <row r="23" spans="1:15" x14ac:dyDescent="0.4">
      <c r="A23" s="103">
        <v>45505</v>
      </c>
      <c r="C23" s="104">
        <f>'GBA 2023-26'!C62</f>
        <v>9305</v>
      </c>
      <c r="D23" s="80">
        <f>'GBA 2023-26'!D62</f>
        <v>33198.69</v>
      </c>
      <c r="E23" s="81">
        <f>'GBA 2023-26'!E62</f>
        <v>3.567833422890919</v>
      </c>
      <c r="F23" s="93"/>
      <c r="G23" s="104">
        <f>'GBA 2023-26'!G62</f>
        <v>7549</v>
      </c>
      <c r="H23" s="82">
        <f>'GBA 2023-26'!H62</f>
        <v>0.18871574422353574</v>
      </c>
      <c r="I23" s="80">
        <f>'GBA 2023-26'!I62</f>
        <v>41888.646100000005</v>
      </c>
      <c r="J23" s="80">
        <f t="shared" si="1"/>
        <v>8689.9561000000031</v>
      </c>
      <c r="M23" s="80">
        <v>-55557.65</v>
      </c>
      <c r="N23" t="s">
        <v>23</v>
      </c>
    </row>
    <row r="24" spans="1:15" x14ac:dyDescent="0.4">
      <c r="A24" s="103">
        <v>45536</v>
      </c>
      <c r="C24" s="104">
        <f>'GBA 2023-26'!C66</f>
        <v>8787</v>
      </c>
      <c r="D24" s="80">
        <f>'GBA 2023-26'!D66</f>
        <v>38785.789999999994</v>
      </c>
      <c r="E24" s="81">
        <f>'GBA 2023-26'!E66</f>
        <v>4.4139968134744505</v>
      </c>
      <c r="F24" s="93"/>
      <c r="G24" s="104">
        <f>'GBA 2023-26'!G66</f>
        <v>7712</v>
      </c>
      <c r="H24" s="82">
        <f>'GBA 2023-26'!H66</f>
        <v>0.12233982018891544</v>
      </c>
      <c r="I24" s="80">
        <f>'GBA 2023-26'!I66</f>
        <v>42793.116800000003</v>
      </c>
      <c r="J24" s="80">
        <f t="shared" si="1"/>
        <v>4007.3268000000098</v>
      </c>
      <c r="M24" s="115">
        <v>-40832</v>
      </c>
      <c r="N24" t="s">
        <v>26</v>
      </c>
    </row>
    <row r="25" spans="1:15" x14ac:dyDescent="0.4">
      <c r="A25" s="103">
        <v>45566</v>
      </c>
      <c r="C25" s="104">
        <f>'GBA 2023-26'!C70</f>
        <v>20285</v>
      </c>
      <c r="D25" s="80">
        <f>'GBA 2023-26'!D70</f>
        <v>93842.91</v>
      </c>
      <c r="E25" s="81">
        <f>'GBA 2023-26'!E70</f>
        <v>4.6262218387971412</v>
      </c>
      <c r="F25" s="93"/>
      <c r="G25" s="104">
        <f>'GBA 2023-26'!G70</f>
        <v>18257</v>
      </c>
      <c r="H25" s="82">
        <f>'GBA 2023-26'!H70</f>
        <v>9.9975351244762145E-2</v>
      </c>
      <c r="I25" s="80">
        <f>'GBA 2023-26'!I70</f>
        <v>101306.26730000001</v>
      </c>
      <c r="J25" s="80">
        <f t="shared" si="1"/>
        <v>7463.3573000000033</v>
      </c>
      <c r="M25" s="116">
        <f>M24-M23</f>
        <v>14725.650000000001</v>
      </c>
      <c r="N25" s="114" t="str">
        <f>N$13</f>
        <v>artificially under-recovered</v>
      </c>
    </row>
    <row r="26" spans="1:15" x14ac:dyDescent="0.4">
      <c r="A26" s="103"/>
      <c r="F26" s="93"/>
    </row>
    <row r="27" spans="1:15" x14ac:dyDescent="0.4">
      <c r="A27" s="106" t="s">
        <v>20</v>
      </c>
      <c r="B27" s="107"/>
      <c r="C27" s="108">
        <f>'GBA 2023-26'!C75</f>
        <v>383092</v>
      </c>
      <c r="D27" s="83">
        <f>'GBA 2023-26'!D75</f>
        <v>1953858.83</v>
      </c>
      <c r="E27" s="84">
        <f>'GBA 2023-26'!E75</f>
        <v>5.1002339646873338</v>
      </c>
      <c r="F27" s="93"/>
      <c r="G27" s="108">
        <f>'GBA 2023-26'!G75</f>
        <v>362912.5</v>
      </c>
      <c r="H27" s="85">
        <f>'GBA 2023-26'!H75</f>
        <v>5.5604312334240458E-2</v>
      </c>
      <c r="I27" s="83">
        <f>'GBA 2023-26'!I75</f>
        <v>1431282.2380900003</v>
      </c>
      <c r="J27" s="83">
        <f>'GBA 2023-26'!J75</f>
        <v>-30382.503699072568</v>
      </c>
      <c r="K27" s="108">
        <f>'GBA 2023-26'!L75</f>
        <v>392337.83783783781</v>
      </c>
      <c r="L27" s="108">
        <f>'GBA 2023-26'!M75</f>
        <v>-9245.8378378378111</v>
      </c>
      <c r="M27" s="121">
        <f>SUM(M13,M17,M21,M25)</f>
        <v>17498.689999999981</v>
      </c>
    </row>
    <row r="28" spans="1:15" s="102" customFormat="1" ht="6" customHeight="1" x14ac:dyDescent="0.4">
      <c r="A28" s="94"/>
      <c r="B28" s="95"/>
      <c r="C28" s="96"/>
      <c r="D28" s="97"/>
      <c r="E28" s="98"/>
      <c r="F28" s="98"/>
      <c r="G28" s="96"/>
      <c r="H28" s="95"/>
      <c r="I28" s="97"/>
      <c r="J28" s="97"/>
      <c r="K28" s="99"/>
      <c r="L28" s="110"/>
      <c r="M28" s="111"/>
      <c r="N28" s="111"/>
      <c r="O28" s="112"/>
    </row>
    <row r="29" spans="1:15" x14ac:dyDescent="0.4">
      <c r="A29" s="103">
        <v>45597</v>
      </c>
      <c r="C29" s="104">
        <f>'GBA 2023-26'!C79</f>
        <v>31439</v>
      </c>
      <c r="D29" s="80">
        <f>'GBA 2023-26'!D79</f>
        <v>154136.99</v>
      </c>
      <c r="E29" s="81">
        <f>'GBA 2023-26'!E79</f>
        <v>4.9027319571233177</v>
      </c>
      <c r="F29" s="93"/>
      <c r="G29" s="104">
        <f>'GBA 2023-26'!G79</f>
        <v>25409</v>
      </c>
      <c r="H29" s="82">
        <f>'GBA 2023-26'!H79</f>
        <v>0.1917999936384745</v>
      </c>
      <c r="I29" s="80">
        <f>'GBA 2023-26'!I79</f>
        <v>153338.23320000002</v>
      </c>
      <c r="J29" s="80">
        <f t="shared" ref="J29:J31" si="2">I29-D29</f>
        <v>-798.75679999997374</v>
      </c>
      <c r="M29" s="80">
        <v>20402.560000000001</v>
      </c>
      <c r="N29" t="s">
        <v>23</v>
      </c>
    </row>
    <row r="30" spans="1:15" x14ac:dyDescent="0.4">
      <c r="A30" s="103">
        <v>45627</v>
      </c>
      <c r="C30" s="104">
        <f>'GBA 2023-26'!C83</f>
        <v>68347</v>
      </c>
      <c r="D30" s="80">
        <f>'GBA 2023-26'!D83</f>
        <v>438455.08999999997</v>
      </c>
      <c r="E30" s="81">
        <f>'GBA 2023-26'!E83</f>
        <v>6.4151329246345847</v>
      </c>
      <c r="F30" s="93"/>
      <c r="G30" s="104">
        <f>'GBA 2023-26'!G83</f>
        <v>63576</v>
      </c>
      <c r="H30" s="82">
        <f>'GBA 2023-26'!H83</f>
        <v>6.9805551084904965E-2</v>
      </c>
      <c r="I30" s="80">
        <f>'GBA 2023-26'!I83</f>
        <v>383668.4448</v>
      </c>
      <c r="J30" s="80">
        <f t="shared" si="2"/>
        <v>-54786.64519999997</v>
      </c>
      <c r="M30" s="115">
        <v>30500</v>
      </c>
      <c r="N30" t="s">
        <v>26</v>
      </c>
    </row>
    <row r="31" spans="1:15" x14ac:dyDescent="0.4">
      <c r="A31" s="113">
        <v>45658</v>
      </c>
      <c r="C31" s="104">
        <f>'GBA 2023-26'!C87</f>
        <v>95447</v>
      </c>
      <c r="D31" s="80">
        <f>'GBA 2023-26'!D87</f>
        <v>659578.58000000007</v>
      </c>
      <c r="E31" s="81">
        <f>'GBA 2023-26'!E87</f>
        <v>6.9104170901128379</v>
      </c>
      <c r="F31" s="93"/>
      <c r="G31" s="104">
        <f>'GBA 2023-26'!G87</f>
        <v>90578</v>
      </c>
      <c r="H31" s="82">
        <f>'GBA 2023-26'!H87</f>
        <v>5.1012603853447462E-2</v>
      </c>
      <c r="I31" s="80">
        <f>'GBA 2023-26'!I87</f>
        <v>546620.11440000008</v>
      </c>
      <c r="J31" s="80">
        <f t="shared" si="2"/>
        <v>-112958.4656</v>
      </c>
      <c r="M31" s="116">
        <f>M30-M29</f>
        <v>10097.439999999999</v>
      </c>
      <c r="N31" s="114" t="str">
        <f>N$13</f>
        <v>artificially under-recovered</v>
      </c>
    </row>
    <row r="32" spans="1:15" s="102" customFormat="1" ht="3" customHeight="1" x14ac:dyDescent="0.4">
      <c r="A32" s="94"/>
      <c r="B32" s="95"/>
      <c r="C32" s="96"/>
      <c r="D32" s="97"/>
      <c r="E32" s="98"/>
      <c r="F32" s="98"/>
      <c r="G32" s="96"/>
      <c r="H32" s="95"/>
      <c r="I32" s="97"/>
      <c r="J32" s="97"/>
      <c r="K32" s="99"/>
      <c r="L32" s="100"/>
      <c r="M32" s="98"/>
      <c r="N32" s="98"/>
      <c r="O32" s="101"/>
    </row>
    <row r="33" spans="1:15" x14ac:dyDescent="0.4">
      <c r="A33" s="103">
        <v>45689</v>
      </c>
      <c r="C33" s="104">
        <f>'GBA 2023-26'!C91</f>
        <v>64637</v>
      </c>
      <c r="D33" s="80">
        <f>'GBA 2023-26'!D91</f>
        <v>445912.36</v>
      </c>
      <c r="E33" s="81">
        <f>'GBA 2023-26'!E91</f>
        <v>6.8987168340114788</v>
      </c>
      <c r="F33" s="93"/>
      <c r="G33" s="104">
        <f>'GBA 2023-26'!G91</f>
        <v>63102</v>
      </c>
      <c r="H33" s="82">
        <f>'GBA 2023-26'!H91</f>
        <v>2.3748008106811887E-2</v>
      </c>
      <c r="I33" s="80">
        <f>'GBA 2023-26'!I91</f>
        <v>386531.30099999998</v>
      </c>
      <c r="J33" s="80">
        <f t="shared" ref="J33:J35" si="3">I33-D33</f>
        <v>-59381.059000000008</v>
      </c>
      <c r="M33" s="80">
        <v>-3509.58</v>
      </c>
      <c r="N33" t="s">
        <v>23</v>
      </c>
    </row>
    <row r="34" spans="1:15" x14ac:dyDescent="0.4">
      <c r="A34" s="103">
        <v>45717</v>
      </c>
      <c r="C34" s="104">
        <f>'GBA 2023-26'!C95</f>
        <v>43589</v>
      </c>
      <c r="D34" s="80">
        <f>'GBA 2023-26'!D95</f>
        <v>293813</v>
      </c>
      <c r="E34" s="81">
        <f>'GBA 2023-26'!E95</f>
        <v>6.7405308678795111</v>
      </c>
      <c r="F34" s="93"/>
      <c r="G34" s="104">
        <f>'GBA 2023-26'!G95</f>
        <v>44326</v>
      </c>
      <c r="H34" s="82">
        <f>'GBA 2023-26'!H95</f>
        <v>-1.6907935488311272E-2</v>
      </c>
      <c r="I34" s="80">
        <f>'GBA 2023-26'!I95</f>
        <v>271518.913</v>
      </c>
      <c r="J34" s="80">
        <f t="shared" si="3"/>
        <v>-22294.087</v>
      </c>
      <c r="M34" s="115">
        <v>-3404</v>
      </c>
      <c r="N34" t="s">
        <v>26</v>
      </c>
    </row>
    <row r="35" spans="1:15" x14ac:dyDescent="0.4">
      <c r="A35" s="103">
        <v>45748</v>
      </c>
      <c r="C35" s="104">
        <f>'GBA 2023-26'!C99</f>
        <v>24292</v>
      </c>
      <c r="D35" s="80">
        <f>'GBA 2023-26'!D99</f>
        <v>146042.06</v>
      </c>
      <c r="E35" s="81">
        <f>'GBA 2023-26'!E99</f>
        <v>6.0119405565618314</v>
      </c>
      <c r="F35" s="93"/>
      <c r="G35" s="104">
        <f>'GBA 2023-26'!G99</f>
        <v>22499</v>
      </c>
      <c r="H35" s="82">
        <f>'GBA 2023-26'!H99</f>
        <v>7.3810307920302978E-2</v>
      </c>
      <c r="I35" s="80">
        <f>'GBA 2023-26'!I99</f>
        <v>137817.62450000001</v>
      </c>
      <c r="J35" s="80">
        <f t="shared" si="3"/>
        <v>-8224.4354999999923</v>
      </c>
      <c r="M35" s="116">
        <f>M34-M33</f>
        <v>105.57999999999993</v>
      </c>
      <c r="N35" s="114" t="str">
        <f>N$13</f>
        <v>artificially under-recovered</v>
      </c>
    </row>
    <row r="36" spans="1:15" s="102" customFormat="1" ht="3" customHeight="1" x14ac:dyDescent="0.4">
      <c r="A36" s="94"/>
      <c r="B36" s="95"/>
      <c r="C36" s="96"/>
      <c r="D36" s="97"/>
      <c r="E36" s="98"/>
      <c r="F36" s="98"/>
      <c r="G36" s="96"/>
      <c r="H36" s="95"/>
      <c r="I36" s="97"/>
      <c r="J36" s="97"/>
      <c r="K36" s="99"/>
      <c r="L36" s="100"/>
      <c r="M36" s="98"/>
      <c r="N36" s="98"/>
      <c r="O36" s="101"/>
    </row>
    <row r="37" spans="1:15" x14ac:dyDescent="0.4">
      <c r="A37" s="103">
        <v>45778</v>
      </c>
      <c r="C37" s="104">
        <f>'GBA 2023-26'!C103</f>
        <v>13051</v>
      </c>
      <c r="D37" s="80">
        <f>'GBA 2023-26'!D103</f>
        <v>63441.03</v>
      </c>
      <c r="E37" s="81">
        <f>'GBA 2023-26'!E103</f>
        <v>4.8610091180752431</v>
      </c>
      <c r="F37" s="93"/>
      <c r="G37" s="104">
        <f>'GBA 2023-26'!G103</f>
        <v>11637.6</v>
      </c>
      <c r="H37" s="82">
        <f>'GBA 2023-26'!H103</f>
        <v>0.10829821469619183</v>
      </c>
      <c r="I37" s="80">
        <f>'GBA 2023-26'!I103</f>
        <v>84409.840320000003</v>
      </c>
      <c r="J37" s="80">
        <f t="shared" ref="J37:J39" si="4">I37-D37</f>
        <v>20968.810320000004</v>
      </c>
      <c r="M37" s="80">
        <v>-64334.400000000001</v>
      </c>
      <c r="N37" t="s">
        <v>23</v>
      </c>
    </row>
    <row r="38" spans="1:15" x14ac:dyDescent="0.4">
      <c r="A38" s="103">
        <v>45809</v>
      </c>
      <c r="C38" s="104">
        <f>'GBA 2023-26'!C107</f>
        <v>9010</v>
      </c>
      <c r="D38" s="80">
        <f>'GBA 2023-26'!D107</f>
        <v>47090.42</v>
      </c>
      <c r="E38" s="81">
        <f>'GBA 2023-26'!E107</f>
        <v>5.2264617092119865</v>
      </c>
      <c r="F38" s="93"/>
      <c r="G38" s="104">
        <f>'GBA 2023-26'!G107</f>
        <v>8601.7000000000007</v>
      </c>
      <c r="H38" s="82">
        <f>'GBA 2023-26'!H107</f>
        <v>4.5316315205327334E-2</v>
      </c>
      <c r="I38" s="80">
        <f>'GBA 2023-26'!I107</f>
        <v>62389.850439999995</v>
      </c>
      <c r="J38" s="80">
        <f t="shared" si="4"/>
        <v>15299.430439999996</v>
      </c>
      <c r="M38" s="115">
        <v>-62856</v>
      </c>
      <c r="N38" t="s">
        <v>26</v>
      </c>
    </row>
    <row r="39" spans="1:15" x14ac:dyDescent="0.4">
      <c r="A39" s="103">
        <v>45839</v>
      </c>
      <c r="C39" s="104">
        <f>'GBA 2023-26'!C111</f>
        <v>8024</v>
      </c>
      <c r="D39" s="80">
        <f>'GBA 2023-26'!D111</f>
        <v>43865.13</v>
      </c>
      <c r="E39" s="81">
        <f>'GBA 2023-26'!E111</f>
        <v>5.4667410269192418</v>
      </c>
      <c r="F39" s="93"/>
      <c r="G39" s="104">
        <f>'GBA 2023-26'!G111</f>
        <v>7058.7999999999993</v>
      </c>
      <c r="H39" s="82">
        <f>'GBA 2023-26'!H111</f>
        <v>0.12028913260219351</v>
      </c>
      <c r="I39" s="80">
        <f>'GBA 2023-26'!I111</f>
        <v>51198.888159999988</v>
      </c>
      <c r="J39" s="80">
        <f t="shared" si="4"/>
        <v>7333.7581599999903</v>
      </c>
      <c r="M39" s="116">
        <f>M38-M37</f>
        <v>1478.4000000000015</v>
      </c>
      <c r="N39" s="114" t="str">
        <f>N$13</f>
        <v>artificially under-recovered</v>
      </c>
    </row>
    <row r="40" spans="1:15" s="102" customFormat="1" ht="3" customHeight="1" x14ac:dyDescent="0.4">
      <c r="A40" s="94"/>
      <c r="B40" s="95"/>
      <c r="C40" s="96"/>
      <c r="D40" s="97"/>
      <c r="E40" s="98"/>
      <c r="F40" s="98"/>
      <c r="G40" s="96"/>
      <c r="H40" s="95"/>
      <c r="I40" s="97"/>
      <c r="J40" s="97"/>
      <c r="K40" s="99"/>
      <c r="L40" s="100"/>
      <c r="M40" s="98"/>
      <c r="N40" s="98"/>
      <c r="O40" s="101"/>
    </row>
    <row r="41" spans="1:15" x14ac:dyDescent="0.4">
      <c r="A41" s="103">
        <v>45870</v>
      </c>
      <c r="C41" s="104">
        <f>'GBA 2023-26'!C115</f>
        <v>7944</v>
      </c>
      <c r="D41" s="80">
        <f>'GBA 2023-26'!D115</f>
        <v>43918.880000000005</v>
      </c>
      <c r="E41" s="81">
        <f>'GBA 2023-26'!E115</f>
        <v>5.5285599194360531</v>
      </c>
      <c r="F41" s="93"/>
      <c r="G41" s="104">
        <f>'GBA 2023-26'!G115</f>
        <v>6725</v>
      </c>
      <c r="H41" s="82">
        <f>'GBA 2023-26'!H115</f>
        <v>0.1534491440080564</v>
      </c>
      <c r="I41" s="80">
        <f>'GBA 2023-26'!I115</f>
        <v>47007.077499999999</v>
      </c>
      <c r="J41" s="80">
        <f t="shared" ref="J41:J43" si="5">I41-D41</f>
        <v>3088.1974999999948</v>
      </c>
      <c r="M41" s="80">
        <v>-66221.73</v>
      </c>
      <c r="N41" t="s">
        <v>23</v>
      </c>
    </row>
    <row r="42" spans="1:15" x14ac:dyDescent="0.4">
      <c r="A42" s="103">
        <v>45901</v>
      </c>
      <c r="C42" s="104">
        <f>'GBA 2023-26'!C119</f>
        <v>9015</v>
      </c>
      <c r="D42" s="80">
        <f>'GBA 2023-26'!D119</f>
        <v>46018.61</v>
      </c>
      <c r="E42" s="81">
        <f>'GBA 2023-26'!E119</f>
        <v>5.1046711037160293</v>
      </c>
      <c r="F42" s="93"/>
      <c r="G42" s="104">
        <f>'GBA 2023-26'!G119</f>
        <v>9155</v>
      </c>
      <c r="H42" s="82">
        <f>'GBA 2023-26'!H119</f>
        <v>-1.552967276760954E-2</v>
      </c>
      <c r="I42" s="80">
        <f>'GBA 2023-26'!I119</f>
        <v>63992.534500000002</v>
      </c>
      <c r="J42" s="80">
        <f t="shared" si="5"/>
        <v>17973.924500000001</v>
      </c>
      <c r="M42" s="115">
        <v>-62646</v>
      </c>
      <c r="N42" t="s">
        <v>26</v>
      </c>
    </row>
    <row r="43" spans="1:15" x14ac:dyDescent="0.4">
      <c r="A43" s="103">
        <v>45931</v>
      </c>
      <c r="C43" s="104">
        <f>'GBA 2023-26'!C123</f>
        <v>19061</v>
      </c>
      <c r="D43" s="80">
        <f>'GBA 2023-26'!D123</f>
        <v>86456.95</v>
      </c>
      <c r="E43" s="81">
        <f>'GBA 2023-26'!E123</f>
        <v>4.5358034730601755</v>
      </c>
      <c r="F43" s="93"/>
      <c r="G43" s="104">
        <f>'GBA 2023-26'!G123</f>
        <v>16527.2</v>
      </c>
      <c r="H43" s="82">
        <f>'GBA 2023-26'!H123</f>
        <v>0.13293111589108647</v>
      </c>
      <c r="I43" s="80">
        <f>'GBA 2023-26'!I123</f>
        <v>115523.47527999998</v>
      </c>
      <c r="J43" s="80">
        <f t="shared" si="5"/>
        <v>29066.525279999987</v>
      </c>
      <c r="M43" s="116">
        <f>M42-M41</f>
        <v>3575.7299999999959</v>
      </c>
      <c r="N43" s="114" t="str">
        <f>N$13</f>
        <v>artificially under-recovered</v>
      </c>
    </row>
    <row r="44" spans="1:15" x14ac:dyDescent="0.4">
      <c r="A44" s="103"/>
      <c r="F44" s="93"/>
    </row>
    <row r="45" spans="1:15" x14ac:dyDescent="0.4">
      <c r="A45" s="106" t="s">
        <v>20</v>
      </c>
      <c r="B45" s="107"/>
      <c r="C45" s="108">
        <f>'GBA 2023-26'!C128</f>
        <v>393856</v>
      </c>
      <c r="D45" s="83">
        <f>'GBA 2023-26'!D128</f>
        <v>2468729.1000000006</v>
      </c>
      <c r="E45" s="84">
        <f>'GBA 2023-26'!E128</f>
        <v>6.2681007779493028</v>
      </c>
      <c r="F45" s="93"/>
      <c r="G45" s="108">
        <f>'GBA 2023-26'!G128</f>
        <v>369195.30000000005</v>
      </c>
      <c r="H45" s="85">
        <f>'GBA 2023-26'!H128</f>
        <v>6.679581240606236E-2</v>
      </c>
      <c r="I45" s="83">
        <f>'GBA 2023-26'!I128</f>
        <v>2304016.2971000001</v>
      </c>
      <c r="J45" s="83">
        <f>'GBA 2023-26'!J128</f>
        <v>-24661.43505520287</v>
      </c>
      <c r="K45" s="108">
        <f>'GBA 2023-26'!L128</f>
        <v>399130.05405405408</v>
      </c>
      <c r="L45" s="108">
        <f>'GBA 2023-26'!M128</f>
        <v>-5274.0540540540824</v>
      </c>
      <c r="M45" s="121">
        <f>SUM(M31,M35,M39,M43)</f>
        <v>15257.149999999996</v>
      </c>
    </row>
    <row r="46" spans="1:15" s="102" customFormat="1" ht="6" customHeight="1" x14ac:dyDescent="0.4">
      <c r="A46" s="94"/>
      <c r="B46" s="95"/>
      <c r="C46" s="96"/>
      <c r="D46" s="97"/>
      <c r="E46" s="98"/>
      <c r="F46" s="98"/>
      <c r="G46" s="96"/>
      <c r="H46" s="95"/>
      <c r="I46" s="97"/>
      <c r="J46" s="97"/>
      <c r="K46" s="99"/>
      <c r="L46" s="110"/>
      <c r="M46" s="111"/>
      <c r="N46" s="111"/>
      <c r="O46" s="112"/>
    </row>
    <row r="47" spans="1:15" x14ac:dyDescent="0.4">
      <c r="A47" s="103">
        <v>45962</v>
      </c>
      <c r="C47" s="104">
        <f>'GBA 2023-26'!C132</f>
        <v>41219</v>
      </c>
      <c r="D47" s="80">
        <f>'GBA 2023-26'!D132</f>
        <v>230919.28999999998</v>
      </c>
      <c r="E47" s="81">
        <f>'GBA 2023-26'!E132</f>
        <v>5.6022535723816684</v>
      </c>
      <c r="F47" s="93"/>
      <c r="G47" s="104">
        <f>'GBA 2023-26'!G132</f>
        <v>34493.300000000003</v>
      </c>
      <c r="H47" s="82">
        <f>'GBA 2023-26'!H132</f>
        <v>0.16316989737742296</v>
      </c>
      <c r="I47" s="80">
        <f>'GBA 2023-26'!I132</f>
        <v>217828.63883000001</v>
      </c>
      <c r="J47" s="80">
        <f t="shared" ref="J47:J48" si="6">I47-D47</f>
        <v>-13090.651169999968</v>
      </c>
    </row>
    <row r="48" spans="1:15" x14ac:dyDescent="0.4">
      <c r="A48" s="103">
        <v>45992</v>
      </c>
      <c r="C48" s="104">
        <f>'GBA 2023-26'!C136</f>
        <v>72089</v>
      </c>
      <c r="D48" s="80">
        <f>'GBA 2023-26'!D136</f>
        <v>454944.6</v>
      </c>
      <c r="E48" s="81">
        <f>'GBA 2023-26'!E136</f>
        <v>6.3108740584555196</v>
      </c>
      <c r="F48" s="93"/>
      <c r="G48" s="104">
        <f>'GBA 2023-26'!G136</f>
        <v>70846.899999999994</v>
      </c>
      <c r="H48" s="82">
        <f>'GBA 2023-26'!H136</f>
        <v>1.7230090582474523E-2</v>
      </c>
      <c r="I48" s="80">
        <f>'GBA 2023-26'!I136</f>
        <v>447405.25819000002</v>
      </c>
      <c r="J48" s="80">
        <f t="shared" si="6"/>
        <v>-7539.3418099999544</v>
      </c>
    </row>
    <row r="49" spans="1:14" x14ac:dyDescent="0.4">
      <c r="A49" s="103"/>
      <c r="C49" s="104"/>
      <c r="D49" s="80"/>
      <c r="E49" s="81"/>
      <c r="F49" s="93"/>
      <c r="G49" s="104"/>
      <c r="H49" s="82"/>
      <c r="I49" s="80"/>
      <c r="J49" s="80"/>
      <c r="M49" s="122">
        <f>SUM(M45:M48,M27,M7)</f>
        <v>32755.839999999975</v>
      </c>
      <c r="N49" s="114" t="str">
        <f>N$13</f>
        <v>artificially under-recovered</v>
      </c>
    </row>
    <row r="50" spans="1:14" x14ac:dyDescent="0.4">
      <c r="N50" s="114" t="s">
        <v>33</v>
      </c>
    </row>
    <row r="51" spans="1:14" x14ac:dyDescent="0.4">
      <c r="N51" s="114" t="s">
        <v>34</v>
      </c>
    </row>
    <row r="54" spans="1:14" x14ac:dyDescent="0.4">
      <c r="A54" s="103"/>
    </row>
    <row r="55" spans="1:14" x14ac:dyDescent="0.4">
      <c r="A55" s="103"/>
    </row>
    <row r="56" spans="1:14" x14ac:dyDescent="0.4">
      <c r="A56" s="103"/>
    </row>
    <row r="57" spans="1:14" x14ac:dyDescent="0.4">
      <c r="A57" s="10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BDAC2-8DC1-4DFB-A496-773B40ADF33E}">
  <sheetPr>
    <pageSetUpPr fitToPage="1"/>
  </sheetPr>
  <dimension ref="A1:X146"/>
  <sheetViews>
    <sheetView zoomScaleNormal="100" workbookViewId="0">
      <pane xSplit="2" ySplit="2" topLeftCell="C3" activePane="bottomRight" state="frozen"/>
      <selection activeCell="L6" sqref="L6"/>
      <selection pane="topRight" activeCell="L6" sqref="L6"/>
      <selection pane="bottomLeft" activeCell="L6" sqref="L6"/>
      <selection pane="bottomRight" activeCell="B3" sqref="B3"/>
    </sheetView>
  </sheetViews>
  <sheetFormatPr defaultColWidth="8.84375" defaultRowHeight="12.9" x14ac:dyDescent="0.35"/>
  <cols>
    <col min="1" max="1" width="9.69140625" style="21" bestFit="1" customWidth="1"/>
    <col min="2" max="2" width="8.3046875" style="22" bestFit="1" customWidth="1"/>
    <col min="3" max="3" width="8.84375" style="23"/>
    <col min="4" max="4" width="10.69140625" style="24" customWidth="1"/>
    <col min="5" max="5" width="11.3828125" style="25" customWidth="1"/>
    <col min="6" max="6" width="1.15234375" style="24" customWidth="1"/>
    <col min="7" max="7" width="8.84375" style="23"/>
    <col min="8" max="8" width="7.3046875" style="22" bestFit="1" customWidth="1"/>
    <col min="9" max="9" width="10.69140625" style="24" customWidth="1"/>
    <col min="10" max="10" width="11.53515625" style="24" customWidth="1"/>
    <col min="11" max="11" width="1.15234375" style="24" customWidth="1"/>
    <col min="12" max="15" width="9.3046875" style="46" customWidth="1"/>
    <col min="16" max="16" width="10.69140625" style="22" bestFit="1" customWidth="1"/>
    <col min="17" max="17" width="10.15234375" style="22" customWidth="1"/>
    <col min="18" max="19" width="8.84375" style="22"/>
    <col min="20" max="20" width="10.69140625" style="22" customWidth="1"/>
    <col min="21" max="21" width="12" style="22" bestFit="1" customWidth="1"/>
    <col min="22" max="23" width="11" style="22" bestFit="1" customWidth="1"/>
    <col min="24" max="16384" width="8.84375" style="22"/>
  </cols>
  <sheetData>
    <row r="1" spans="1:24" s="2" customFormat="1" ht="14.6" x14ac:dyDescent="0.4">
      <c r="A1" s="119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"/>
      <c r="Q1" s="1" t="s">
        <v>1</v>
      </c>
    </row>
    <row r="2" spans="1:24" s="11" customFormat="1" ht="39" thickBot="1" x14ac:dyDescent="0.4">
      <c r="A2" s="3" t="s">
        <v>2</v>
      </c>
      <c r="B2" s="4" t="s">
        <v>3</v>
      </c>
      <c r="C2" s="5" t="s">
        <v>4</v>
      </c>
      <c r="D2" s="6" t="s">
        <v>5</v>
      </c>
      <c r="E2" s="7" t="s">
        <v>6</v>
      </c>
      <c r="F2" s="8"/>
      <c r="G2" s="5" t="s">
        <v>7</v>
      </c>
      <c r="H2" s="9" t="s">
        <v>8</v>
      </c>
      <c r="I2" s="6" t="s">
        <v>9</v>
      </c>
      <c r="J2" s="6" t="s">
        <v>10</v>
      </c>
      <c r="K2" s="8"/>
      <c r="L2" s="10" t="s">
        <v>11</v>
      </c>
      <c r="M2" s="10" t="s">
        <v>12</v>
      </c>
      <c r="N2" s="10" t="s">
        <v>13</v>
      </c>
      <c r="O2" s="10" t="s">
        <v>14</v>
      </c>
      <c r="Q2" s="10"/>
      <c r="R2" s="10"/>
    </row>
    <row r="3" spans="1:24" s="19" customFormat="1" x14ac:dyDescent="0.35">
      <c r="A3" s="21"/>
      <c r="B3" s="28" t="s">
        <v>30</v>
      </c>
      <c r="C3" s="23"/>
      <c r="D3" s="24"/>
      <c r="E3" s="25"/>
      <c r="F3" s="17"/>
      <c r="G3" s="23"/>
      <c r="H3" s="26"/>
      <c r="I3" s="24"/>
      <c r="J3" s="24"/>
      <c r="K3" s="17"/>
      <c r="L3" s="27"/>
      <c r="M3" s="25"/>
      <c r="N3" s="25"/>
      <c r="O3" s="25"/>
      <c r="Q3" s="20"/>
    </row>
    <row r="4" spans="1:24" ht="14.6" x14ac:dyDescent="0.35">
      <c r="B4" s="22" t="s">
        <v>31</v>
      </c>
      <c r="F4" s="17"/>
      <c r="H4" s="26"/>
      <c r="K4" s="17"/>
      <c r="L4" s="25"/>
      <c r="M4" s="25"/>
      <c r="N4" s="25"/>
      <c r="O4" s="25"/>
      <c r="Q4" s="66"/>
    </row>
    <row r="5" spans="1:24" x14ac:dyDescent="0.35">
      <c r="F5" s="17"/>
      <c r="H5" s="26"/>
      <c r="K5" s="17"/>
      <c r="L5" s="25"/>
      <c r="M5" s="25"/>
      <c r="N5" s="25"/>
      <c r="O5" s="25"/>
      <c r="Q5" s="63"/>
      <c r="R5" s="23"/>
      <c r="S5" s="23"/>
      <c r="U5" s="69"/>
      <c r="V5" s="69"/>
      <c r="W5" s="69"/>
    </row>
    <row r="6" spans="1:24" s="37" customFormat="1" ht="3" customHeight="1" x14ac:dyDescent="0.35">
      <c r="A6" s="29"/>
      <c r="B6" s="30"/>
      <c r="C6" s="31"/>
      <c r="D6" s="32"/>
      <c r="E6" s="33"/>
      <c r="F6" s="34"/>
      <c r="G6" s="31"/>
      <c r="H6" s="30"/>
      <c r="I6" s="32"/>
      <c r="J6" s="32"/>
      <c r="K6" s="34"/>
      <c r="L6" s="35"/>
      <c r="M6" s="33"/>
      <c r="N6" s="33"/>
      <c r="O6" s="36"/>
    </row>
    <row r="7" spans="1:24" ht="14.6" x14ac:dyDescent="0.4">
      <c r="A7" s="21">
        <v>45139</v>
      </c>
      <c r="B7" s="22" t="s">
        <v>15</v>
      </c>
      <c r="C7" s="23">
        <v>7140</v>
      </c>
      <c r="D7" s="24">
        <v>21668.34</v>
      </c>
      <c r="E7" s="25">
        <f>D7/C7</f>
        <v>3.0347815126050421</v>
      </c>
      <c r="F7" s="17"/>
      <c r="G7" s="23">
        <v>6557.9</v>
      </c>
      <c r="H7" s="26">
        <f>(C7-G7)/C7</f>
        <v>8.1526610644257758E-2</v>
      </c>
      <c r="I7" s="24">
        <f>G7*O7</f>
        <v>22449.659070000002</v>
      </c>
      <c r="J7" s="24">
        <f>I7-D7</f>
        <v>781.31907000000137</v>
      </c>
      <c r="K7" s="17"/>
      <c r="L7" s="25">
        <v>6.3390000000000004</v>
      </c>
      <c r="M7" s="25">
        <v>-2.9157000000000002</v>
      </c>
      <c r="N7" s="25"/>
      <c r="O7" s="25">
        <f>SUM(L7:N7)</f>
        <v>3.4233000000000002</v>
      </c>
      <c r="Q7" s="66"/>
      <c r="T7" s="65"/>
      <c r="U7" s="70"/>
      <c r="V7" s="70"/>
      <c r="W7" s="71"/>
    </row>
    <row r="8" spans="1:24" ht="14.6" x14ac:dyDescent="0.35">
      <c r="B8" s="22" t="s">
        <v>16</v>
      </c>
      <c r="C8" s="23">
        <v>1803</v>
      </c>
      <c r="D8" s="24">
        <v>14640.3</v>
      </c>
      <c r="E8" s="25">
        <f>D8/C8</f>
        <v>8.1199667221297833</v>
      </c>
      <c r="F8" s="17"/>
      <c r="G8" s="23">
        <v>1950.5</v>
      </c>
      <c r="H8" s="26">
        <f>(C8-G8)/C8</f>
        <v>-8.1808097615085965E-2</v>
      </c>
      <c r="I8" s="24">
        <f>G8*O7</f>
        <v>6677.1466500000006</v>
      </c>
      <c r="J8" s="24">
        <f>I8-D8</f>
        <v>-7963.1533499999987</v>
      </c>
      <c r="K8" s="17"/>
      <c r="L8" s="25"/>
      <c r="M8" s="25"/>
      <c r="N8" s="25"/>
      <c r="O8" s="25"/>
      <c r="Q8" s="66"/>
      <c r="U8" s="70"/>
      <c r="V8" s="70"/>
      <c r="W8" s="71"/>
      <c r="X8" s="72"/>
    </row>
    <row r="9" spans="1:24" x14ac:dyDescent="0.35">
      <c r="B9" s="22" t="s">
        <v>17</v>
      </c>
      <c r="C9" s="23">
        <f>SUM(C7:C8)</f>
        <v>8943</v>
      </c>
      <c r="D9" s="24">
        <f>SUM(D7:D8)</f>
        <v>36308.639999999999</v>
      </c>
      <c r="E9" s="25">
        <f>D9/C9</f>
        <v>4.0600067091580003</v>
      </c>
      <c r="F9" s="17"/>
      <c r="G9" s="23">
        <f>SUM(G7:G8)</f>
        <v>8508.4</v>
      </c>
      <c r="H9" s="26">
        <f>(C9-G9)/C9</f>
        <v>4.8596667784859708E-2</v>
      </c>
      <c r="I9" s="24">
        <f>SUM(I7:I8)</f>
        <v>29126.805720000004</v>
      </c>
      <c r="J9" s="24">
        <f>J7+J8</f>
        <v>-7181.8342799999973</v>
      </c>
      <c r="K9" s="17"/>
      <c r="L9" s="25"/>
      <c r="M9" s="25"/>
      <c r="N9" s="25"/>
      <c r="O9" s="25"/>
      <c r="Q9" s="58"/>
      <c r="R9" s="23"/>
      <c r="S9" s="23"/>
      <c r="U9" s="70"/>
      <c r="V9" s="70"/>
      <c r="W9" s="73"/>
    </row>
    <row r="10" spans="1:24" ht="3" customHeight="1" x14ac:dyDescent="0.35">
      <c r="A10" s="38"/>
      <c r="B10" s="39"/>
      <c r="C10" s="40"/>
      <c r="D10" s="41"/>
      <c r="E10" s="42"/>
      <c r="F10" s="17"/>
      <c r="G10" s="40"/>
      <c r="H10" s="39"/>
      <c r="I10" s="41"/>
      <c r="J10" s="41"/>
      <c r="K10" s="17"/>
      <c r="L10" s="43"/>
      <c r="M10" s="42"/>
      <c r="N10" s="42"/>
      <c r="O10" s="44"/>
    </row>
    <row r="11" spans="1:24" ht="14.6" x14ac:dyDescent="0.4">
      <c r="A11" s="21">
        <v>45170</v>
      </c>
      <c r="B11" s="22" t="s">
        <v>15</v>
      </c>
      <c r="C11" s="23">
        <v>7798</v>
      </c>
      <c r="D11" s="24">
        <v>19487.02</v>
      </c>
      <c r="E11" s="25">
        <f>D11/C11</f>
        <v>2.4989766606822261</v>
      </c>
      <c r="F11" s="17"/>
      <c r="G11" s="23">
        <v>7091.9</v>
      </c>
      <c r="H11" s="26">
        <f>(C11-G11)/C11</f>
        <v>9.0548858681713307E-2</v>
      </c>
      <c r="I11" s="24">
        <f>G11*O7</f>
        <v>24277.701270000001</v>
      </c>
      <c r="J11" s="24">
        <f>I11-D11</f>
        <v>4790.6812700000009</v>
      </c>
      <c r="K11" s="17"/>
      <c r="L11" s="25"/>
      <c r="M11" s="25"/>
      <c r="N11" s="25"/>
      <c r="O11" s="25"/>
      <c r="Q11" s="66"/>
      <c r="T11" s="65"/>
    </row>
    <row r="12" spans="1:24" ht="14.6" x14ac:dyDescent="0.35">
      <c r="B12" s="22" t="s">
        <v>16</v>
      </c>
      <c r="C12" s="23">
        <v>1922</v>
      </c>
      <c r="D12" s="24">
        <v>14963.4</v>
      </c>
      <c r="E12" s="25">
        <f>D12/C12</f>
        <v>7.7853277835587926</v>
      </c>
      <c r="F12" s="17"/>
      <c r="G12" s="23">
        <v>1514</v>
      </c>
      <c r="H12" s="26">
        <f>(C12-G12)/C12</f>
        <v>0.21227887617065558</v>
      </c>
      <c r="I12" s="24">
        <f>G12*O7</f>
        <v>5182.8762000000006</v>
      </c>
      <c r="J12" s="24">
        <f>I12-D12</f>
        <v>-9780.523799999999</v>
      </c>
      <c r="K12" s="17"/>
      <c r="L12" s="25"/>
      <c r="M12" s="25"/>
      <c r="N12" s="25"/>
      <c r="O12" s="25"/>
      <c r="Q12" s="66"/>
    </row>
    <row r="13" spans="1:24" x14ac:dyDescent="0.35">
      <c r="B13" s="22" t="s">
        <v>17</v>
      </c>
      <c r="C13" s="23">
        <f>SUM(C11:C12)</f>
        <v>9720</v>
      </c>
      <c r="D13" s="24">
        <f>SUM(D11:D12)</f>
        <v>34450.42</v>
      </c>
      <c r="E13" s="25">
        <f>D13/C13</f>
        <v>3.5442818930041149</v>
      </c>
      <c r="F13" s="17"/>
      <c r="G13" s="23">
        <f>SUM(G11:G12)</f>
        <v>8605.9</v>
      </c>
      <c r="H13" s="26">
        <f>(C13-G13)/C13</f>
        <v>0.11461934156378605</v>
      </c>
      <c r="I13" s="24">
        <f>SUM(I11:I12)</f>
        <v>29460.577470000004</v>
      </c>
      <c r="J13" s="24">
        <f>J11+J12</f>
        <v>-4989.8425299999981</v>
      </c>
      <c r="K13" s="17"/>
      <c r="L13" s="25"/>
      <c r="M13" s="25"/>
      <c r="N13" s="25"/>
      <c r="O13" s="25"/>
      <c r="Q13" s="28" t="s">
        <v>27</v>
      </c>
    </row>
    <row r="14" spans="1:24" ht="3" customHeight="1" x14ac:dyDescent="0.35">
      <c r="A14" s="38"/>
      <c r="B14" s="39"/>
      <c r="C14" s="40"/>
      <c r="D14" s="41"/>
      <c r="E14" s="42"/>
      <c r="F14" s="17"/>
      <c r="G14" s="40"/>
      <c r="H14" s="39"/>
      <c r="I14" s="41"/>
      <c r="J14" s="41"/>
      <c r="K14" s="17"/>
      <c r="L14" s="43"/>
      <c r="M14" s="42"/>
      <c r="N14" s="42"/>
      <c r="O14" s="44"/>
    </row>
    <row r="15" spans="1:24" ht="14.6" x14ac:dyDescent="0.4">
      <c r="A15" s="21">
        <v>45200</v>
      </c>
      <c r="B15" s="22" t="s">
        <v>15</v>
      </c>
      <c r="C15" s="23">
        <v>14165</v>
      </c>
      <c r="D15" s="45">
        <f>40101.32</f>
        <v>40101.32</v>
      </c>
      <c r="E15" s="25">
        <f>D15/C15</f>
        <v>2.8310144722908577</v>
      </c>
      <c r="F15" s="17"/>
      <c r="G15" s="23">
        <v>12599.7</v>
      </c>
      <c r="H15" s="26">
        <f>(C15-G15)/C15</f>
        <v>0.11050476526650189</v>
      </c>
      <c r="I15" s="24">
        <f>G15*O7</f>
        <v>43132.553010000003</v>
      </c>
      <c r="J15" s="24">
        <f>I15-D15</f>
        <v>3031.2330100000036</v>
      </c>
      <c r="K15" s="17"/>
      <c r="L15" s="25"/>
      <c r="M15" s="25"/>
      <c r="N15" s="25"/>
      <c r="O15" s="25"/>
      <c r="Q15" s="24">
        <v>13298</v>
      </c>
      <c r="T15" s="65"/>
    </row>
    <row r="16" spans="1:24" ht="14.6" x14ac:dyDescent="0.35">
      <c r="B16" s="22" t="s">
        <v>16</v>
      </c>
      <c r="C16" s="23">
        <v>4784</v>
      </c>
      <c r="D16" s="24">
        <v>39031.46</v>
      </c>
      <c r="E16" s="25">
        <f>D16/C16</f>
        <v>8.1587499999999995</v>
      </c>
      <c r="F16" s="17"/>
      <c r="G16" s="23">
        <v>3885.7</v>
      </c>
      <c r="H16" s="26">
        <f>(C16-G16)/C16</f>
        <v>0.18777173913043482</v>
      </c>
      <c r="I16" s="24">
        <f>G16*O7</f>
        <v>13301.916810000001</v>
      </c>
      <c r="J16" s="24">
        <f>I16-D16</f>
        <v>-25729.543189999997</v>
      </c>
      <c r="K16" s="17"/>
      <c r="L16" s="25"/>
      <c r="M16" s="25"/>
      <c r="N16" s="25"/>
      <c r="O16" s="25"/>
      <c r="Q16" s="66"/>
    </row>
    <row r="17" spans="1:20" x14ac:dyDescent="0.35">
      <c r="B17" s="22" t="s">
        <v>17</v>
      </c>
      <c r="C17" s="23">
        <f>SUM(C15:C16)</f>
        <v>18949</v>
      </c>
      <c r="D17" s="24">
        <f>SUM(D15:D16)</f>
        <v>79132.78</v>
      </c>
      <c r="E17" s="25">
        <f>D17/C17</f>
        <v>4.1760926697978782</v>
      </c>
      <c r="F17" s="17"/>
      <c r="G17" s="23">
        <f>SUM(G15:G16)</f>
        <v>16485.400000000001</v>
      </c>
      <c r="H17" s="26">
        <f>(C17-G17)/C17</f>
        <v>0.13001213784368559</v>
      </c>
      <c r="I17" s="24">
        <f>SUM(I15:I16)</f>
        <v>56434.469820000006</v>
      </c>
      <c r="J17" s="24">
        <f>J15+J16</f>
        <v>-22698.310179999993</v>
      </c>
      <c r="K17" s="17"/>
      <c r="Q17" s="63"/>
      <c r="R17" s="23"/>
      <c r="S17" s="23"/>
    </row>
    <row r="18" spans="1:20" x14ac:dyDescent="0.35">
      <c r="F18" s="17"/>
      <c r="H18" s="26"/>
      <c r="K18" s="17"/>
      <c r="L18" s="22"/>
      <c r="M18" s="22"/>
    </row>
    <row r="19" spans="1:20" x14ac:dyDescent="0.35">
      <c r="F19" s="17"/>
      <c r="H19" s="26"/>
      <c r="J19" s="49" t="s">
        <v>19</v>
      </c>
      <c r="K19" s="17"/>
      <c r="L19" s="48" t="s">
        <v>18</v>
      </c>
      <c r="M19" s="48" t="s">
        <v>19</v>
      </c>
      <c r="Q19" s="28"/>
    </row>
    <row r="20" spans="1:20" x14ac:dyDescent="0.35">
      <c r="A20" s="50" t="s">
        <v>20</v>
      </c>
      <c r="B20" s="51"/>
      <c r="C20" s="51">
        <v>270145.96999999997</v>
      </c>
      <c r="D20" s="52">
        <v>1361708.4300000002</v>
      </c>
      <c r="E20" s="53">
        <f>D20/C20</f>
        <v>5.0406394365238922</v>
      </c>
      <c r="F20" s="17"/>
      <c r="G20" s="51">
        <v>252536.7</v>
      </c>
      <c r="H20" s="54">
        <f>(C20-G20)/C20</f>
        <v>6.51842779664637E-2</v>
      </c>
      <c r="I20" s="52">
        <v>2651367.4900000002</v>
      </c>
      <c r="J20" s="52">
        <f>E20*(M20+M21)</f>
        <v>-29630.637382350407</v>
      </c>
      <c r="K20" s="17"/>
      <c r="L20" s="55">
        <f>G20/(1-$Q$144)</f>
        <v>273012.64864864864</v>
      </c>
      <c r="M20" s="55">
        <f>C20-L20</f>
        <v>-2866.6786486486671</v>
      </c>
      <c r="Q20" s="28"/>
    </row>
    <row r="21" spans="1:20" x14ac:dyDescent="0.35">
      <c r="A21" s="56"/>
      <c r="B21" s="57" t="s">
        <v>16</v>
      </c>
      <c r="C21" s="51">
        <v>104393</v>
      </c>
      <c r="D21" s="52">
        <v>1123161.1099999999</v>
      </c>
      <c r="E21" s="53">
        <f>D21/C21</f>
        <v>10.758969566924984</v>
      </c>
      <c r="F21" s="17"/>
      <c r="G21" s="51">
        <v>99349.32</v>
      </c>
      <c r="H21" s="54">
        <f t="shared" ref="H21" si="0">(C21-G21)/C21</f>
        <v>4.8314350579061749E-2</v>
      </c>
      <c r="I21" s="52">
        <v>1091017.75</v>
      </c>
      <c r="J21" s="52"/>
      <c r="K21" s="17"/>
      <c r="L21" s="55">
        <f>G21/(1-$Q$144)</f>
        <v>107404.67027027028</v>
      </c>
      <c r="M21" s="55">
        <f>C21-L21</f>
        <v>-3011.6702702702751</v>
      </c>
      <c r="P21" s="28"/>
      <c r="Q21" s="63"/>
      <c r="R21" s="23"/>
      <c r="S21" s="47"/>
    </row>
    <row r="22" spans="1:20" x14ac:dyDescent="0.35">
      <c r="A22" s="56"/>
      <c r="B22" s="57" t="s">
        <v>17</v>
      </c>
      <c r="C22" s="51">
        <f>SUM(C20:C21)</f>
        <v>374538.97</v>
      </c>
      <c r="D22" s="52">
        <f>SUM(D20:D21)</f>
        <v>2484869.54</v>
      </c>
      <c r="E22" s="53">
        <f>D22/C22</f>
        <v>6.6344752857092555</v>
      </c>
      <c r="F22" s="17"/>
      <c r="G22" s="51">
        <f>SUM(G20:G21)</f>
        <v>351886.02</v>
      </c>
      <c r="H22" s="79">
        <f>C22/G22-1</f>
        <v>6.4375816919353568E-2</v>
      </c>
      <c r="I22" s="52">
        <f>SUM(I20:I21)</f>
        <v>3742385.24</v>
      </c>
      <c r="J22" s="52">
        <f>SUM(J20:J21)</f>
        <v>-29630.637382350407</v>
      </c>
      <c r="K22" s="17"/>
      <c r="L22" s="55">
        <f>G22/(1-$Q$144)</f>
        <v>380417.3189189189</v>
      </c>
      <c r="M22" s="55">
        <f>C22-L22</f>
        <v>-5878.3489189189277</v>
      </c>
      <c r="P22" s="59"/>
      <c r="Q22" s="63"/>
      <c r="R22" s="23"/>
      <c r="S22" s="47"/>
      <c r="T22" s="28"/>
    </row>
    <row r="23" spans="1:20" s="37" customFormat="1" ht="6" customHeight="1" x14ac:dyDescent="0.35">
      <c r="A23" s="29"/>
      <c r="B23" s="30"/>
      <c r="C23" s="31"/>
      <c r="D23" s="32"/>
      <c r="E23" s="33"/>
      <c r="F23" s="34"/>
      <c r="G23" s="31"/>
      <c r="H23" s="30"/>
      <c r="I23" s="32"/>
      <c r="J23" s="32"/>
      <c r="K23" s="34"/>
      <c r="L23" s="60"/>
      <c r="M23" s="61"/>
      <c r="N23" s="61"/>
      <c r="O23" s="62"/>
    </row>
    <row r="24" spans="1:20" ht="14.6" x14ac:dyDescent="0.4">
      <c r="A24" s="21">
        <v>45231</v>
      </c>
      <c r="B24" s="22" t="s">
        <v>15</v>
      </c>
      <c r="C24" s="23">
        <v>31616</v>
      </c>
      <c r="D24" s="24">
        <v>101607.08</v>
      </c>
      <c r="E24" s="25">
        <f>D24/C24</f>
        <v>3.2137866902834009</v>
      </c>
      <c r="F24" s="17"/>
      <c r="G24" s="23">
        <v>28462</v>
      </c>
      <c r="H24" s="26">
        <f>(C24-G24)/C24</f>
        <v>9.9759615384615391E-2</v>
      </c>
      <c r="I24" s="24">
        <f>G24*O24</f>
        <v>85832.853400000007</v>
      </c>
      <c r="J24" s="24">
        <f>I24-D24</f>
        <v>-15774.226599999995</v>
      </c>
      <c r="K24" s="17"/>
      <c r="L24" s="25">
        <v>6.2594000000000003</v>
      </c>
      <c r="M24" s="25">
        <v>-3.2437</v>
      </c>
      <c r="N24" s="25"/>
      <c r="O24" s="25">
        <f>SUM(L24:N24)</f>
        <v>3.0157000000000003</v>
      </c>
      <c r="Q24" s="28"/>
      <c r="T24" s="65"/>
    </row>
    <row r="25" spans="1:20" x14ac:dyDescent="0.35">
      <c r="B25" s="22" t="s">
        <v>16</v>
      </c>
      <c r="C25" s="23">
        <v>12627</v>
      </c>
      <c r="D25" s="24">
        <v>112044.65</v>
      </c>
      <c r="E25" s="25">
        <f>D25/C25</f>
        <v>8.8734180723845721</v>
      </c>
      <c r="F25" s="17"/>
      <c r="G25" s="23">
        <v>12252.67</v>
      </c>
      <c r="H25" s="26">
        <f>(C25-G25)/C25</f>
        <v>2.9645204720044345E-2</v>
      </c>
      <c r="I25" s="24">
        <f>G25*O24</f>
        <v>36950.376919000002</v>
      </c>
      <c r="J25" s="24">
        <f>I25-D25</f>
        <v>-75094.273080999992</v>
      </c>
      <c r="K25" s="17"/>
      <c r="L25" s="25"/>
      <c r="M25" s="25"/>
      <c r="N25" s="25"/>
      <c r="O25" s="25"/>
      <c r="Q25" s="28"/>
    </row>
    <row r="26" spans="1:20" x14ac:dyDescent="0.35">
      <c r="B26" s="22" t="s">
        <v>17</v>
      </c>
      <c r="C26" s="23">
        <f>SUM(C24:C25)</f>
        <v>44243</v>
      </c>
      <c r="D26" s="24">
        <f>SUM(D24:D25)</f>
        <v>213651.72999999998</v>
      </c>
      <c r="E26" s="25">
        <f>D26/C26</f>
        <v>4.8290516013832692</v>
      </c>
      <c r="F26" s="17"/>
      <c r="G26" s="23">
        <f>SUM(G24:G25)</f>
        <v>40714.67</v>
      </c>
      <c r="H26" s="26">
        <f>(C26-G26)/C26</f>
        <v>7.9748886829554999E-2</v>
      </c>
      <c r="I26" s="24">
        <f>SUM(I24:I25)</f>
        <v>122783.23031900001</v>
      </c>
      <c r="J26" s="24">
        <f>J24+J25</f>
        <v>-90868.499680999987</v>
      </c>
      <c r="K26" s="17"/>
      <c r="L26" s="25"/>
      <c r="M26" s="25"/>
      <c r="N26" s="25"/>
      <c r="O26" s="25"/>
    </row>
    <row r="27" spans="1:20" ht="3" customHeight="1" x14ac:dyDescent="0.35">
      <c r="A27" s="38"/>
      <c r="B27" s="39"/>
      <c r="C27" s="40"/>
      <c r="D27" s="41"/>
      <c r="E27" s="42"/>
      <c r="F27" s="17"/>
      <c r="G27" s="40"/>
      <c r="H27" s="39"/>
      <c r="I27" s="41"/>
      <c r="J27" s="41"/>
      <c r="K27" s="17"/>
      <c r="L27" s="43"/>
      <c r="M27" s="42"/>
      <c r="N27" s="42"/>
      <c r="O27" s="44"/>
    </row>
    <row r="28" spans="1:20" ht="14.6" x14ac:dyDescent="0.4">
      <c r="A28" s="21">
        <v>45261</v>
      </c>
      <c r="B28" s="22" t="s">
        <v>15</v>
      </c>
      <c r="C28" s="23">
        <v>44000</v>
      </c>
      <c r="D28" s="24">
        <v>140820.04999999999</v>
      </c>
      <c r="E28" s="25">
        <f>D28/C28</f>
        <v>3.2004556818181817</v>
      </c>
      <c r="F28" s="17"/>
      <c r="G28" s="23">
        <v>42181.09</v>
      </c>
      <c r="H28" s="26">
        <f>(C28-G28)/C28</f>
        <v>4.1338863636363715E-2</v>
      </c>
      <c r="I28" s="24">
        <f>G28*O24</f>
        <v>127205.51311299999</v>
      </c>
      <c r="J28" s="24">
        <f>I28-D28</f>
        <v>-13614.536886999995</v>
      </c>
      <c r="K28" s="17"/>
      <c r="L28" s="25"/>
      <c r="M28" s="25"/>
      <c r="N28" s="25"/>
      <c r="O28" s="25"/>
      <c r="Q28" s="63"/>
      <c r="T28" s="65"/>
    </row>
    <row r="29" spans="1:20" x14ac:dyDescent="0.35">
      <c r="B29" s="22" t="s">
        <v>16</v>
      </c>
      <c r="C29" s="23">
        <v>16488</v>
      </c>
      <c r="D29" s="24">
        <v>147749.06</v>
      </c>
      <c r="E29" s="25">
        <f>D29/C29</f>
        <v>8.9610055798156232</v>
      </c>
      <c r="F29" s="17"/>
      <c r="G29" s="23">
        <v>15844.95</v>
      </c>
      <c r="H29" s="26">
        <f>(C29-G29)/C29</f>
        <v>3.9001091703056726E-2</v>
      </c>
      <c r="I29" s="24">
        <f>G29*O24</f>
        <v>47783.615715000007</v>
      </c>
      <c r="J29" s="24">
        <f>I29-D29</f>
        <v>-99965.44428499999</v>
      </c>
      <c r="K29" s="17"/>
      <c r="L29" s="25"/>
      <c r="M29" s="25"/>
      <c r="N29" s="25"/>
      <c r="O29" s="25"/>
      <c r="Q29" s="63"/>
    </row>
    <row r="30" spans="1:20" x14ac:dyDescent="0.35">
      <c r="B30" s="22" t="s">
        <v>17</v>
      </c>
      <c r="C30" s="23">
        <f>SUM(C28:C29)</f>
        <v>60488</v>
      </c>
      <c r="D30" s="24">
        <f>SUM(D28:D29)</f>
        <v>288569.11</v>
      </c>
      <c r="E30" s="25">
        <f>D30/C30</f>
        <v>4.7706836066657843</v>
      </c>
      <c r="F30" s="17"/>
      <c r="G30" s="23">
        <f>SUM(G28:G29)</f>
        <v>58026.039999999994</v>
      </c>
      <c r="H30" s="26">
        <f>(C30-G30)/C30</f>
        <v>4.0701626768946016E-2</v>
      </c>
      <c r="I30" s="24">
        <f>SUM(I28:I29)</f>
        <v>174989.12882799999</v>
      </c>
      <c r="J30" s="24">
        <f>J28+J29</f>
        <v>-113579.98117199999</v>
      </c>
      <c r="K30" s="17"/>
      <c r="L30" s="25"/>
      <c r="M30" s="25"/>
      <c r="N30" s="25"/>
      <c r="O30" s="25"/>
      <c r="Q30" s="63"/>
      <c r="R30" s="23"/>
      <c r="S30" s="23"/>
      <c r="T30" s="64"/>
    </row>
    <row r="31" spans="1:20" ht="3" customHeight="1" x14ac:dyDescent="0.35">
      <c r="A31" s="38"/>
      <c r="B31" s="39"/>
      <c r="C31" s="40"/>
      <c r="D31" s="41"/>
      <c r="E31" s="42"/>
      <c r="F31" s="17"/>
      <c r="G31" s="40"/>
      <c r="H31" s="39"/>
      <c r="I31" s="41"/>
      <c r="J31" s="41"/>
      <c r="K31" s="17"/>
      <c r="L31" s="43"/>
      <c r="M31" s="42"/>
      <c r="N31" s="42"/>
      <c r="O31" s="44"/>
    </row>
    <row r="32" spans="1:20" ht="14.6" x14ac:dyDescent="0.4">
      <c r="A32" s="12">
        <v>45292</v>
      </c>
      <c r="B32" s="13" t="s">
        <v>15</v>
      </c>
      <c r="C32" s="14">
        <v>57338</v>
      </c>
      <c r="D32" s="15">
        <v>209394.27</v>
      </c>
      <c r="E32" s="16">
        <f>D32/C32</f>
        <v>3.6519283895496875</v>
      </c>
      <c r="F32" s="17"/>
      <c r="G32" s="14">
        <v>57721.49</v>
      </c>
      <c r="H32" s="18">
        <f>(C32-G32)/C32</f>
        <v>-6.6882346785726386E-3</v>
      </c>
      <c r="I32" s="15">
        <f>G32*O24</f>
        <v>174070.69739300001</v>
      </c>
      <c r="J32" s="15">
        <f>I32-D32</f>
        <v>-35323.57260699998</v>
      </c>
      <c r="K32" s="17"/>
      <c r="L32" s="16"/>
      <c r="M32" s="16"/>
      <c r="N32" s="16"/>
      <c r="O32" s="16"/>
      <c r="Q32" s="66"/>
      <c r="R32" s="66"/>
      <c r="T32" s="65"/>
    </row>
    <row r="33" spans="1:23" ht="14.6" x14ac:dyDescent="0.35">
      <c r="B33" s="22" t="s">
        <v>16</v>
      </c>
      <c r="C33" s="23">
        <v>27420</v>
      </c>
      <c r="D33" s="24">
        <v>354972.92</v>
      </c>
      <c r="E33" s="25">
        <f>D33/C33</f>
        <v>12.945766593727205</v>
      </c>
      <c r="F33" s="17"/>
      <c r="G33" s="23">
        <v>26942.2</v>
      </c>
      <c r="H33" s="26">
        <f>(C33-G33)/C33</f>
        <v>1.7425237053245779E-2</v>
      </c>
      <c r="I33" s="24">
        <f>G33*O24</f>
        <v>81249.592540000012</v>
      </c>
      <c r="J33" s="24">
        <f>I33-D33</f>
        <v>-273723.32745999994</v>
      </c>
      <c r="K33" s="17"/>
      <c r="L33" s="25"/>
      <c r="M33" s="25"/>
      <c r="N33" s="25"/>
      <c r="O33" s="25"/>
      <c r="Q33" s="66"/>
      <c r="R33" s="66"/>
    </row>
    <row r="34" spans="1:23" x14ac:dyDescent="0.35">
      <c r="B34" s="22" t="s">
        <v>17</v>
      </c>
      <c r="C34" s="23">
        <f>SUM(C32:C33)</f>
        <v>84758</v>
      </c>
      <c r="D34" s="24">
        <f>SUM(D32:D33)</f>
        <v>564367.18999999994</v>
      </c>
      <c r="E34" s="25">
        <f>D34/C34</f>
        <v>6.6585713442978829</v>
      </c>
      <c r="F34" s="17"/>
      <c r="G34" s="23">
        <f>SUM(G32:G33)</f>
        <v>84663.69</v>
      </c>
      <c r="H34" s="26">
        <f>(C34-G34)/C34</f>
        <v>1.1126973265060251E-3</v>
      </c>
      <c r="I34" s="24">
        <f>SUM(I32:I33)</f>
        <v>255320.28993300002</v>
      </c>
      <c r="J34" s="24">
        <f>J32+J33</f>
        <v>-309046.90006699995</v>
      </c>
      <c r="K34" s="17"/>
      <c r="L34" s="25"/>
      <c r="M34" s="25"/>
      <c r="N34" s="25"/>
      <c r="O34" s="25"/>
    </row>
    <row r="35" spans="1:23" s="37" customFormat="1" ht="3" customHeight="1" x14ac:dyDescent="0.35">
      <c r="A35" s="29"/>
      <c r="B35" s="30"/>
      <c r="C35" s="31"/>
      <c r="D35" s="32"/>
      <c r="E35" s="33"/>
      <c r="F35" s="34"/>
      <c r="G35" s="31"/>
      <c r="H35" s="30"/>
      <c r="I35" s="32"/>
      <c r="J35" s="32"/>
      <c r="K35" s="34"/>
      <c r="L35" s="35"/>
      <c r="M35" s="33"/>
      <c r="N35" s="33"/>
      <c r="O35" s="36"/>
    </row>
    <row r="36" spans="1:23" ht="14.6" x14ac:dyDescent="0.4">
      <c r="A36" s="21">
        <v>45323</v>
      </c>
      <c r="B36" s="22" t="s">
        <v>15</v>
      </c>
      <c r="C36" s="23">
        <v>41603</v>
      </c>
      <c r="D36" s="24">
        <v>155073.9</v>
      </c>
      <c r="E36" s="25">
        <f>D36/C36</f>
        <v>3.7274691728961851</v>
      </c>
      <c r="F36" s="17"/>
      <c r="G36" s="23">
        <v>39245</v>
      </c>
      <c r="H36" s="26">
        <f>(C36-G36)/C36</f>
        <v>5.667860490829988E-2</v>
      </c>
      <c r="I36" s="24">
        <f>G36*O36</f>
        <v>224928.79300000001</v>
      </c>
      <c r="J36" s="24">
        <f>I36-D36</f>
        <v>69854.893000000011</v>
      </c>
      <c r="K36" s="17"/>
      <c r="L36" s="25">
        <v>5.5960000000000001</v>
      </c>
      <c r="M36" s="25">
        <v>0.13539999999999999</v>
      </c>
      <c r="N36" s="25"/>
      <c r="O36" s="25">
        <f>SUM(L36:N36)</f>
        <v>5.7313999999999998</v>
      </c>
      <c r="Q36" s="66"/>
      <c r="T36" s="65"/>
    </row>
    <row r="37" spans="1:23" ht="14.6" x14ac:dyDescent="0.35">
      <c r="B37" s="22" t="s">
        <v>16</v>
      </c>
      <c r="C37" s="23">
        <v>16925</v>
      </c>
      <c r="D37" s="24">
        <v>152081.96</v>
      </c>
      <c r="E37" s="25">
        <f>D37/C37</f>
        <v>8.9856401772525842</v>
      </c>
      <c r="F37" s="17"/>
      <c r="G37" s="23">
        <v>15928</v>
      </c>
      <c r="H37" s="26">
        <f>(C37-G37)/C37</f>
        <v>5.8906942392909896E-2</v>
      </c>
      <c r="I37" s="24">
        <f>G37*O36</f>
        <v>91289.739199999996</v>
      </c>
      <c r="J37" s="24">
        <f>I37-D37</f>
        <v>-60792.220799999996</v>
      </c>
      <c r="K37" s="17"/>
      <c r="L37" s="25"/>
      <c r="M37" s="25"/>
      <c r="N37" s="25"/>
      <c r="O37" s="25"/>
      <c r="Q37" s="66"/>
    </row>
    <row r="38" spans="1:23" ht="14.6" x14ac:dyDescent="0.35">
      <c r="B38" s="22" t="s">
        <v>17</v>
      </c>
      <c r="C38" s="23">
        <f>SUM(C36:C37)</f>
        <v>58528</v>
      </c>
      <c r="D38" s="24">
        <f>SUM(D36:D37)</f>
        <v>307155.86</v>
      </c>
      <c r="E38" s="25">
        <f>D38/C38</f>
        <v>5.2480156506287585</v>
      </c>
      <c r="F38" s="17"/>
      <c r="G38" s="23">
        <f>SUM(G36:G37)</f>
        <v>55173</v>
      </c>
      <c r="H38" s="26">
        <f>(C38-G38)/C38</f>
        <v>5.7322990705303445E-2</v>
      </c>
      <c r="I38" s="24">
        <f>SUM(I36:I37)</f>
        <v>316218.53220000002</v>
      </c>
      <c r="J38" s="24">
        <f>J36+J37</f>
        <v>9062.6722000000154</v>
      </c>
      <c r="K38" s="17"/>
      <c r="L38" s="25"/>
      <c r="M38" s="25"/>
      <c r="N38" s="25"/>
      <c r="O38" s="25"/>
      <c r="Q38" s="66"/>
    </row>
    <row r="39" spans="1:23" ht="3" customHeight="1" x14ac:dyDescent="0.35">
      <c r="A39" s="38"/>
      <c r="B39" s="39"/>
      <c r="C39" s="40"/>
      <c r="D39" s="41"/>
      <c r="E39" s="42"/>
      <c r="F39" s="17"/>
      <c r="G39" s="40"/>
      <c r="H39" s="39"/>
      <c r="I39" s="41"/>
      <c r="J39" s="41"/>
      <c r="K39" s="17"/>
      <c r="L39" s="43"/>
      <c r="M39" s="42"/>
      <c r="N39" s="42"/>
      <c r="O39" s="44"/>
      <c r="Q39" s="66"/>
    </row>
    <row r="40" spans="1:23" ht="14.6" x14ac:dyDescent="0.4">
      <c r="A40" s="21">
        <v>45352</v>
      </c>
      <c r="B40" s="22" t="s">
        <v>15</v>
      </c>
      <c r="C40" s="23">
        <v>29737</v>
      </c>
      <c r="D40" s="24">
        <v>86599.49</v>
      </c>
      <c r="E40" s="25">
        <f>D40/C40</f>
        <v>2.9121797760365875</v>
      </c>
      <c r="F40" s="17"/>
      <c r="G40" s="23">
        <v>27091.5</v>
      </c>
      <c r="H40" s="26">
        <f>(C40-G40)/C40</f>
        <v>8.8963244442949854E-2</v>
      </c>
      <c r="I40" s="24">
        <f>G40*O36</f>
        <v>155272.2231</v>
      </c>
      <c r="J40" s="24">
        <f>I40-D40</f>
        <v>68672.733099999998</v>
      </c>
      <c r="K40" s="17"/>
      <c r="L40" s="25"/>
      <c r="M40" s="25"/>
      <c r="N40" s="25"/>
      <c r="O40" s="25"/>
      <c r="Q40" s="66"/>
      <c r="T40" s="65"/>
    </row>
    <row r="41" spans="1:23" ht="14.6" x14ac:dyDescent="0.35">
      <c r="B41" s="22" t="s">
        <v>16</v>
      </c>
      <c r="C41" s="23">
        <v>11884</v>
      </c>
      <c r="D41" s="24">
        <v>94733.03</v>
      </c>
      <c r="E41" s="25">
        <f>D41/C41</f>
        <v>7.9714767754964662</v>
      </c>
      <c r="F41" s="17"/>
      <c r="G41" s="23">
        <v>11031.9</v>
      </c>
      <c r="H41" s="26">
        <f>(C41-G41)/C41</f>
        <v>7.1701447324133319E-2</v>
      </c>
      <c r="I41" s="24">
        <f>G41*O36</f>
        <v>63228.231659999998</v>
      </c>
      <c r="J41" s="24">
        <f>I41-D41</f>
        <v>-31504.798340000001</v>
      </c>
      <c r="K41" s="17"/>
      <c r="L41" s="25"/>
      <c r="M41" s="25"/>
      <c r="N41" s="25"/>
      <c r="O41" s="25"/>
      <c r="Q41" s="66"/>
    </row>
    <row r="42" spans="1:23" ht="14.6" x14ac:dyDescent="0.35">
      <c r="B42" s="22" t="s">
        <v>17</v>
      </c>
      <c r="C42" s="23">
        <f>SUM(C40:C41)</f>
        <v>41621</v>
      </c>
      <c r="D42" s="24">
        <f>SUM(D40:D41)</f>
        <v>181332.52000000002</v>
      </c>
      <c r="E42" s="25">
        <f>D42/C42</f>
        <v>4.3567554840104759</v>
      </c>
      <c r="F42" s="17"/>
      <c r="G42" s="23">
        <f>SUM(G40:G41)</f>
        <v>38123.4</v>
      </c>
      <c r="H42" s="26">
        <f>(C42-G42)/C42</f>
        <v>8.4034501813988097E-2</v>
      </c>
      <c r="I42" s="24">
        <f>SUM(I40:I41)</f>
        <v>218500.45475999999</v>
      </c>
      <c r="J42" s="24">
        <f>J40+J41</f>
        <v>37167.934759999996</v>
      </c>
      <c r="K42" s="17"/>
      <c r="L42" s="25"/>
      <c r="M42" s="25"/>
      <c r="N42" s="25"/>
      <c r="O42" s="25"/>
      <c r="Q42" s="66"/>
    </row>
    <row r="43" spans="1:23" ht="3" customHeight="1" x14ac:dyDescent="0.35">
      <c r="A43" s="38"/>
      <c r="B43" s="39"/>
      <c r="C43" s="40"/>
      <c r="D43" s="41"/>
      <c r="E43" s="42"/>
      <c r="F43" s="17"/>
      <c r="G43" s="40"/>
      <c r="H43" s="39"/>
      <c r="I43" s="41"/>
      <c r="J43" s="41"/>
      <c r="K43" s="17"/>
      <c r="L43" s="43"/>
      <c r="M43" s="42"/>
      <c r="N43" s="42"/>
      <c r="O43" s="44"/>
      <c r="Q43" s="66"/>
    </row>
    <row r="44" spans="1:23" ht="14.6" x14ac:dyDescent="0.4">
      <c r="A44" s="21">
        <v>45383</v>
      </c>
      <c r="B44" s="22" t="s">
        <v>15</v>
      </c>
      <c r="C44" s="23">
        <v>18373</v>
      </c>
      <c r="D44" s="24">
        <v>46764</v>
      </c>
      <c r="E44" s="25">
        <f>D44/C44</f>
        <v>2.5452566265715997</v>
      </c>
      <c r="F44" s="17"/>
      <c r="G44" s="23">
        <v>19678.7</v>
      </c>
      <c r="H44" s="26">
        <f>(C44-G44)/C44</f>
        <v>-7.1066238502149937E-2</v>
      </c>
      <c r="I44" s="24">
        <f>G44*O44</f>
        <v>42472.538210000006</v>
      </c>
      <c r="J44" s="24">
        <f>I44-D44</f>
        <v>-4291.4617899999939</v>
      </c>
      <c r="K44" s="17"/>
      <c r="L44" s="25"/>
      <c r="M44" s="25"/>
      <c r="N44" s="25"/>
      <c r="O44" s="25">
        <v>2.1583000000000001</v>
      </c>
      <c r="P44" s="28"/>
      <c r="Q44" s="66"/>
      <c r="T44" s="65"/>
      <c r="U44" s="67"/>
      <c r="V44" s="67"/>
      <c r="W44" s="68"/>
    </row>
    <row r="45" spans="1:23" ht="14.6" x14ac:dyDescent="0.35">
      <c r="B45" s="22" t="s">
        <v>16</v>
      </c>
      <c r="C45" s="23">
        <v>6766</v>
      </c>
      <c r="D45" s="24">
        <v>54697.25</v>
      </c>
      <c r="E45" s="25">
        <f>D45/C45</f>
        <v>8.0841339048182093</v>
      </c>
      <c r="F45" s="17"/>
      <c r="G45" s="23">
        <v>6741.2</v>
      </c>
      <c r="H45" s="26">
        <f>(C45-G45)/C45</f>
        <v>3.6653857522908929E-3</v>
      </c>
      <c r="I45" s="24">
        <f>G45*O44</f>
        <v>14549.53196</v>
      </c>
      <c r="J45" s="24">
        <f>I45-D45</f>
        <v>-40147.71804</v>
      </c>
      <c r="K45" s="17"/>
      <c r="L45" s="25"/>
      <c r="M45" s="25"/>
      <c r="N45" s="25"/>
      <c r="O45" s="25"/>
      <c r="Q45" s="66"/>
      <c r="U45" s="67"/>
      <c r="V45" s="67"/>
      <c r="W45" s="68"/>
    </row>
    <row r="46" spans="1:23" ht="14.6" x14ac:dyDescent="0.35">
      <c r="B46" s="22" t="s">
        <v>17</v>
      </c>
      <c r="C46" s="23">
        <f>SUM(C44:C45)</f>
        <v>25139</v>
      </c>
      <c r="D46" s="24">
        <f>SUM(D44:D45)</f>
        <v>101461.25</v>
      </c>
      <c r="E46" s="25">
        <f>D46/C46</f>
        <v>4.0360097855921078</v>
      </c>
      <c r="F46" s="17"/>
      <c r="G46" s="23">
        <f>SUM(G44:G45)</f>
        <v>26419.9</v>
      </c>
      <c r="H46" s="26">
        <f>(C46-G46)/C46</f>
        <v>-5.0952702971478636E-2</v>
      </c>
      <c r="I46" s="24">
        <f>SUM(I44:I45)</f>
        <v>57022.070170000006</v>
      </c>
      <c r="J46" s="24">
        <f>J44+J45</f>
        <v>-44439.179829999994</v>
      </c>
      <c r="K46" s="17"/>
      <c r="L46" s="25"/>
      <c r="M46" s="25"/>
      <c r="N46" s="25"/>
      <c r="O46" s="25"/>
      <c r="Q46" s="66"/>
      <c r="R46" s="23"/>
      <c r="S46" s="23"/>
      <c r="U46" s="67"/>
      <c r="V46" s="67"/>
      <c r="W46" s="68"/>
    </row>
    <row r="47" spans="1:23" s="37" customFormat="1" ht="3" customHeight="1" x14ac:dyDescent="0.35">
      <c r="A47" s="29"/>
      <c r="B47" s="30"/>
      <c r="C47" s="31"/>
      <c r="D47" s="32"/>
      <c r="E47" s="33"/>
      <c r="F47" s="34"/>
      <c r="G47" s="31"/>
      <c r="H47" s="30"/>
      <c r="I47" s="32"/>
      <c r="J47" s="32"/>
      <c r="K47" s="34"/>
      <c r="L47" s="35"/>
      <c r="M47" s="33"/>
      <c r="N47" s="33"/>
      <c r="O47" s="36"/>
    </row>
    <row r="48" spans="1:23" ht="14.6" x14ac:dyDescent="0.4">
      <c r="A48" s="21">
        <v>45413</v>
      </c>
      <c r="B48" s="22" t="s">
        <v>15</v>
      </c>
      <c r="C48" s="23">
        <v>9286</v>
      </c>
      <c r="D48" s="24">
        <v>26960.240000000002</v>
      </c>
      <c r="E48" s="25">
        <f>D48/C48</f>
        <v>2.903321128580659</v>
      </c>
      <c r="F48" s="17"/>
      <c r="G48" s="23">
        <v>8260.9</v>
      </c>
      <c r="H48" s="26">
        <f>(C48-G48)/C48</f>
        <v>0.11039198793883269</v>
      </c>
      <c r="I48" s="24">
        <f>G48*O48</f>
        <v>31586.377239999998</v>
      </c>
      <c r="J48" s="24">
        <f>I48-D48</f>
        <v>4626.1372399999964</v>
      </c>
      <c r="K48" s="17"/>
      <c r="L48" s="74">
        <v>6.0068999999999999</v>
      </c>
      <c r="M48" s="74">
        <v>-2.1833</v>
      </c>
      <c r="N48" s="25"/>
      <c r="O48" s="25">
        <f>SUM(L48:N48)</f>
        <v>3.8235999999999999</v>
      </c>
      <c r="P48" s="28"/>
      <c r="Q48" s="66"/>
      <c r="T48" s="65"/>
      <c r="U48" s="67"/>
      <c r="V48" s="67"/>
      <c r="W48" s="68"/>
    </row>
    <row r="49" spans="1:24" ht="14.6" x14ac:dyDescent="0.35">
      <c r="B49" s="22" t="s">
        <v>16</v>
      </c>
      <c r="C49" s="23">
        <v>2908</v>
      </c>
      <c r="D49" s="24">
        <v>23615.7</v>
      </c>
      <c r="E49" s="25">
        <f>D49/C49</f>
        <v>8.1209422283356254</v>
      </c>
      <c r="F49" s="17"/>
      <c r="G49" s="23">
        <v>2421.1999999999998</v>
      </c>
      <c r="H49" s="26">
        <f>(C49-G49)/C49</f>
        <v>0.16740027510316374</v>
      </c>
      <c r="I49" s="24">
        <f>G49*O48</f>
        <v>9257.7003199999999</v>
      </c>
      <c r="J49" s="24">
        <f>I49-D49</f>
        <v>-14357.999680000001</v>
      </c>
      <c r="K49" s="17"/>
      <c r="L49" s="25"/>
      <c r="M49" s="25"/>
      <c r="N49" s="25"/>
      <c r="O49" s="25"/>
      <c r="Q49" s="66"/>
      <c r="U49" s="67"/>
      <c r="V49" s="67"/>
      <c r="W49" s="68"/>
    </row>
    <row r="50" spans="1:24" ht="14.6" x14ac:dyDescent="0.35">
      <c r="B50" s="22" t="s">
        <v>17</v>
      </c>
      <c r="C50" s="23">
        <f>SUM(C48:C49)</f>
        <v>12194</v>
      </c>
      <c r="D50" s="24">
        <f>SUM(D48:D49)</f>
        <v>50575.94</v>
      </c>
      <c r="E50" s="25">
        <f>D50/C50</f>
        <v>4.1476086599967195</v>
      </c>
      <c r="F50" s="17"/>
      <c r="G50" s="23">
        <f>SUM(G48:G49)</f>
        <v>10682.099999999999</v>
      </c>
      <c r="H50" s="26">
        <f>(C50-G50)/C50</f>
        <v>0.12398720682302784</v>
      </c>
      <c r="I50" s="24">
        <f>SUM(I48:I49)</f>
        <v>40844.077559999998</v>
      </c>
      <c r="J50" s="24">
        <f>J48+J49</f>
        <v>-9731.8624400000044</v>
      </c>
      <c r="K50" s="17"/>
      <c r="L50" s="25"/>
      <c r="M50" s="25"/>
      <c r="N50" s="25"/>
      <c r="O50" s="25"/>
      <c r="Q50" s="66"/>
      <c r="R50" s="23"/>
      <c r="S50" s="23"/>
      <c r="U50" s="67"/>
      <c r="V50" s="67"/>
      <c r="W50" s="68"/>
    </row>
    <row r="51" spans="1:24" ht="3" customHeight="1" x14ac:dyDescent="0.35">
      <c r="A51" s="38"/>
      <c r="B51" s="39"/>
      <c r="C51" s="40"/>
      <c r="D51" s="41"/>
      <c r="E51" s="42"/>
      <c r="F51" s="17"/>
      <c r="G51" s="40"/>
      <c r="H51" s="39"/>
      <c r="I51" s="41"/>
      <c r="J51" s="41"/>
      <c r="K51" s="17"/>
      <c r="L51" s="43"/>
      <c r="M51" s="42"/>
      <c r="N51" s="42"/>
      <c r="O51" s="44"/>
      <c r="Q51" s="66"/>
    </row>
    <row r="52" spans="1:24" ht="14.6" x14ac:dyDescent="0.4">
      <c r="A52" s="21">
        <v>45444</v>
      </c>
      <c r="B52" s="22" t="s">
        <v>15</v>
      </c>
      <c r="C52" s="23">
        <v>7336</v>
      </c>
      <c r="D52" s="24">
        <v>23077.98</v>
      </c>
      <c r="E52" s="25">
        <f>D52/C52</f>
        <v>3.1458533260632495</v>
      </c>
      <c r="F52" s="17"/>
      <c r="G52" s="23">
        <v>6171.9</v>
      </c>
      <c r="H52" s="26">
        <f>(C52-G52)/C52</f>
        <v>0.15868320610687028</v>
      </c>
      <c r="I52" s="24">
        <f>G52*O48</f>
        <v>23598.876839999997</v>
      </c>
      <c r="J52" s="24">
        <f>I52-D52</f>
        <v>520.89683999999761</v>
      </c>
      <c r="K52" s="17"/>
      <c r="L52" s="25"/>
      <c r="M52" s="25"/>
      <c r="N52" s="25"/>
      <c r="O52" s="25"/>
      <c r="P52" s="28"/>
      <c r="Q52" s="66"/>
      <c r="T52" s="65"/>
      <c r="U52" s="67"/>
      <c r="V52" s="67"/>
      <c r="W52" s="68"/>
    </row>
    <row r="53" spans="1:24" ht="14.6" x14ac:dyDescent="0.35">
      <c r="B53" s="22" t="s">
        <v>16</v>
      </c>
      <c r="C53" s="23">
        <v>1879</v>
      </c>
      <c r="D53" s="24">
        <v>17082</v>
      </c>
      <c r="E53" s="25">
        <f>D53/C53</f>
        <v>9.0910058541777534</v>
      </c>
      <c r="F53" s="17"/>
      <c r="G53" s="23">
        <v>1592.5</v>
      </c>
      <c r="H53" s="26">
        <f>(C53-G53)/C53</f>
        <v>0.15247472059606174</v>
      </c>
      <c r="I53" s="24">
        <f>G53*O48</f>
        <v>6089.0829999999996</v>
      </c>
      <c r="J53" s="24">
        <f>I53-D53</f>
        <v>-10992.917000000001</v>
      </c>
      <c r="K53" s="17"/>
      <c r="L53" s="25"/>
      <c r="M53" s="25"/>
      <c r="N53" s="25"/>
      <c r="O53" s="25"/>
      <c r="Q53" s="66"/>
      <c r="U53" s="67"/>
      <c r="V53" s="67"/>
      <c r="W53" s="68"/>
    </row>
    <row r="54" spans="1:24" ht="14.6" x14ac:dyDescent="0.35">
      <c r="B54" s="22" t="s">
        <v>17</v>
      </c>
      <c r="C54" s="23">
        <f>SUM(C52:C53)</f>
        <v>9215</v>
      </c>
      <c r="D54" s="24">
        <f>SUM(D52:D53)</f>
        <v>40159.979999999996</v>
      </c>
      <c r="E54" s="25">
        <f>D54/C54</f>
        <v>4.3581096039066738</v>
      </c>
      <c r="F54" s="17"/>
      <c r="G54" s="23">
        <f>SUM(G52:G53)</f>
        <v>7764.4</v>
      </c>
      <c r="H54" s="26">
        <f>(C54-G54)/C54</f>
        <v>0.15741725447639721</v>
      </c>
      <c r="I54" s="24">
        <f>SUM(I52:I53)</f>
        <v>29687.959839999996</v>
      </c>
      <c r="J54" s="24">
        <f>J52+J53</f>
        <v>-10472.020160000004</v>
      </c>
      <c r="K54" s="17"/>
      <c r="L54" s="25"/>
      <c r="M54" s="25"/>
      <c r="N54" s="25"/>
      <c r="O54" s="25"/>
      <c r="Q54" s="66"/>
      <c r="R54" s="23"/>
      <c r="S54" s="23"/>
      <c r="U54" s="67"/>
      <c r="V54" s="67"/>
      <c r="W54" s="68"/>
    </row>
    <row r="55" spans="1:24" ht="3" customHeight="1" x14ac:dyDescent="0.35">
      <c r="A55" s="38"/>
      <c r="B55" s="39"/>
      <c r="C55" s="40"/>
      <c r="D55" s="41"/>
      <c r="E55" s="42"/>
      <c r="F55" s="17"/>
      <c r="G55" s="40"/>
      <c r="H55" s="39"/>
      <c r="I55" s="41"/>
      <c r="J55" s="41"/>
      <c r="K55" s="17"/>
      <c r="L55" s="43"/>
      <c r="M55" s="42"/>
      <c r="N55" s="42"/>
      <c r="O55" s="44"/>
      <c r="Q55" s="66"/>
    </row>
    <row r="56" spans="1:24" ht="14.6" x14ac:dyDescent="0.4">
      <c r="A56" s="21">
        <v>45474</v>
      </c>
      <c r="B56" s="22" t="s">
        <v>15</v>
      </c>
      <c r="C56" s="23">
        <v>6626</v>
      </c>
      <c r="D56" s="24">
        <v>23627</v>
      </c>
      <c r="E56" s="25">
        <f>D56/C56</f>
        <v>3.5658013884696649</v>
      </c>
      <c r="F56" s="17"/>
      <c r="G56" s="23">
        <v>6273.2</v>
      </c>
      <c r="H56" s="26">
        <f>(C56-G56)/C56</f>
        <v>5.3244793238756444E-2</v>
      </c>
      <c r="I56" s="24">
        <f>G56*O48</f>
        <v>23986.20752</v>
      </c>
      <c r="J56" s="24">
        <f>I56-D56</f>
        <v>359.20751999999993</v>
      </c>
      <c r="K56" s="17"/>
      <c r="L56" s="25"/>
      <c r="M56" s="25"/>
      <c r="N56" s="25"/>
      <c r="O56" s="25"/>
      <c r="Q56" s="66"/>
      <c r="T56" s="65"/>
    </row>
    <row r="57" spans="1:24" ht="14.6" x14ac:dyDescent="0.35">
      <c r="B57" s="22" t="s">
        <v>16</v>
      </c>
      <c r="C57" s="23">
        <v>1903</v>
      </c>
      <c r="D57" s="24">
        <v>17130.86</v>
      </c>
      <c r="E57" s="25">
        <f>D57/C57</f>
        <v>9.0020283762480293</v>
      </c>
      <c r="F57" s="17"/>
      <c r="G57" s="23">
        <v>1554.1</v>
      </c>
      <c r="H57" s="26">
        <f>(C57-G57)/C57</f>
        <v>0.18334209143457703</v>
      </c>
      <c r="I57" s="24">
        <f>G57*O48</f>
        <v>5942.2567599999993</v>
      </c>
      <c r="J57" s="24">
        <f>I57-D57</f>
        <v>-11188.60324</v>
      </c>
      <c r="K57" s="17"/>
      <c r="L57" s="25"/>
      <c r="M57" s="25"/>
      <c r="N57" s="25"/>
      <c r="O57" s="25"/>
      <c r="Q57" s="66"/>
    </row>
    <row r="58" spans="1:24" x14ac:dyDescent="0.35">
      <c r="B58" s="22" t="s">
        <v>17</v>
      </c>
      <c r="C58" s="23">
        <f>SUM(C56:C57)</f>
        <v>8529</v>
      </c>
      <c r="D58" s="24">
        <f>SUM(D56:D57)</f>
        <v>40757.86</v>
      </c>
      <c r="E58" s="25">
        <f>D58/C58</f>
        <v>4.7787384218548485</v>
      </c>
      <c r="F58" s="17"/>
      <c r="G58" s="23">
        <f>SUM(G56:G57)</f>
        <v>7827.2999999999993</v>
      </c>
      <c r="H58" s="26">
        <f>(C58-G58)/C58</f>
        <v>8.227224762574753E-2</v>
      </c>
      <c r="I58" s="24">
        <f>SUM(I56:I57)</f>
        <v>29928.46428</v>
      </c>
      <c r="J58" s="24">
        <f>J56+J57</f>
        <v>-10829.39572</v>
      </c>
      <c r="K58" s="17"/>
      <c r="L58" s="25"/>
      <c r="M58" s="25"/>
      <c r="N58" s="25"/>
      <c r="O58" s="25"/>
      <c r="Q58" s="63"/>
      <c r="R58" s="23"/>
      <c r="S58" s="23"/>
      <c r="U58" s="69"/>
      <c r="V58" s="69"/>
      <c r="W58" s="69"/>
    </row>
    <row r="59" spans="1:24" s="37" customFormat="1" ht="3" customHeight="1" x14ac:dyDescent="0.35">
      <c r="A59" s="29"/>
      <c r="B59" s="30"/>
      <c r="C59" s="31"/>
      <c r="D59" s="32"/>
      <c r="E59" s="33"/>
      <c r="F59" s="34"/>
      <c r="G59" s="31"/>
      <c r="H59" s="30"/>
      <c r="I59" s="32"/>
      <c r="J59" s="32"/>
      <c r="K59" s="34"/>
      <c r="L59" s="35"/>
      <c r="M59" s="33"/>
      <c r="N59" s="33"/>
      <c r="O59" s="36"/>
    </row>
    <row r="60" spans="1:24" ht="14.6" x14ac:dyDescent="0.4">
      <c r="A60" s="21">
        <v>45505</v>
      </c>
      <c r="B60" s="22" t="s">
        <v>15</v>
      </c>
      <c r="C60" s="23">
        <v>7542</v>
      </c>
      <c r="D60" s="24">
        <v>19109.77</v>
      </c>
      <c r="E60" s="25">
        <f>D60/C60</f>
        <v>2.5337801644126228</v>
      </c>
      <c r="F60" s="17"/>
      <c r="G60" s="23">
        <f>3658+2427</f>
        <v>6085</v>
      </c>
      <c r="H60" s="26">
        <f>(C60-G60)/C60</f>
        <v>0.19318483160965261</v>
      </c>
      <c r="I60" s="24">
        <f>G60*O60</f>
        <v>33765.056500000006</v>
      </c>
      <c r="J60" s="24">
        <f>I60-D60</f>
        <v>14655.286500000006</v>
      </c>
      <c r="K60" s="17"/>
      <c r="L60" s="74">
        <v>6.2746000000000004</v>
      </c>
      <c r="M60" s="74">
        <v>-0.72570000000000001</v>
      </c>
      <c r="N60" s="25"/>
      <c r="O60" s="25">
        <f>SUM(L60:N60)</f>
        <v>5.5489000000000006</v>
      </c>
      <c r="Q60" s="66"/>
      <c r="T60" s="65"/>
      <c r="U60" s="70"/>
      <c r="V60" s="70"/>
      <c r="W60" s="71"/>
    </row>
    <row r="61" spans="1:24" ht="14.6" x14ac:dyDescent="0.35">
      <c r="B61" s="22" t="s">
        <v>16</v>
      </c>
      <c r="C61" s="23">
        <v>1763</v>
      </c>
      <c r="D61" s="24">
        <v>14088.92</v>
      </c>
      <c r="E61" s="25">
        <f>D61/C61</f>
        <v>7.9914463981849124</v>
      </c>
      <c r="F61" s="17"/>
      <c r="G61" s="23">
        <v>1464</v>
      </c>
      <c r="H61" s="26">
        <f>(C61-G61)/C61</f>
        <v>0.16959727736812252</v>
      </c>
      <c r="I61" s="24">
        <f>G61*O60</f>
        <v>8123.5896000000012</v>
      </c>
      <c r="J61" s="24">
        <f>I61-D61</f>
        <v>-5965.3303999999989</v>
      </c>
      <c r="K61" s="17"/>
      <c r="L61" s="25"/>
      <c r="M61" s="25"/>
      <c r="N61" s="25"/>
      <c r="O61" s="25"/>
      <c r="Q61" s="66"/>
      <c r="U61" s="70"/>
      <c r="V61" s="70"/>
      <c r="W61" s="71"/>
      <c r="X61" s="72"/>
    </row>
    <row r="62" spans="1:24" x14ac:dyDescent="0.35">
      <c r="B62" s="22" t="s">
        <v>17</v>
      </c>
      <c r="C62" s="23">
        <f>SUM(C60:C61)</f>
        <v>9305</v>
      </c>
      <c r="D62" s="24">
        <f>SUM(D60:D61)</f>
        <v>33198.69</v>
      </c>
      <c r="E62" s="25">
        <f>D62/C62</f>
        <v>3.567833422890919</v>
      </c>
      <c r="F62" s="17"/>
      <c r="G62" s="23">
        <f>SUM(G60:G61)</f>
        <v>7549</v>
      </c>
      <c r="H62" s="26">
        <f>(C62-G62)/C62</f>
        <v>0.18871574422353574</v>
      </c>
      <c r="I62" s="24">
        <f>SUM(I60:I61)</f>
        <v>41888.646100000005</v>
      </c>
      <c r="J62" s="24">
        <f>J60+J61</f>
        <v>8689.9561000000067</v>
      </c>
      <c r="K62" s="17"/>
      <c r="L62" s="25"/>
      <c r="M62" s="25"/>
      <c r="N62" s="25"/>
      <c r="O62" s="25"/>
      <c r="Q62" s="58"/>
      <c r="R62" s="23"/>
      <c r="S62" s="23"/>
      <c r="U62" s="70"/>
      <c r="V62" s="70"/>
      <c r="W62" s="73"/>
    </row>
    <row r="63" spans="1:24" ht="3" customHeight="1" x14ac:dyDescent="0.35">
      <c r="A63" s="38"/>
      <c r="B63" s="39"/>
      <c r="C63" s="40"/>
      <c r="D63" s="41"/>
      <c r="E63" s="42"/>
      <c r="F63" s="17"/>
      <c r="G63" s="40"/>
      <c r="H63" s="39"/>
      <c r="I63" s="41"/>
      <c r="J63" s="41"/>
      <c r="K63" s="17"/>
      <c r="L63" s="43"/>
      <c r="M63" s="42"/>
      <c r="N63" s="42"/>
      <c r="O63" s="44"/>
      <c r="Q63" s="66"/>
    </row>
    <row r="64" spans="1:24" ht="14.6" x14ac:dyDescent="0.4">
      <c r="A64" s="21">
        <v>45536</v>
      </c>
      <c r="B64" s="22" t="s">
        <v>15</v>
      </c>
      <c r="C64" s="23">
        <v>6749</v>
      </c>
      <c r="D64" s="24">
        <v>22130.12</v>
      </c>
      <c r="E64" s="25">
        <f>D64/C64</f>
        <v>3.2790220773447918</v>
      </c>
      <c r="F64" s="17"/>
      <c r="G64" s="23">
        <v>6118</v>
      </c>
      <c r="H64" s="26">
        <f>(C64-G64)/C64</f>
        <v>9.3495332641872875E-2</v>
      </c>
      <c r="I64" s="24">
        <f>G64*O60</f>
        <v>33948.1702</v>
      </c>
      <c r="J64" s="24">
        <f>I64-D64</f>
        <v>11818.050200000001</v>
      </c>
      <c r="K64" s="17"/>
      <c r="L64" s="25"/>
      <c r="M64" s="25"/>
      <c r="N64" s="25"/>
      <c r="O64" s="25"/>
      <c r="Q64" s="66"/>
      <c r="T64" s="65"/>
    </row>
    <row r="65" spans="1:20" ht="14.6" x14ac:dyDescent="0.35">
      <c r="B65" s="22" t="s">
        <v>16</v>
      </c>
      <c r="C65" s="23">
        <v>2038</v>
      </c>
      <c r="D65" s="24">
        <v>16655.669999999998</v>
      </c>
      <c r="E65" s="25">
        <f>D65/C65</f>
        <v>8.172556427870461</v>
      </c>
      <c r="F65" s="17"/>
      <c r="G65" s="23">
        <f>47+1547</f>
        <v>1594</v>
      </c>
      <c r="H65" s="26">
        <f>(C65-G65)/C65</f>
        <v>0.21786064769381747</v>
      </c>
      <c r="I65" s="24">
        <f>G65*O60</f>
        <v>8844.9466000000011</v>
      </c>
      <c r="J65" s="24">
        <f>I65-D65</f>
        <v>-7810.7233999999971</v>
      </c>
      <c r="K65" s="17"/>
      <c r="L65" s="25"/>
      <c r="M65" s="25"/>
      <c r="N65" s="25"/>
      <c r="O65" s="25"/>
      <c r="Q65" s="66"/>
    </row>
    <row r="66" spans="1:20" x14ac:dyDescent="0.35">
      <c r="B66" s="22" t="s">
        <v>17</v>
      </c>
      <c r="C66" s="23">
        <f>SUM(C64:C65)</f>
        <v>8787</v>
      </c>
      <c r="D66" s="24">
        <f>SUM(D64:D65)</f>
        <v>38785.789999999994</v>
      </c>
      <c r="E66" s="25">
        <f>D66/C66</f>
        <v>4.4139968134744505</v>
      </c>
      <c r="F66" s="17"/>
      <c r="G66" s="23">
        <f>SUM(G64:G65)</f>
        <v>7712</v>
      </c>
      <c r="H66" s="26">
        <f>(C66-G66)/C66</f>
        <v>0.12233982018891544</v>
      </c>
      <c r="I66" s="24">
        <f>SUM(I64:I65)</f>
        <v>42793.116800000003</v>
      </c>
      <c r="J66" s="24">
        <f>J64+J65</f>
        <v>4007.3268000000044</v>
      </c>
      <c r="K66" s="17"/>
      <c r="L66" s="25"/>
      <c r="M66" s="25"/>
      <c r="N66" s="25"/>
      <c r="O66" s="25"/>
      <c r="Q66" s="28" t="s">
        <v>27</v>
      </c>
    </row>
    <row r="67" spans="1:20" ht="3" customHeight="1" x14ac:dyDescent="0.35">
      <c r="A67" s="38"/>
      <c r="B67" s="39"/>
      <c r="C67" s="40"/>
      <c r="D67" s="41"/>
      <c r="E67" s="42"/>
      <c r="F67" s="17"/>
      <c r="G67" s="40"/>
      <c r="H67" s="39"/>
      <c r="I67" s="41"/>
      <c r="J67" s="41"/>
      <c r="K67" s="17"/>
      <c r="L67" s="43"/>
      <c r="M67" s="42"/>
      <c r="N67" s="42"/>
      <c r="O67" s="44"/>
    </row>
    <row r="68" spans="1:20" ht="14.6" x14ac:dyDescent="0.4">
      <c r="A68" s="21">
        <v>45566</v>
      </c>
      <c r="B68" s="22" t="s">
        <v>15</v>
      </c>
      <c r="C68" s="23">
        <v>15146</v>
      </c>
      <c r="D68" s="45">
        <v>49663.040000000001</v>
      </c>
      <c r="E68" s="25">
        <f>D68/C68</f>
        <v>3.2789541793212731</v>
      </c>
      <c r="F68" s="17"/>
      <c r="G68" s="23">
        <v>13657</v>
      </c>
      <c r="H68" s="26">
        <f>(C68-G68)/C68</f>
        <v>9.8309784761653238E-2</v>
      </c>
      <c r="I68" s="24">
        <f>G68*O60</f>
        <v>75781.327300000004</v>
      </c>
      <c r="J68" s="24">
        <f>I68-D68</f>
        <v>26118.287300000004</v>
      </c>
      <c r="K68" s="17"/>
      <c r="L68" s="25"/>
      <c r="M68" s="25"/>
      <c r="N68" s="25"/>
      <c r="O68" s="25"/>
      <c r="Q68" s="24">
        <v>12886</v>
      </c>
      <c r="T68" s="65"/>
    </row>
    <row r="69" spans="1:20" ht="14.6" x14ac:dyDescent="0.35">
      <c r="B69" s="22" t="s">
        <v>16</v>
      </c>
      <c r="C69" s="23">
        <v>5139</v>
      </c>
      <c r="D69" s="24">
        <v>44179.87</v>
      </c>
      <c r="E69" s="25">
        <f>D69/C69</f>
        <v>8.5969780112862431</v>
      </c>
      <c r="F69" s="17"/>
      <c r="G69" s="23">
        <f>203+4397</f>
        <v>4600</v>
      </c>
      <c r="H69" s="26">
        <f>(C69-G69)/C69</f>
        <v>0.10488421871959525</v>
      </c>
      <c r="I69" s="24">
        <f>G69*O60</f>
        <v>25524.940000000002</v>
      </c>
      <c r="J69" s="24">
        <f>I69-D69</f>
        <v>-18654.93</v>
      </c>
      <c r="K69" s="17"/>
      <c r="L69" s="25"/>
      <c r="M69" s="25"/>
      <c r="N69" s="25"/>
      <c r="O69" s="25"/>
      <c r="Q69" s="66"/>
    </row>
    <row r="70" spans="1:20" x14ac:dyDescent="0.35">
      <c r="B70" s="22" t="s">
        <v>17</v>
      </c>
      <c r="C70" s="23">
        <f>SUM(C68:C69)</f>
        <v>20285</v>
      </c>
      <c r="D70" s="24">
        <f>SUM(D68:D69)</f>
        <v>93842.91</v>
      </c>
      <c r="E70" s="25">
        <f>D70/C70</f>
        <v>4.6262218387971412</v>
      </c>
      <c r="F70" s="17"/>
      <c r="G70" s="23">
        <f>SUM(G68:G69)</f>
        <v>18257</v>
      </c>
      <c r="H70" s="26">
        <f>(C70-G70)/C70</f>
        <v>9.9975351244762145E-2</v>
      </c>
      <c r="I70" s="24">
        <f>SUM(I68:I69)</f>
        <v>101306.26730000001</v>
      </c>
      <c r="J70" s="24">
        <f>J68+J69</f>
        <v>7463.3573000000033</v>
      </c>
      <c r="K70" s="17"/>
      <c r="Q70" s="63"/>
      <c r="R70" s="23"/>
      <c r="S70" s="23"/>
    </row>
    <row r="71" spans="1:20" x14ac:dyDescent="0.35">
      <c r="F71" s="17"/>
      <c r="H71" s="26"/>
      <c r="K71" s="17"/>
      <c r="L71" s="22"/>
      <c r="M71" s="22"/>
    </row>
    <row r="72" spans="1:20" x14ac:dyDescent="0.35">
      <c r="F72" s="17"/>
      <c r="H72" s="26"/>
      <c r="J72" s="49" t="s">
        <v>19</v>
      </c>
      <c r="K72" s="17"/>
      <c r="L72" s="48" t="s">
        <v>18</v>
      </c>
      <c r="M72" s="48" t="s">
        <v>19</v>
      </c>
      <c r="Q72" s="28"/>
    </row>
    <row r="73" spans="1:20" x14ac:dyDescent="0.35">
      <c r="A73" s="50" t="s">
        <v>20</v>
      </c>
      <c r="B73" s="51"/>
      <c r="C73" s="51">
        <f t="shared" ref="C73:D74" si="1">SUM(C24,C28,C32,C36,C40,C44,C48,C52,C56,C60,C64,C68)</f>
        <v>275352</v>
      </c>
      <c r="D73" s="52">
        <f t="shared" si="1"/>
        <v>904826.94000000006</v>
      </c>
      <c r="E73" s="53">
        <f>D73/C73</f>
        <v>3.2860736076004535</v>
      </c>
      <c r="F73" s="17"/>
      <c r="G73" s="51">
        <f>SUM(G24,G28,G32,G36,G40,G44,G48,G52,G56,G60,G64,G68)</f>
        <v>260945.78</v>
      </c>
      <c r="H73" s="54">
        <f>(C73-G73)/C73</f>
        <v>5.2319285859554317E-2</v>
      </c>
      <c r="I73" s="52">
        <f>SUM(I24,I28,I32,I36,I40,I44,I48,I52,I56,I60,I64,I68)</f>
        <v>1032448.6338160003</v>
      </c>
      <c r="J73" s="52">
        <f>E73*(M73+M74)</f>
        <v>-30382.503699072568</v>
      </c>
      <c r="K73" s="17"/>
      <c r="L73" s="55">
        <f>G73/(1-$Q$144)</f>
        <v>282103.54594594595</v>
      </c>
      <c r="M73" s="55">
        <f>C73-L73</f>
        <v>-6751.5459459459526</v>
      </c>
      <c r="Q73" s="28"/>
    </row>
    <row r="74" spans="1:20" x14ac:dyDescent="0.35">
      <c r="A74" s="56"/>
      <c r="B74" s="57" t="s">
        <v>16</v>
      </c>
      <c r="C74" s="51">
        <f t="shared" si="1"/>
        <v>107740</v>
      </c>
      <c r="D74" s="52">
        <f t="shared" si="1"/>
        <v>1049031.8900000001</v>
      </c>
      <c r="E74" s="53">
        <f>D74/C74</f>
        <v>9.736698440690553</v>
      </c>
      <c r="F74" s="17"/>
      <c r="G74" s="51">
        <f>SUM(G25,G29,G33,G37,G41,G45,G49,G53,G57,G61,G65,G69)</f>
        <v>101966.72</v>
      </c>
      <c r="H74" s="54">
        <f t="shared" ref="H74" si="2">(C74-G74)/C74</f>
        <v>5.3585297939483932E-2</v>
      </c>
      <c r="I74" s="52">
        <f>SUM(I25,I29,I33,I37,I41,I45,I49,I53,I57,I61,I65,I69)</f>
        <v>398833.60427400004</v>
      </c>
      <c r="J74" s="52"/>
      <c r="K74" s="17"/>
      <c r="L74" s="55">
        <f>G74/(1-$Q$144)</f>
        <v>110234.29189189189</v>
      </c>
      <c r="M74" s="55">
        <f>C74-L74</f>
        <v>-2494.2918918918876</v>
      </c>
      <c r="P74" s="28"/>
      <c r="Q74" s="63"/>
      <c r="R74" s="23"/>
      <c r="S74" s="47"/>
    </row>
    <row r="75" spans="1:20" x14ac:dyDescent="0.35">
      <c r="A75" s="56"/>
      <c r="B75" s="57" t="s">
        <v>17</v>
      </c>
      <c r="C75" s="51">
        <f>SUM(C73:C74)</f>
        <v>383092</v>
      </c>
      <c r="D75" s="52">
        <f>SUM(D73:D74)</f>
        <v>1953858.83</v>
      </c>
      <c r="E75" s="53">
        <f>D75/C75</f>
        <v>5.1002339646873338</v>
      </c>
      <c r="F75" s="17"/>
      <c r="G75" s="51">
        <f>SUM(G73:G74)</f>
        <v>362912.5</v>
      </c>
      <c r="H75" s="79">
        <f>C75/G75-1</f>
        <v>5.5604312334240458E-2</v>
      </c>
      <c r="I75" s="52">
        <f>SUM(I73:I74)</f>
        <v>1431282.2380900003</v>
      </c>
      <c r="J75" s="52">
        <f>SUM(J73:J74)</f>
        <v>-30382.503699072568</v>
      </c>
      <c r="K75" s="17"/>
      <c r="L75" s="55">
        <f>G75/(1-$Q$144)</f>
        <v>392337.83783783781</v>
      </c>
      <c r="M75" s="55">
        <f>C75-L75</f>
        <v>-9245.8378378378111</v>
      </c>
      <c r="P75" s="59"/>
      <c r="Q75" s="63"/>
      <c r="R75" s="23"/>
      <c r="S75" s="47"/>
      <c r="T75" s="28"/>
    </row>
    <row r="76" spans="1:20" s="37" customFormat="1" ht="6" customHeight="1" x14ac:dyDescent="0.35">
      <c r="A76" s="29"/>
      <c r="B76" s="30"/>
      <c r="C76" s="31"/>
      <c r="D76" s="32"/>
      <c r="E76" s="33"/>
      <c r="F76" s="34"/>
      <c r="G76" s="31"/>
      <c r="H76" s="30"/>
      <c r="I76" s="32"/>
      <c r="J76" s="32"/>
      <c r="K76" s="34"/>
      <c r="L76" s="60"/>
      <c r="M76" s="61"/>
      <c r="N76" s="61"/>
      <c r="O76" s="62"/>
    </row>
    <row r="77" spans="1:20" ht="14.6" x14ac:dyDescent="0.4">
      <c r="A77" s="21">
        <v>45597</v>
      </c>
      <c r="B77" s="22" t="s">
        <v>15</v>
      </c>
      <c r="C77" s="23">
        <v>24087</v>
      </c>
      <c r="D77" s="24">
        <v>90463.73</v>
      </c>
      <c r="E77" s="74">
        <f>D77/C77</f>
        <v>3.755707643126998</v>
      </c>
      <c r="F77" s="17"/>
      <c r="G77" s="23">
        <v>18625</v>
      </c>
      <c r="H77" s="26">
        <f>(C77-G77)/C77</f>
        <v>0.22676132353551709</v>
      </c>
      <c r="I77" s="24">
        <f>G77*O77</f>
        <v>112398.15000000001</v>
      </c>
      <c r="J77" s="24">
        <f>I77-D77</f>
        <v>21934.420000000013</v>
      </c>
      <c r="K77" s="17"/>
      <c r="L77" s="74">
        <v>6.6492000000000004</v>
      </c>
      <c r="M77" s="74">
        <v>-0.61439999999999995</v>
      </c>
      <c r="N77" s="25"/>
      <c r="O77" s="25">
        <f>SUM(L77:N77)</f>
        <v>6.0348000000000006</v>
      </c>
      <c r="Q77" s="28"/>
      <c r="T77" s="65"/>
    </row>
    <row r="78" spans="1:20" x14ac:dyDescent="0.35">
      <c r="B78" s="22" t="s">
        <v>16</v>
      </c>
      <c r="C78" s="23">
        <v>7352</v>
      </c>
      <c r="D78" s="24">
        <v>63673.26</v>
      </c>
      <c r="E78" s="74">
        <f>D78/C78</f>
        <v>8.660671926006529</v>
      </c>
      <c r="F78" s="17"/>
      <c r="G78" s="23">
        <v>6784</v>
      </c>
      <c r="H78" s="26">
        <f>(C78-G78)/C78</f>
        <v>7.725788900979326E-2</v>
      </c>
      <c r="I78" s="24">
        <f>G78*O77</f>
        <v>40940.083200000001</v>
      </c>
      <c r="J78" s="24">
        <f>I78-D78</f>
        <v>-22733.176800000001</v>
      </c>
      <c r="K78" s="17"/>
      <c r="L78" s="25"/>
      <c r="M78" s="25"/>
      <c r="N78" s="25"/>
      <c r="O78" s="25"/>
      <c r="Q78" s="28"/>
    </row>
    <row r="79" spans="1:20" x14ac:dyDescent="0.35">
      <c r="B79" s="22" t="s">
        <v>17</v>
      </c>
      <c r="C79" s="23">
        <f>SUM(C77:C78)</f>
        <v>31439</v>
      </c>
      <c r="D79" s="24">
        <f>SUM(D77:D78)</f>
        <v>154136.99</v>
      </c>
      <c r="E79" s="25">
        <f>D79/C79</f>
        <v>4.9027319571233177</v>
      </c>
      <c r="F79" s="17"/>
      <c r="G79" s="23">
        <f>SUM(G77:G78)</f>
        <v>25409</v>
      </c>
      <c r="H79" s="26">
        <f>(C79-G79)/C79</f>
        <v>0.1917999936384745</v>
      </c>
      <c r="I79" s="24">
        <f>SUM(I77:I78)</f>
        <v>153338.23320000002</v>
      </c>
      <c r="J79" s="24">
        <f>J77+J78</f>
        <v>-798.75679999998829</v>
      </c>
      <c r="K79" s="17"/>
      <c r="L79" s="25"/>
      <c r="M79" s="25"/>
      <c r="N79" s="25"/>
      <c r="O79" s="25"/>
    </row>
    <row r="80" spans="1:20" ht="3" customHeight="1" x14ac:dyDescent="0.35">
      <c r="A80" s="38"/>
      <c r="B80" s="39"/>
      <c r="C80" s="40"/>
      <c r="D80" s="41"/>
      <c r="E80" s="42"/>
      <c r="F80" s="17"/>
      <c r="G80" s="40"/>
      <c r="H80" s="39"/>
      <c r="I80" s="41"/>
      <c r="J80" s="41"/>
      <c r="K80" s="17"/>
      <c r="L80" s="43"/>
      <c r="M80" s="42"/>
      <c r="N80" s="42"/>
      <c r="O80" s="44"/>
    </row>
    <row r="81" spans="1:20" ht="14.6" x14ac:dyDescent="0.4">
      <c r="A81" s="21">
        <v>45627</v>
      </c>
      <c r="B81" s="22" t="s">
        <v>15</v>
      </c>
      <c r="C81" s="23">
        <v>48540</v>
      </c>
      <c r="D81" s="24">
        <v>233927.6</v>
      </c>
      <c r="E81" s="74">
        <f>D81/C81</f>
        <v>4.8192748248866915</v>
      </c>
      <c r="F81" s="17"/>
      <c r="G81" s="23">
        <f>15388+29219</f>
        <v>44607</v>
      </c>
      <c r="H81" s="26">
        <f>(C81-G81)/C81</f>
        <v>8.1025957972805929E-2</v>
      </c>
      <c r="I81" s="24">
        <f>G81*O77</f>
        <v>269194.3236</v>
      </c>
      <c r="J81" s="24">
        <f>I81-D81</f>
        <v>35266.723599999998</v>
      </c>
      <c r="K81" s="17"/>
      <c r="L81" s="25"/>
      <c r="M81" s="25"/>
      <c r="N81" s="25"/>
      <c r="O81" s="25"/>
      <c r="Q81" s="63"/>
      <c r="T81" s="65"/>
    </row>
    <row r="82" spans="1:20" x14ac:dyDescent="0.35">
      <c r="B82" s="22" t="s">
        <v>16</v>
      </c>
      <c r="C82" s="23">
        <v>19807</v>
      </c>
      <c r="D82" s="24">
        <v>204527.49</v>
      </c>
      <c r="E82" s="74">
        <f>D82/C82</f>
        <v>10.326020598778209</v>
      </c>
      <c r="F82" s="17"/>
      <c r="G82" s="23">
        <v>18969</v>
      </c>
      <c r="H82" s="26">
        <f>(C82-G82)/C82</f>
        <v>4.2308274852324933E-2</v>
      </c>
      <c r="I82" s="24">
        <f>G82*O77</f>
        <v>114474.12120000001</v>
      </c>
      <c r="J82" s="24">
        <f>I82-D82</f>
        <v>-90053.368799999982</v>
      </c>
      <c r="K82" s="17"/>
      <c r="L82" s="25"/>
      <c r="M82" s="25"/>
      <c r="N82" s="25"/>
      <c r="O82" s="25"/>
      <c r="Q82" s="63"/>
    </row>
    <row r="83" spans="1:20" x14ac:dyDescent="0.35">
      <c r="B83" s="22" t="s">
        <v>17</v>
      </c>
      <c r="C83" s="23">
        <f>SUM(C81:C82)</f>
        <v>68347</v>
      </c>
      <c r="D83" s="24">
        <f>SUM(D81:D82)</f>
        <v>438455.08999999997</v>
      </c>
      <c r="E83" s="25">
        <f>D83/C83</f>
        <v>6.4151329246345847</v>
      </c>
      <c r="F83" s="17"/>
      <c r="G83" s="23">
        <f>SUM(G81:G82)</f>
        <v>63576</v>
      </c>
      <c r="H83" s="26">
        <f>(C83-G83)/C83</f>
        <v>6.9805551084904965E-2</v>
      </c>
      <c r="I83" s="24">
        <f>SUM(I81:I82)</f>
        <v>383668.4448</v>
      </c>
      <c r="J83" s="24">
        <f>J81+J82</f>
        <v>-54786.645199999984</v>
      </c>
      <c r="K83" s="17"/>
      <c r="L83" s="25"/>
      <c r="M83" s="25"/>
      <c r="N83" s="25"/>
      <c r="O83" s="25"/>
      <c r="Q83" s="63"/>
      <c r="R83" s="23"/>
      <c r="S83" s="23"/>
      <c r="T83" s="64"/>
    </row>
    <row r="84" spans="1:20" ht="3" customHeight="1" x14ac:dyDescent="0.35">
      <c r="A84" s="38"/>
      <c r="B84" s="39"/>
      <c r="C84" s="40"/>
      <c r="D84" s="41"/>
      <c r="E84" s="42"/>
      <c r="F84" s="17"/>
      <c r="G84" s="40"/>
      <c r="H84" s="39"/>
      <c r="I84" s="41"/>
      <c r="J84" s="41"/>
      <c r="K84" s="17"/>
      <c r="L84" s="43"/>
      <c r="M84" s="42"/>
      <c r="N84" s="42"/>
      <c r="O84" s="44"/>
    </row>
    <row r="85" spans="1:20" ht="14.6" x14ac:dyDescent="0.4">
      <c r="A85" s="12">
        <v>45658</v>
      </c>
      <c r="B85" s="13" t="s">
        <v>15</v>
      </c>
      <c r="C85" s="14">
        <v>65399</v>
      </c>
      <c r="D85" s="15">
        <v>318349.01</v>
      </c>
      <c r="E85" s="16">
        <f>D85/C85</f>
        <v>4.8677962965794581</v>
      </c>
      <c r="F85" s="17"/>
      <c r="G85" s="14">
        <f>19529+42509</f>
        <v>62038</v>
      </c>
      <c r="H85" s="18">
        <f>(C85-G85)/C85</f>
        <v>5.1392223122677716E-2</v>
      </c>
      <c r="I85" s="15">
        <f>G85*O77</f>
        <v>374386.92240000004</v>
      </c>
      <c r="J85" s="15">
        <f>I85-D85</f>
        <v>56037.91240000003</v>
      </c>
      <c r="K85" s="17"/>
      <c r="L85" s="16"/>
      <c r="M85" s="16"/>
      <c r="N85" s="16"/>
      <c r="O85" s="16"/>
      <c r="Q85" s="66"/>
      <c r="R85" s="66"/>
      <c r="T85" s="65"/>
    </row>
    <row r="86" spans="1:20" ht="14.6" x14ac:dyDescent="0.35">
      <c r="B86" s="22" t="s">
        <v>16</v>
      </c>
      <c r="C86" s="23">
        <v>30048</v>
      </c>
      <c r="D86" s="24">
        <v>341229.57</v>
      </c>
      <c r="E86" s="25">
        <f>D86/C86</f>
        <v>11.356149161341854</v>
      </c>
      <c r="F86" s="17"/>
      <c r="G86" s="23">
        <v>28540</v>
      </c>
      <c r="H86" s="26">
        <f>(C86-G86)/C86</f>
        <v>5.0186368477103303E-2</v>
      </c>
      <c r="I86" s="24">
        <f>G86*O77</f>
        <v>172233.19200000001</v>
      </c>
      <c r="J86" s="24">
        <f>I86-D86</f>
        <v>-168996.378</v>
      </c>
      <c r="K86" s="17"/>
      <c r="L86" s="25"/>
      <c r="M86" s="25"/>
      <c r="N86" s="25"/>
      <c r="O86" s="25"/>
      <c r="Q86" s="66"/>
      <c r="R86" s="66"/>
    </row>
    <row r="87" spans="1:20" x14ac:dyDescent="0.35">
      <c r="B87" s="22" t="s">
        <v>17</v>
      </c>
      <c r="C87" s="23">
        <f>SUM(C85:C86)</f>
        <v>95447</v>
      </c>
      <c r="D87" s="24">
        <f>SUM(D85:D86)</f>
        <v>659578.58000000007</v>
      </c>
      <c r="E87" s="25">
        <f>D87/C87</f>
        <v>6.9104170901128379</v>
      </c>
      <c r="F87" s="17"/>
      <c r="G87" s="23">
        <f>SUM(G85:G86)</f>
        <v>90578</v>
      </c>
      <c r="H87" s="26">
        <f>(C87-G87)/C87</f>
        <v>5.1012603853447462E-2</v>
      </c>
      <c r="I87" s="24">
        <f>SUM(I85:I86)</f>
        <v>546620.11440000008</v>
      </c>
      <c r="J87" s="24">
        <f>J85+J86</f>
        <v>-112958.46559999997</v>
      </c>
      <c r="K87" s="17"/>
      <c r="L87" s="25"/>
      <c r="M87" s="25"/>
      <c r="N87" s="25"/>
      <c r="O87" s="25"/>
    </row>
    <row r="88" spans="1:20" s="37" customFormat="1" ht="3" customHeight="1" x14ac:dyDescent="0.35">
      <c r="A88" s="29"/>
      <c r="B88" s="30"/>
      <c r="C88" s="31"/>
      <c r="D88" s="32"/>
      <c r="E88" s="33"/>
      <c r="F88" s="34"/>
      <c r="G88" s="30"/>
      <c r="H88" s="30"/>
      <c r="I88" s="32"/>
      <c r="J88" s="32"/>
      <c r="K88" s="34"/>
      <c r="L88" s="35"/>
      <c r="M88" s="33"/>
      <c r="N88" s="33"/>
      <c r="O88" s="36"/>
    </row>
    <row r="89" spans="1:20" ht="14.6" x14ac:dyDescent="0.4">
      <c r="A89" s="21">
        <v>45689</v>
      </c>
      <c r="B89" s="22" t="s">
        <v>15</v>
      </c>
      <c r="C89" s="23">
        <v>43899</v>
      </c>
      <c r="D89" s="24">
        <v>224482.36</v>
      </c>
      <c r="E89" s="25">
        <f>D89/C89</f>
        <v>5.1136098772181597</v>
      </c>
      <c r="F89" s="17"/>
      <c r="G89" s="23">
        <v>43792</v>
      </c>
      <c r="H89" s="26">
        <f>(C89-G89)/C89</f>
        <v>2.437413152919201E-3</v>
      </c>
      <c r="I89" s="24">
        <f>G89*O89</f>
        <v>268247.89600000001</v>
      </c>
      <c r="J89" s="24">
        <f>I89-D89</f>
        <v>43765.536000000022</v>
      </c>
      <c r="K89" s="17"/>
      <c r="L89" s="74">
        <v>6.6993</v>
      </c>
      <c r="M89" s="74">
        <v>-0.57379999999999998</v>
      </c>
      <c r="N89" s="25"/>
      <c r="O89" s="25">
        <f>SUM(L89:N89)</f>
        <v>6.1254999999999997</v>
      </c>
      <c r="Q89" s="66"/>
      <c r="T89" s="65"/>
    </row>
    <row r="90" spans="1:20" ht="14.6" x14ac:dyDescent="0.35">
      <c r="B90" s="22" t="s">
        <v>16</v>
      </c>
      <c r="C90" s="23">
        <v>20738</v>
      </c>
      <c r="D90" s="24">
        <v>221430</v>
      </c>
      <c r="E90" s="25">
        <f>D90/C90</f>
        <v>10.677500241103289</v>
      </c>
      <c r="F90" s="17"/>
      <c r="G90" s="23">
        <v>19310</v>
      </c>
      <c r="H90" s="26">
        <f>(C90-G90)/C90</f>
        <v>6.8859099238113605E-2</v>
      </c>
      <c r="I90" s="24">
        <f>G90*O89</f>
        <v>118283.405</v>
      </c>
      <c r="J90" s="24">
        <f>I90-D90</f>
        <v>-103146.595</v>
      </c>
      <c r="K90" s="17"/>
      <c r="L90" s="25"/>
      <c r="M90" s="25"/>
      <c r="N90" s="25"/>
      <c r="O90" s="25"/>
      <c r="Q90" s="66"/>
    </row>
    <row r="91" spans="1:20" ht="14.6" x14ac:dyDescent="0.35">
      <c r="B91" s="22" t="s">
        <v>17</v>
      </c>
      <c r="C91" s="23">
        <f>SUM(C89:C90)</f>
        <v>64637</v>
      </c>
      <c r="D91" s="24">
        <f>SUM(D89:D90)</f>
        <v>445912.36</v>
      </c>
      <c r="E91" s="25">
        <f>D91/C91</f>
        <v>6.8987168340114788</v>
      </c>
      <c r="F91" s="17"/>
      <c r="G91" s="23">
        <f>SUM(G89:G90)</f>
        <v>63102</v>
      </c>
      <c r="H91" s="26">
        <f>(C91-G91)/C91</f>
        <v>2.3748008106811887E-2</v>
      </c>
      <c r="I91" s="24">
        <f>SUM(I89:I90)</f>
        <v>386531.30099999998</v>
      </c>
      <c r="J91" s="24">
        <f>J89+J90</f>
        <v>-59381.058999999979</v>
      </c>
      <c r="K91" s="17"/>
      <c r="L91" s="25"/>
      <c r="M91" s="25"/>
      <c r="N91" s="25"/>
      <c r="O91" s="25"/>
      <c r="Q91" s="66"/>
    </row>
    <row r="92" spans="1:20" ht="3" customHeight="1" x14ac:dyDescent="0.35">
      <c r="A92" s="38"/>
      <c r="B92" s="39"/>
      <c r="C92" s="40"/>
      <c r="D92" s="41"/>
      <c r="E92" s="42"/>
      <c r="F92" s="17"/>
      <c r="G92" s="40"/>
      <c r="H92" s="39"/>
      <c r="I92" s="41"/>
      <c r="J92" s="41"/>
      <c r="K92" s="17"/>
      <c r="L92" s="43"/>
      <c r="M92" s="42"/>
      <c r="N92" s="42"/>
      <c r="O92" s="44"/>
      <c r="Q92" s="66"/>
    </row>
    <row r="93" spans="1:20" ht="14.6" x14ac:dyDescent="0.4">
      <c r="A93" s="21">
        <v>45717</v>
      </c>
      <c r="B93" s="22" t="s">
        <v>15</v>
      </c>
      <c r="C93" s="23">
        <v>31557</v>
      </c>
      <c r="D93" s="24">
        <v>168597</v>
      </c>
      <c r="E93" s="25">
        <f>D93/C93</f>
        <v>5.3426181195931175</v>
      </c>
      <c r="F93" s="17"/>
      <c r="G93" s="23">
        <f>11533+20104</f>
        <v>31637</v>
      </c>
      <c r="H93" s="26">
        <f>(C93-G93)/C93</f>
        <v>-2.5350952245143709E-3</v>
      </c>
      <c r="I93" s="24">
        <f>G93*O89</f>
        <v>193792.44349999999</v>
      </c>
      <c r="J93" s="24">
        <f>I93-D93</f>
        <v>25195.443499999994</v>
      </c>
      <c r="K93" s="17"/>
      <c r="L93" s="25"/>
      <c r="M93" s="25"/>
      <c r="N93" s="25"/>
      <c r="O93" s="25"/>
      <c r="Q93" s="66"/>
      <c r="T93" s="65"/>
    </row>
    <row r="94" spans="1:20" ht="14.6" x14ac:dyDescent="0.35">
      <c r="B94" s="22" t="s">
        <v>16</v>
      </c>
      <c r="C94" s="23">
        <v>12032</v>
      </c>
      <c r="D94" s="24">
        <v>125216</v>
      </c>
      <c r="E94" s="25">
        <f>D94/C94</f>
        <v>10.406914893617021</v>
      </c>
      <c r="F94" s="17"/>
      <c r="G94" s="23">
        <v>12689</v>
      </c>
      <c r="H94" s="26">
        <f>(C94-G94)/C94</f>
        <v>-5.4604388297872342E-2</v>
      </c>
      <c r="I94" s="24">
        <f>G94*O89</f>
        <v>77726.469499999992</v>
      </c>
      <c r="J94" s="24">
        <f>I94-D94</f>
        <v>-47489.530500000008</v>
      </c>
      <c r="K94" s="17"/>
      <c r="L94" s="25"/>
      <c r="M94" s="25"/>
      <c r="N94" s="25"/>
      <c r="O94" s="25"/>
      <c r="Q94" s="66"/>
    </row>
    <row r="95" spans="1:20" ht="14.6" x14ac:dyDescent="0.35">
      <c r="B95" s="22" t="s">
        <v>17</v>
      </c>
      <c r="C95" s="23">
        <f>SUM(C93:C94)</f>
        <v>43589</v>
      </c>
      <c r="D95" s="24">
        <f>SUM(D93:D94)</f>
        <v>293813</v>
      </c>
      <c r="E95" s="25">
        <f>D95/C95</f>
        <v>6.7405308678795111</v>
      </c>
      <c r="F95" s="17"/>
      <c r="G95" s="23">
        <f>SUM(G93:G94)</f>
        <v>44326</v>
      </c>
      <c r="H95" s="26">
        <f>(C95-G95)/C95</f>
        <v>-1.6907935488311272E-2</v>
      </c>
      <c r="I95" s="24">
        <f>SUM(I93:I94)</f>
        <v>271518.913</v>
      </c>
      <c r="J95" s="24">
        <f>J93+J94</f>
        <v>-22294.087000000014</v>
      </c>
      <c r="K95" s="17"/>
      <c r="L95" s="25"/>
      <c r="M95" s="25"/>
      <c r="N95" s="25"/>
      <c r="O95" s="25"/>
      <c r="Q95" s="66"/>
    </row>
    <row r="96" spans="1:20" ht="3" customHeight="1" x14ac:dyDescent="0.35">
      <c r="A96" s="38"/>
      <c r="B96" s="39"/>
      <c r="C96" s="40"/>
      <c r="D96" s="41"/>
      <c r="E96" s="42"/>
      <c r="F96" s="17"/>
      <c r="G96" s="40"/>
      <c r="H96" s="39"/>
      <c r="I96" s="41"/>
      <c r="J96" s="41"/>
      <c r="K96" s="17"/>
      <c r="L96" s="43"/>
      <c r="M96" s="42"/>
      <c r="N96" s="42"/>
      <c r="O96" s="44"/>
      <c r="Q96" s="66"/>
    </row>
    <row r="97" spans="1:23" ht="14.6" x14ac:dyDescent="0.4">
      <c r="A97" s="21">
        <v>45748</v>
      </c>
      <c r="B97" s="22" t="s">
        <v>15</v>
      </c>
      <c r="C97" s="23">
        <v>17900</v>
      </c>
      <c r="D97" s="24">
        <v>83520.06</v>
      </c>
      <c r="E97" s="25">
        <f>D97/C97</f>
        <v>4.6659251396648047</v>
      </c>
      <c r="F97" s="17"/>
      <c r="G97" s="23">
        <v>16574</v>
      </c>
      <c r="H97" s="26">
        <f>(C97-G97)/C97</f>
        <v>7.4078212290502793E-2</v>
      </c>
      <c r="I97" s="24">
        <f>G97*O89</f>
        <v>101524.037</v>
      </c>
      <c r="J97" s="24">
        <f>I97-D97</f>
        <v>18003.976999999999</v>
      </c>
      <c r="K97" s="17"/>
      <c r="L97" s="25"/>
      <c r="M97" s="25"/>
      <c r="N97" s="25"/>
      <c r="O97" s="25"/>
      <c r="P97" s="28"/>
      <c r="Q97" s="66"/>
      <c r="T97" s="65"/>
      <c r="U97" s="67"/>
      <c r="V97" s="67"/>
      <c r="W97" s="68"/>
    </row>
    <row r="98" spans="1:23" ht="14.6" x14ac:dyDescent="0.35">
      <c r="B98" s="22" t="s">
        <v>16</v>
      </c>
      <c r="C98" s="23">
        <v>6392</v>
      </c>
      <c r="D98" s="24">
        <v>62522</v>
      </c>
      <c r="E98" s="25">
        <f>D98/C98</f>
        <v>9.7812891113892366</v>
      </c>
      <c r="F98" s="17"/>
      <c r="G98" s="23">
        <f>322+5603</f>
        <v>5925</v>
      </c>
      <c r="H98" s="26">
        <f>(C98-G98)/C98</f>
        <v>7.3060075093867333E-2</v>
      </c>
      <c r="I98" s="24">
        <f>G98*O89</f>
        <v>36293.587500000001</v>
      </c>
      <c r="J98" s="24">
        <f>I98-D98</f>
        <v>-26228.412499999999</v>
      </c>
      <c r="K98" s="17"/>
      <c r="L98" s="25"/>
      <c r="M98" s="25"/>
      <c r="N98" s="25"/>
      <c r="O98" s="25"/>
      <c r="Q98" s="66"/>
      <c r="U98" s="67"/>
      <c r="V98" s="67"/>
      <c r="W98" s="68"/>
    </row>
    <row r="99" spans="1:23" ht="14.6" x14ac:dyDescent="0.35">
      <c r="B99" s="22" t="s">
        <v>17</v>
      </c>
      <c r="C99" s="23">
        <f>SUM(C97:C98)</f>
        <v>24292</v>
      </c>
      <c r="D99" s="24">
        <f>SUM(D97:D98)</f>
        <v>146042.06</v>
      </c>
      <c r="E99" s="25">
        <f>D99/C99</f>
        <v>6.0119405565618314</v>
      </c>
      <c r="F99" s="17"/>
      <c r="G99" s="23">
        <f>SUM(G97:G98)</f>
        <v>22499</v>
      </c>
      <c r="H99" s="26">
        <f>(C99-G99)/C99</f>
        <v>7.3810307920302978E-2</v>
      </c>
      <c r="I99" s="24">
        <f>SUM(I97:I98)</f>
        <v>137817.62450000001</v>
      </c>
      <c r="J99" s="24">
        <f>J97+J98</f>
        <v>-8224.4354999999996</v>
      </c>
      <c r="K99" s="17"/>
      <c r="L99" s="25"/>
      <c r="M99" s="25"/>
      <c r="N99" s="25"/>
      <c r="O99" s="25"/>
      <c r="Q99" s="66"/>
      <c r="R99" s="23"/>
      <c r="S99" s="23"/>
      <c r="U99" s="67"/>
      <c r="V99" s="67"/>
      <c r="W99" s="68"/>
    </row>
    <row r="100" spans="1:23" s="37" customFormat="1" ht="3" customHeight="1" x14ac:dyDescent="0.35">
      <c r="A100" s="29"/>
      <c r="B100" s="30"/>
      <c r="C100" s="31"/>
      <c r="D100" s="32"/>
      <c r="E100" s="33"/>
      <c r="F100" s="34"/>
      <c r="G100" s="31"/>
      <c r="H100" s="30"/>
      <c r="I100" s="32"/>
      <c r="J100" s="32"/>
      <c r="K100" s="34"/>
      <c r="L100" s="35"/>
      <c r="M100" s="33"/>
      <c r="N100" s="33"/>
      <c r="O100" s="36"/>
    </row>
    <row r="101" spans="1:23" ht="14.6" x14ac:dyDescent="0.4">
      <c r="A101" s="21">
        <v>45778</v>
      </c>
      <c r="B101" s="22" t="s">
        <v>15</v>
      </c>
      <c r="C101" s="23">
        <v>10434</v>
      </c>
      <c r="D101" s="24">
        <v>39263.03</v>
      </c>
      <c r="E101" s="25">
        <f>D101/C101</f>
        <v>3.7629892658616062</v>
      </c>
      <c r="F101" s="17"/>
      <c r="G101" s="23">
        <v>9222</v>
      </c>
      <c r="H101" s="26">
        <f>(C101-G101)/C101</f>
        <v>0.11615871190339276</v>
      </c>
      <c r="I101" s="24">
        <f>G101*O101</f>
        <v>66889.010399999999</v>
      </c>
      <c r="J101" s="24">
        <f>I101-D101</f>
        <v>27625.9804</v>
      </c>
      <c r="K101" s="17"/>
      <c r="L101" s="74">
        <v>7.8494999999999999</v>
      </c>
      <c r="M101" s="74">
        <v>-0.59630000000000005</v>
      </c>
      <c r="N101" s="25"/>
      <c r="O101" s="25">
        <f>SUM(L101:N101)</f>
        <v>7.2531999999999996</v>
      </c>
      <c r="P101" s="28"/>
      <c r="Q101" s="66"/>
      <c r="T101" s="65"/>
      <c r="U101" s="67"/>
      <c r="V101" s="67"/>
      <c r="W101" s="68"/>
    </row>
    <row r="102" spans="1:23" ht="14.6" x14ac:dyDescent="0.35">
      <c r="B102" s="22" t="s">
        <v>16</v>
      </c>
      <c r="C102" s="23">
        <v>2617</v>
      </c>
      <c r="D102" s="24">
        <v>24178</v>
      </c>
      <c r="E102" s="25">
        <f>D102/C102</f>
        <v>9.2388230798624384</v>
      </c>
      <c r="F102" s="17"/>
      <c r="G102" s="23">
        <v>2415.6</v>
      </c>
      <c r="H102" s="26">
        <f>(C102-G102)/C102</f>
        <v>7.6958349254872022E-2</v>
      </c>
      <c r="I102" s="24">
        <f>G102*O101</f>
        <v>17520.82992</v>
      </c>
      <c r="J102" s="24">
        <f>I102-D102</f>
        <v>-6657.1700799999999</v>
      </c>
      <c r="K102" s="17"/>
      <c r="L102" s="25"/>
      <c r="M102" s="25"/>
      <c r="N102" s="25"/>
      <c r="O102" s="25"/>
      <c r="Q102" s="66"/>
      <c r="U102" s="67"/>
      <c r="V102" s="67"/>
      <c r="W102" s="68"/>
    </row>
    <row r="103" spans="1:23" ht="14.6" x14ac:dyDescent="0.35">
      <c r="B103" s="22" t="s">
        <v>17</v>
      </c>
      <c r="C103" s="23">
        <f>SUM(C101:C102)</f>
        <v>13051</v>
      </c>
      <c r="D103" s="24">
        <f>SUM(D101:D102)</f>
        <v>63441.03</v>
      </c>
      <c r="E103" s="25">
        <f>D103/C103</f>
        <v>4.8610091180752431</v>
      </c>
      <c r="F103" s="17"/>
      <c r="G103" s="23">
        <f>SUM(G101:G102)</f>
        <v>11637.6</v>
      </c>
      <c r="H103" s="26">
        <f>(C103-G103)/C103</f>
        <v>0.10829821469619183</v>
      </c>
      <c r="I103" s="24">
        <f>SUM(I101:I102)</f>
        <v>84409.840320000003</v>
      </c>
      <c r="J103" s="24">
        <f>J101+J102</f>
        <v>20968.810320000001</v>
      </c>
      <c r="K103" s="17"/>
      <c r="L103" s="25"/>
      <c r="M103" s="25"/>
      <c r="N103" s="25"/>
      <c r="O103" s="25"/>
      <c r="Q103" s="66"/>
      <c r="R103" s="23"/>
      <c r="S103" s="23"/>
      <c r="U103" s="67"/>
      <c r="V103" s="67"/>
      <c r="W103" s="68"/>
    </row>
    <row r="104" spans="1:23" ht="3" customHeight="1" x14ac:dyDescent="0.35">
      <c r="A104" s="38"/>
      <c r="B104" s="39"/>
      <c r="C104" s="40"/>
      <c r="D104" s="41"/>
      <c r="E104" s="42"/>
      <c r="F104" s="17"/>
      <c r="G104" s="40"/>
      <c r="H104" s="39"/>
      <c r="I104" s="41"/>
      <c r="J104" s="41"/>
      <c r="K104" s="17"/>
      <c r="L104" s="43"/>
      <c r="M104" s="42"/>
      <c r="N104" s="42"/>
      <c r="O104" s="44"/>
      <c r="Q104" s="66"/>
    </row>
    <row r="105" spans="1:23" ht="14.6" x14ac:dyDescent="0.4">
      <c r="A105" s="21">
        <v>45809</v>
      </c>
      <c r="B105" s="22" t="s">
        <v>15</v>
      </c>
      <c r="C105" s="23">
        <v>7410</v>
      </c>
      <c r="D105" s="24">
        <v>32481.42</v>
      </c>
      <c r="E105" s="25">
        <f>D105/C105</f>
        <v>4.3834574898785421</v>
      </c>
      <c r="F105" s="17"/>
      <c r="G105" s="23">
        <v>7096.6</v>
      </c>
      <c r="H105" s="26">
        <f>(C105-G105)/C105</f>
        <v>4.2294197031039087E-2</v>
      </c>
      <c r="I105" s="24">
        <f>G105*O101</f>
        <v>51473.059119999998</v>
      </c>
      <c r="J105" s="24">
        <f>I105-D105</f>
        <v>18991.63912</v>
      </c>
      <c r="K105" s="17"/>
      <c r="L105" s="25"/>
      <c r="M105" s="25"/>
      <c r="N105" s="25"/>
      <c r="O105" s="25"/>
      <c r="P105" s="28"/>
      <c r="Q105" s="66"/>
      <c r="T105" s="65"/>
      <c r="U105" s="67"/>
      <c r="V105" s="67"/>
      <c r="W105" s="68"/>
    </row>
    <row r="106" spans="1:23" ht="14.6" x14ac:dyDescent="0.35">
      <c r="B106" s="22" t="s">
        <v>16</v>
      </c>
      <c r="C106" s="23">
        <v>1600</v>
      </c>
      <c r="D106" s="24">
        <v>14609</v>
      </c>
      <c r="E106" s="25">
        <f>D106/C106</f>
        <v>9.1306250000000002</v>
      </c>
      <c r="F106" s="17"/>
      <c r="G106" s="23">
        <v>1505.1</v>
      </c>
      <c r="H106" s="26">
        <f>(C106-G106)/C106</f>
        <v>5.931250000000006E-2</v>
      </c>
      <c r="I106" s="24">
        <f>G106*O101</f>
        <v>10916.791319999998</v>
      </c>
      <c r="J106" s="24">
        <f>I106-D106</f>
        <v>-3692.2086800000016</v>
      </c>
      <c r="K106" s="17"/>
      <c r="L106" s="25"/>
      <c r="M106" s="25"/>
      <c r="N106" s="25"/>
      <c r="O106" s="25"/>
      <c r="Q106" s="66"/>
      <c r="U106" s="67"/>
      <c r="V106" s="67"/>
      <c r="W106" s="68"/>
    </row>
    <row r="107" spans="1:23" ht="14.6" x14ac:dyDescent="0.35">
      <c r="B107" s="22" t="s">
        <v>17</v>
      </c>
      <c r="C107" s="23">
        <f>SUM(C105:C106)</f>
        <v>9010</v>
      </c>
      <c r="D107" s="24">
        <f>SUM(D105:D106)</f>
        <v>47090.42</v>
      </c>
      <c r="E107" s="25">
        <f>D107/C107</f>
        <v>5.2264617092119865</v>
      </c>
      <c r="F107" s="17"/>
      <c r="G107" s="23">
        <f>SUM(G105:G106)</f>
        <v>8601.7000000000007</v>
      </c>
      <c r="H107" s="26">
        <f>(C107-G107)/C107</f>
        <v>4.5316315205327334E-2</v>
      </c>
      <c r="I107" s="24">
        <f>SUM(I105:I106)</f>
        <v>62389.850439999995</v>
      </c>
      <c r="J107" s="24">
        <f>J105+J106</f>
        <v>15299.430439999998</v>
      </c>
      <c r="K107" s="17"/>
      <c r="L107" s="25"/>
      <c r="M107" s="25"/>
      <c r="N107" s="25"/>
      <c r="O107" s="25"/>
      <c r="Q107" s="66"/>
      <c r="R107" s="23"/>
      <c r="S107" s="23"/>
      <c r="U107" s="67"/>
      <c r="V107" s="67"/>
      <c r="W107" s="68"/>
    </row>
    <row r="108" spans="1:23" ht="3" customHeight="1" x14ac:dyDescent="0.35">
      <c r="A108" s="38"/>
      <c r="B108" s="39"/>
      <c r="C108" s="40"/>
      <c r="D108" s="41"/>
      <c r="E108" s="42"/>
      <c r="F108" s="17"/>
      <c r="G108" s="40"/>
      <c r="H108" s="39"/>
      <c r="I108" s="41"/>
      <c r="J108" s="41"/>
      <c r="K108" s="17"/>
      <c r="L108" s="43"/>
      <c r="M108" s="42"/>
      <c r="N108" s="42"/>
      <c r="O108" s="44"/>
      <c r="Q108" s="66"/>
    </row>
    <row r="109" spans="1:23" ht="14.6" x14ac:dyDescent="0.4">
      <c r="A109" s="21">
        <v>45839</v>
      </c>
      <c r="B109" s="22" t="s">
        <v>15</v>
      </c>
      <c r="C109" s="23">
        <v>6012</v>
      </c>
      <c r="D109" s="24">
        <v>26097.279999999999</v>
      </c>
      <c r="E109" s="25">
        <f>D109/C109</f>
        <v>4.3408649367930803</v>
      </c>
      <c r="F109" s="17"/>
      <c r="G109" s="23">
        <v>5682.9</v>
      </c>
      <c r="H109" s="26">
        <f>(C109-G109)/C109</f>
        <v>5.4740518962075907E-2</v>
      </c>
      <c r="I109" s="24">
        <f>G109*O101</f>
        <v>41219.210279999992</v>
      </c>
      <c r="J109" s="24">
        <f>I109-D109</f>
        <v>15121.930279999993</v>
      </c>
      <c r="K109" s="17"/>
      <c r="L109" s="25"/>
      <c r="M109" s="25"/>
      <c r="N109" s="25"/>
      <c r="O109" s="25"/>
      <c r="Q109" s="66"/>
      <c r="T109" s="65"/>
    </row>
    <row r="110" spans="1:23" ht="14.6" x14ac:dyDescent="0.35">
      <c r="B110" s="22" t="s">
        <v>16</v>
      </c>
      <c r="C110" s="23">
        <v>2012</v>
      </c>
      <c r="D110" s="24">
        <v>17767.849999999999</v>
      </c>
      <c r="E110" s="25">
        <f>D110/C110</f>
        <v>8.8309393638170963</v>
      </c>
      <c r="F110" s="17"/>
      <c r="G110" s="23">
        <v>1375.9</v>
      </c>
      <c r="H110" s="26">
        <f>(C110-G110)/C110</f>
        <v>0.31615308151093435</v>
      </c>
      <c r="I110" s="24">
        <f>G110*O101</f>
        <v>9979.6778799999993</v>
      </c>
      <c r="J110" s="24">
        <f>I110-D110</f>
        <v>-7788.1721199999993</v>
      </c>
      <c r="K110" s="17"/>
      <c r="L110" s="25"/>
      <c r="M110" s="25"/>
      <c r="N110" s="25"/>
      <c r="O110" s="25"/>
      <c r="Q110" s="66"/>
    </row>
    <row r="111" spans="1:23" x14ac:dyDescent="0.35">
      <c r="B111" s="22" t="s">
        <v>17</v>
      </c>
      <c r="C111" s="23">
        <f>SUM(C109:C110)</f>
        <v>8024</v>
      </c>
      <c r="D111" s="24">
        <f>SUM(D109:D110)</f>
        <v>43865.13</v>
      </c>
      <c r="E111" s="25">
        <f>D111/C111</f>
        <v>5.4667410269192418</v>
      </c>
      <c r="F111" s="17"/>
      <c r="G111" s="23">
        <f>SUM(G109:G110)</f>
        <v>7058.7999999999993</v>
      </c>
      <c r="H111" s="26">
        <f>(C111-G111)/C111</f>
        <v>0.12028913260219351</v>
      </c>
      <c r="I111" s="24">
        <f>SUM(I109:I110)</f>
        <v>51198.888159999988</v>
      </c>
      <c r="J111" s="24">
        <f>J109+J110</f>
        <v>7333.7581599999939</v>
      </c>
      <c r="K111" s="17"/>
      <c r="L111" s="25"/>
      <c r="M111" s="25"/>
      <c r="N111" s="25"/>
      <c r="O111" s="25"/>
      <c r="Q111" s="63"/>
      <c r="R111" s="23"/>
      <c r="S111" s="23"/>
      <c r="U111" s="69"/>
      <c r="V111" s="69"/>
      <c r="W111" s="69"/>
    </row>
    <row r="112" spans="1:23" s="37" customFormat="1" ht="3" customHeight="1" x14ac:dyDescent="0.35">
      <c r="A112" s="29"/>
      <c r="B112" s="30"/>
      <c r="C112" s="31"/>
      <c r="D112" s="32"/>
      <c r="E112" s="33"/>
      <c r="F112" s="34"/>
      <c r="G112" s="31"/>
      <c r="H112" s="30"/>
      <c r="I112" s="32"/>
      <c r="J112" s="32"/>
      <c r="K112" s="34"/>
      <c r="L112" s="35"/>
      <c r="M112" s="33"/>
      <c r="N112" s="33"/>
      <c r="O112" s="36"/>
    </row>
    <row r="113" spans="1:20" ht="14.6" x14ac:dyDescent="0.4">
      <c r="A113" s="21">
        <v>45870</v>
      </c>
      <c r="B113" s="22" t="s">
        <v>15</v>
      </c>
      <c r="C113" s="23">
        <v>6409</v>
      </c>
      <c r="D113" s="24">
        <v>29755.88</v>
      </c>
      <c r="E113" s="25">
        <f>D113/C113</f>
        <v>4.6428272741457324</v>
      </c>
      <c r="F113" s="17"/>
      <c r="G113" s="23">
        <v>5464.4</v>
      </c>
      <c r="H113" s="26">
        <f>(C113-G113)/C113</f>
        <v>0.14738648775159938</v>
      </c>
      <c r="I113" s="24">
        <f>G113*O113</f>
        <v>38195.609559999997</v>
      </c>
      <c r="J113" s="24">
        <f>I113-D113</f>
        <v>8439.7295599999961</v>
      </c>
      <c r="K113" s="17"/>
      <c r="L113" s="74">
        <v>7.0949999999999998</v>
      </c>
      <c r="M113" s="74">
        <v>-0.1051</v>
      </c>
      <c r="N113"/>
      <c r="O113" s="25">
        <f>SUM(L113:N113)</f>
        <v>6.9898999999999996</v>
      </c>
    </row>
    <row r="114" spans="1:20" x14ac:dyDescent="0.35">
      <c r="B114" s="22" t="s">
        <v>16</v>
      </c>
      <c r="C114" s="23">
        <v>1535</v>
      </c>
      <c r="D114" s="24">
        <v>14163</v>
      </c>
      <c r="E114" s="25">
        <f>D114/C114</f>
        <v>9.2267100977198702</v>
      </c>
      <c r="F114" s="17"/>
      <c r="G114" s="23">
        <v>1260.5999999999999</v>
      </c>
      <c r="H114" s="26">
        <f>(C114-G114)/C114</f>
        <v>0.17876221498371342</v>
      </c>
      <c r="I114" s="24">
        <f>G114*O113</f>
        <v>8811.4679399999986</v>
      </c>
      <c r="J114" s="24">
        <f>I114-D114</f>
        <v>-5351.5320600000014</v>
      </c>
      <c r="K114" s="17"/>
      <c r="L114" s="25"/>
      <c r="M114" s="25"/>
      <c r="N114" s="25"/>
      <c r="O114" s="25"/>
    </row>
    <row r="115" spans="1:20" x14ac:dyDescent="0.35">
      <c r="B115" s="22" t="s">
        <v>17</v>
      </c>
      <c r="C115" s="23">
        <f>SUM(C113:C114)</f>
        <v>7944</v>
      </c>
      <c r="D115" s="24">
        <f>SUM(D113:D114)</f>
        <v>43918.880000000005</v>
      </c>
      <c r="E115" s="25">
        <f>D115/C115</f>
        <v>5.5285599194360531</v>
      </c>
      <c r="F115" s="17"/>
      <c r="G115" s="23">
        <f>SUM(G113:G114)</f>
        <v>6725</v>
      </c>
      <c r="H115" s="26">
        <f>(C115-G115)/C115</f>
        <v>0.1534491440080564</v>
      </c>
      <c r="I115" s="24">
        <f>SUM(I113:I114)</f>
        <v>47007.077499999999</v>
      </c>
      <c r="J115" s="24">
        <f>J113+J114</f>
        <v>3088.1974999999948</v>
      </c>
      <c r="K115" s="17"/>
      <c r="L115" s="25"/>
      <c r="M115" s="25"/>
      <c r="N115" s="25"/>
      <c r="O115" s="25"/>
    </row>
    <row r="116" spans="1:20" ht="3" customHeight="1" x14ac:dyDescent="0.35">
      <c r="A116" s="38"/>
      <c r="B116" s="39"/>
      <c r="C116" s="40"/>
      <c r="D116" s="41"/>
      <c r="E116" s="42"/>
      <c r="F116" s="17"/>
      <c r="G116" s="40"/>
      <c r="H116" s="39"/>
      <c r="I116" s="41"/>
      <c r="J116" s="41"/>
      <c r="K116" s="17"/>
      <c r="L116" s="43"/>
      <c r="M116" s="42"/>
      <c r="N116" s="42"/>
      <c r="O116" s="44"/>
      <c r="Q116" s="66"/>
    </row>
    <row r="117" spans="1:20" ht="14.6" x14ac:dyDescent="0.4">
      <c r="A117" s="21">
        <v>45901</v>
      </c>
      <c r="B117" s="22" t="s">
        <v>15</v>
      </c>
      <c r="C117" s="23">
        <v>6890</v>
      </c>
      <c r="D117" s="24">
        <v>27649.61</v>
      </c>
      <c r="E117" s="25">
        <f>D117/C117</f>
        <v>4.01300580551524</v>
      </c>
      <c r="F117" s="17"/>
      <c r="G117" s="23">
        <v>7165.1</v>
      </c>
      <c r="H117" s="26">
        <f>(C117-G117)/C117</f>
        <v>-3.9927431059506586E-2</v>
      </c>
      <c r="I117" s="24">
        <f>G117*O113</f>
        <v>50083.332490000001</v>
      </c>
      <c r="J117" s="24">
        <f>I117-D117</f>
        <v>22433.72249</v>
      </c>
      <c r="K117" s="17"/>
      <c r="L117" s="25"/>
      <c r="M117" s="25"/>
      <c r="N117" s="25"/>
      <c r="O117" s="25"/>
      <c r="Q117" s="66"/>
      <c r="T117" s="65"/>
    </row>
    <row r="118" spans="1:20" ht="14.6" x14ac:dyDescent="0.35">
      <c r="B118" s="22" t="s">
        <v>16</v>
      </c>
      <c r="C118" s="23">
        <v>2125</v>
      </c>
      <c r="D118" s="24">
        <v>18369</v>
      </c>
      <c r="E118" s="25">
        <f>D118/C118</f>
        <v>8.6442352941176477</v>
      </c>
      <c r="F118" s="17"/>
      <c r="G118" s="23">
        <v>1989.9</v>
      </c>
      <c r="H118" s="26">
        <f>(C118-G118)/C118</f>
        <v>6.3576470588235248E-2</v>
      </c>
      <c r="I118" s="24">
        <f>G118*O113</f>
        <v>13909.202009999999</v>
      </c>
      <c r="J118" s="24">
        <f>I118-D118</f>
        <v>-4459.7979900000009</v>
      </c>
      <c r="K118" s="17"/>
      <c r="L118" s="25"/>
      <c r="M118" s="25"/>
      <c r="N118" s="25"/>
      <c r="O118" s="25"/>
      <c r="Q118" s="66"/>
    </row>
    <row r="119" spans="1:20" x14ac:dyDescent="0.35">
      <c r="B119" s="22" t="s">
        <v>17</v>
      </c>
      <c r="C119" s="23">
        <f>SUM(C117:C118)</f>
        <v>9015</v>
      </c>
      <c r="D119" s="24">
        <f>SUM(D117:D118)</f>
        <v>46018.61</v>
      </c>
      <c r="E119" s="25">
        <f>D119/C119</f>
        <v>5.1046711037160293</v>
      </c>
      <c r="F119" s="17"/>
      <c r="G119" s="23">
        <f>SUM(G117:G118)</f>
        <v>9155</v>
      </c>
      <c r="H119" s="26">
        <f>(C119-G119)/C119</f>
        <v>-1.552967276760954E-2</v>
      </c>
      <c r="I119" s="24">
        <f>SUM(I117:I118)</f>
        <v>63992.534500000002</v>
      </c>
      <c r="J119" s="24">
        <f>J117+J118</f>
        <v>17973.924500000001</v>
      </c>
      <c r="K119" s="17"/>
      <c r="L119" s="25"/>
      <c r="M119" s="25"/>
      <c r="N119" s="25"/>
      <c r="O119" s="25"/>
      <c r="Q119" s="28" t="s">
        <v>27</v>
      </c>
    </row>
    <row r="120" spans="1:20" ht="3" customHeight="1" x14ac:dyDescent="0.35">
      <c r="A120" s="38"/>
      <c r="B120" s="39"/>
      <c r="C120" s="40"/>
      <c r="D120" s="41"/>
      <c r="E120" s="42"/>
      <c r="F120" s="17"/>
      <c r="G120" s="40"/>
      <c r="H120" s="39"/>
      <c r="I120" s="41"/>
      <c r="J120" s="41"/>
      <c r="K120" s="17"/>
      <c r="L120" s="43"/>
      <c r="M120" s="42"/>
      <c r="N120" s="42"/>
      <c r="O120" s="44"/>
    </row>
    <row r="121" spans="1:20" ht="14.6" x14ac:dyDescent="0.4">
      <c r="A121" s="21">
        <v>45931</v>
      </c>
      <c r="B121" s="22" t="s">
        <v>15</v>
      </c>
      <c r="C121" s="23">
        <v>14506</v>
      </c>
      <c r="D121" s="24">
        <v>48919.85</v>
      </c>
      <c r="E121" s="25">
        <f>D121/C121</f>
        <v>3.3723872880187509</v>
      </c>
      <c r="F121" s="17"/>
      <c r="G121" s="23">
        <v>12243.9</v>
      </c>
      <c r="H121" s="26">
        <f>(C121-G121)/C121</f>
        <v>0.15594236867503106</v>
      </c>
      <c r="I121" s="24">
        <f>G121*O113</f>
        <v>85583.636609999987</v>
      </c>
      <c r="J121" s="24">
        <f>I121-D121</f>
        <v>36663.786609999988</v>
      </c>
      <c r="K121" s="17"/>
      <c r="L121" s="25"/>
      <c r="M121" s="25"/>
      <c r="N121" s="25"/>
      <c r="O121" s="25"/>
      <c r="Q121" s="24" t="s">
        <v>28</v>
      </c>
      <c r="T121" s="65"/>
    </row>
    <row r="122" spans="1:20" ht="14.6" x14ac:dyDescent="0.35">
      <c r="B122" s="22" t="s">
        <v>16</v>
      </c>
      <c r="C122" s="23">
        <v>4555</v>
      </c>
      <c r="D122" s="24">
        <v>37537.1</v>
      </c>
      <c r="E122" s="25">
        <f>D122/C122</f>
        <v>8.2408562019758502</v>
      </c>
      <c r="F122" s="17"/>
      <c r="G122" s="23">
        <v>4283.3</v>
      </c>
      <c r="H122" s="26">
        <f>(C122-G122)/C122</f>
        <v>5.9648737650933002E-2</v>
      </c>
      <c r="I122" s="24">
        <f>G122*O113</f>
        <v>29939.838670000001</v>
      </c>
      <c r="J122" s="24">
        <f>I122-D122</f>
        <v>-7597.2613299999975</v>
      </c>
      <c r="K122" s="17"/>
      <c r="L122" s="25"/>
      <c r="M122" s="25"/>
      <c r="N122" s="25"/>
      <c r="O122" s="25"/>
      <c r="Q122" s="66"/>
    </row>
    <row r="123" spans="1:20" x14ac:dyDescent="0.35">
      <c r="B123" s="22" t="s">
        <v>17</v>
      </c>
      <c r="C123" s="23">
        <f>SUM(C121:C122)</f>
        <v>19061</v>
      </c>
      <c r="D123" s="24">
        <f>SUM(D121:D122)</f>
        <v>86456.95</v>
      </c>
      <c r="E123" s="25">
        <f>D123/C123</f>
        <v>4.5358034730601755</v>
      </c>
      <c r="F123" s="17"/>
      <c r="G123" s="23">
        <f>SUM(G121:G122)</f>
        <v>16527.2</v>
      </c>
      <c r="H123" s="26">
        <f>(C123-G123)/C123</f>
        <v>0.13293111589108647</v>
      </c>
      <c r="I123" s="24">
        <f>SUM(I121:I122)</f>
        <v>115523.47527999998</v>
      </c>
      <c r="J123" s="24">
        <f>J121+J122</f>
        <v>29066.525279999991</v>
      </c>
      <c r="K123" s="17"/>
      <c r="Q123" s="63"/>
      <c r="R123" s="23"/>
      <c r="S123" s="23"/>
    </row>
    <row r="124" spans="1:20" x14ac:dyDescent="0.35">
      <c r="F124" s="17"/>
      <c r="H124" s="26"/>
      <c r="K124" s="17"/>
      <c r="L124" s="22"/>
      <c r="M124" s="22"/>
    </row>
    <row r="125" spans="1:20" x14ac:dyDescent="0.35">
      <c r="F125" s="17"/>
      <c r="H125" s="26"/>
      <c r="J125" s="49" t="s">
        <v>19</v>
      </c>
      <c r="K125" s="17"/>
      <c r="L125" s="48" t="s">
        <v>18</v>
      </c>
      <c r="M125" s="48" t="s">
        <v>19</v>
      </c>
      <c r="Q125" s="28"/>
    </row>
    <row r="126" spans="1:20" x14ac:dyDescent="0.35">
      <c r="A126" s="50" t="s">
        <v>20</v>
      </c>
      <c r="B126" s="51"/>
      <c r="C126" s="51">
        <f t="shared" ref="C126:D127" si="3">SUM(C77,C81,C85,C89,C93,C97,C101,C105,C109,C113,C117,C121)</f>
        <v>283043</v>
      </c>
      <c r="D126" s="52">
        <f t="shared" si="3"/>
        <v>1323506.83</v>
      </c>
      <c r="E126" s="53">
        <f>D126/C126</f>
        <v>4.6759920930741972</v>
      </c>
      <c r="F126" s="17"/>
      <c r="G126" s="51">
        <f>SUM(G77,G81,G85,G89,G93,G97,G101,G105,G109,G113,G117,G121)</f>
        <v>264147.90000000002</v>
      </c>
      <c r="H126" s="54">
        <f>(C126-G126)/C126</f>
        <v>6.6756994520267163E-2</v>
      </c>
      <c r="I126" s="52">
        <f>SUM(I77,I81,I85,I89,I93,I97,I101,I105,I109,I113,I117,I121)</f>
        <v>1652987.6309600002</v>
      </c>
      <c r="J126" s="52">
        <f>E126*(M126+M127)</f>
        <v>-24661.43505520287</v>
      </c>
      <c r="K126" s="17"/>
      <c r="L126" s="55">
        <f>G126/(1-$Q$144)</f>
        <v>285565.29729729734</v>
      </c>
      <c r="M126" s="55">
        <f>C126-L126</f>
        <v>-2522.2972972973366</v>
      </c>
      <c r="Q126" s="28"/>
    </row>
    <row r="127" spans="1:20" x14ac:dyDescent="0.35">
      <c r="A127" s="56"/>
      <c r="B127" s="57" t="s">
        <v>16</v>
      </c>
      <c r="C127" s="51">
        <f t="shared" si="3"/>
        <v>110813</v>
      </c>
      <c r="D127" s="52">
        <f t="shared" si="3"/>
        <v>1145222.2700000003</v>
      </c>
      <c r="E127" s="53">
        <f>D127/C127</f>
        <v>10.334728506583165</v>
      </c>
      <c r="F127" s="17"/>
      <c r="G127" s="51">
        <f>SUM(G78,G82,G86,G90,G94,G98,G102,G106,G110,G114,G118,G122)</f>
        <v>105047.40000000001</v>
      </c>
      <c r="H127" s="54">
        <f t="shared" ref="H127" si="4">(C127-G127)/C127</f>
        <v>5.2029996480557256E-2</v>
      </c>
      <c r="I127" s="52">
        <f>SUM(I78,I82,I86,I90,I94,I98,I102,I106,I110,I114,I118,I122)</f>
        <v>651028.66613999999</v>
      </c>
      <c r="J127" s="52"/>
      <c r="K127" s="17"/>
      <c r="L127" s="55">
        <f>G127/(1-$Q$144)</f>
        <v>113564.75675675676</v>
      </c>
      <c r="M127" s="55">
        <f>C127-L127</f>
        <v>-2751.7567567567603</v>
      </c>
      <c r="P127" s="28"/>
      <c r="Q127" s="63"/>
      <c r="R127" s="23"/>
      <c r="S127" s="47"/>
    </row>
    <row r="128" spans="1:20" x14ac:dyDescent="0.35">
      <c r="A128" s="56"/>
      <c r="B128" s="57" t="s">
        <v>17</v>
      </c>
      <c r="C128" s="51">
        <f>SUM(C126:C127)</f>
        <v>393856</v>
      </c>
      <c r="D128" s="52">
        <f>SUM(D126:D127)</f>
        <v>2468729.1000000006</v>
      </c>
      <c r="E128" s="53">
        <f>D128/C128</f>
        <v>6.2681007779493028</v>
      </c>
      <c r="F128" s="17"/>
      <c r="G128" s="51">
        <f>SUM(G126:G127)</f>
        <v>369195.30000000005</v>
      </c>
      <c r="H128" s="79">
        <f>C128/G128-1</f>
        <v>6.679581240606236E-2</v>
      </c>
      <c r="I128" s="52">
        <f>SUM(I126:I127)</f>
        <v>2304016.2971000001</v>
      </c>
      <c r="J128" s="52">
        <f>SUM(J126:J127)</f>
        <v>-24661.43505520287</v>
      </c>
      <c r="K128" s="17"/>
      <c r="L128" s="55">
        <f>G128/(1-$Q$144)</f>
        <v>399130.05405405408</v>
      </c>
      <c r="M128" s="55">
        <f>C128-L128</f>
        <v>-5274.0540540540824</v>
      </c>
      <c r="P128" s="59"/>
      <c r="Q128" s="63"/>
      <c r="R128" s="23"/>
      <c r="S128" s="47"/>
      <c r="T128" s="28"/>
    </row>
    <row r="129" spans="1:20" s="37" customFormat="1" ht="6" customHeight="1" x14ac:dyDescent="0.35">
      <c r="A129" s="29"/>
      <c r="B129" s="30"/>
      <c r="C129" s="31"/>
      <c r="D129" s="32"/>
      <c r="E129" s="33"/>
      <c r="F129" s="34"/>
      <c r="G129" s="31"/>
      <c r="H129" s="30"/>
      <c r="I129" s="32"/>
      <c r="J129" s="32"/>
      <c r="K129" s="34"/>
      <c r="L129" s="60"/>
      <c r="M129" s="61"/>
      <c r="N129" s="61"/>
      <c r="O129" s="62"/>
    </row>
    <row r="130" spans="1:20" ht="14.6" x14ac:dyDescent="0.4">
      <c r="A130" s="21">
        <v>45962</v>
      </c>
      <c r="B130" s="22" t="s">
        <v>15</v>
      </c>
      <c r="C130" s="23">
        <v>29309</v>
      </c>
      <c r="D130" s="24">
        <v>117801.29</v>
      </c>
      <c r="E130" s="74">
        <f>D130/C130</f>
        <v>4.0192872496502776</v>
      </c>
      <c r="F130" s="17"/>
      <c r="G130" s="23">
        <v>24941.8</v>
      </c>
      <c r="H130" s="26">
        <f>(C130-G130)/C130</f>
        <v>0.14900542495479208</v>
      </c>
      <c r="I130" s="24">
        <f>G130*O130</f>
        <v>157509.96118000001</v>
      </c>
      <c r="J130" s="24">
        <f>I130-D130</f>
        <v>39708.671180000019</v>
      </c>
      <c r="K130" s="17"/>
      <c r="L130" s="74"/>
      <c r="M130" s="74"/>
      <c r="N130" s="25"/>
      <c r="O130" s="25">
        <v>6.3151000000000002</v>
      </c>
      <c r="Q130" s="28"/>
      <c r="T130" s="65"/>
    </row>
    <row r="131" spans="1:20" x14ac:dyDescent="0.35">
      <c r="B131" s="22" t="s">
        <v>16</v>
      </c>
      <c r="C131" s="23">
        <v>11910</v>
      </c>
      <c r="D131" s="24">
        <v>113118</v>
      </c>
      <c r="E131" s="74">
        <f>D131/C131</f>
        <v>9.4977329974811084</v>
      </c>
      <c r="F131" s="17"/>
      <c r="G131" s="23">
        <v>9551.5</v>
      </c>
      <c r="H131" s="26">
        <f>(C131-G131)/C131</f>
        <v>0.19802686817800169</v>
      </c>
      <c r="I131" s="24">
        <f>G131*O130</f>
        <v>60318.677650000005</v>
      </c>
      <c r="J131" s="24">
        <f>I131-D131</f>
        <v>-52799.322349999995</v>
      </c>
      <c r="K131" s="17"/>
      <c r="L131" s="25"/>
      <c r="M131" s="25"/>
      <c r="N131" s="25"/>
      <c r="O131" s="25"/>
      <c r="Q131" s="28"/>
    </row>
    <row r="132" spans="1:20" x14ac:dyDescent="0.35">
      <c r="B132" s="22" t="s">
        <v>17</v>
      </c>
      <c r="C132" s="23">
        <f>SUM(C130:C131)</f>
        <v>41219</v>
      </c>
      <c r="D132" s="24">
        <f>SUM(D130:D131)</f>
        <v>230919.28999999998</v>
      </c>
      <c r="E132" s="25">
        <f>D132/C132</f>
        <v>5.6022535723816684</v>
      </c>
      <c r="F132" s="17"/>
      <c r="G132" s="23">
        <f>SUM(G130:G131)</f>
        <v>34493.300000000003</v>
      </c>
      <c r="H132" s="26">
        <f>(C132-G132)/C132</f>
        <v>0.16316989737742296</v>
      </c>
      <c r="I132" s="24">
        <f>SUM(I130:I131)</f>
        <v>217828.63883000001</v>
      </c>
      <c r="J132" s="24">
        <f>J130+J131</f>
        <v>-13090.651169999976</v>
      </c>
      <c r="K132" s="17"/>
      <c r="L132" s="25"/>
      <c r="M132" s="25"/>
      <c r="N132" s="25"/>
      <c r="O132" s="25"/>
    </row>
    <row r="133" spans="1:20" ht="3" customHeight="1" x14ac:dyDescent="0.35">
      <c r="A133" s="38"/>
      <c r="B133" s="39"/>
      <c r="C133" s="40"/>
      <c r="D133" s="41"/>
      <c r="E133" s="42"/>
      <c r="F133" s="17"/>
      <c r="G133" s="40"/>
      <c r="H133" s="39"/>
      <c r="I133" s="41"/>
      <c r="J133" s="41"/>
      <c r="K133" s="17"/>
      <c r="L133" s="43"/>
      <c r="M133" s="42"/>
      <c r="N133" s="42"/>
      <c r="O133" s="44"/>
    </row>
    <row r="134" spans="1:20" ht="14.6" x14ac:dyDescent="0.4">
      <c r="A134" s="21">
        <v>45992</v>
      </c>
      <c r="B134" s="22" t="s">
        <v>15</v>
      </c>
      <c r="C134" s="75">
        <v>52000</v>
      </c>
      <c r="D134" s="24">
        <v>233927.6</v>
      </c>
      <c r="E134" s="74">
        <f>D134/C134</f>
        <v>4.4986076923076928</v>
      </c>
      <c r="F134" s="17"/>
      <c r="G134" s="23">
        <v>48955.7</v>
      </c>
      <c r="H134" s="26">
        <f>(C134-G134)/C134</f>
        <v>5.8544230769230828E-2</v>
      </c>
      <c r="I134" s="24">
        <f>G134*O130</f>
        <v>309160.14107000001</v>
      </c>
      <c r="J134" s="24">
        <f>I134-D134</f>
        <v>75232.541070000007</v>
      </c>
      <c r="K134" s="17"/>
      <c r="L134" s="25"/>
      <c r="M134" s="25"/>
      <c r="N134" s="25"/>
      <c r="O134" s="25"/>
      <c r="Q134" s="63"/>
      <c r="T134" s="65"/>
    </row>
    <row r="135" spans="1:20" x14ac:dyDescent="0.35">
      <c r="B135" s="22" t="s">
        <v>16</v>
      </c>
      <c r="C135" s="23">
        <v>20089</v>
      </c>
      <c r="D135" s="24">
        <v>221017</v>
      </c>
      <c r="E135" s="74">
        <f>D135/C135</f>
        <v>11.001891582458061</v>
      </c>
      <c r="F135" s="17"/>
      <c r="G135" s="23">
        <v>21891.200000000001</v>
      </c>
      <c r="H135" s="26">
        <f>(C135-G135)/C135</f>
        <v>-8.971078699785956E-2</v>
      </c>
      <c r="I135" s="24">
        <f>G135*O130</f>
        <v>138245.11712000001</v>
      </c>
      <c r="J135" s="24">
        <f>I135-D135</f>
        <v>-82771.88287999999</v>
      </c>
      <c r="K135" s="17"/>
      <c r="L135" s="25"/>
      <c r="M135" s="25"/>
      <c r="N135" s="25"/>
      <c r="O135" s="25"/>
      <c r="Q135" s="63"/>
    </row>
    <row r="136" spans="1:20" x14ac:dyDescent="0.35">
      <c r="B136" s="22" t="s">
        <v>17</v>
      </c>
      <c r="C136" s="23">
        <f>SUM(C134:C135)</f>
        <v>72089</v>
      </c>
      <c r="D136" s="24">
        <f>SUM(D134:D135)</f>
        <v>454944.6</v>
      </c>
      <c r="E136" s="25">
        <f>D136/C136</f>
        <v>6.3108740584555196</v>
      </c>
      <c r="F136" s="17"/>
      <c r="G136" s="23">
        <f>SUM(G134:G135)</f>
        <v>70846.899999999994</v>
      </c>
      <c r="H136" s="26">
        <f>(C136-G136)/C136</f>
        <v>1.7230090582474523E-2</v>
      </c>
      <c r="I136" s="24">
        <f>SUM(I134:I135)</f>
        <v>447405.25819000002</v>
      </c>
      <c r="J136" s="24">
        <f>J134+J135</f>
        <v>-7539.3418099999835</v>
      </c>
      <c r="K136" s="17"/>
      <c r="L136" s="25"/>
      <c r="M136" s="25"/>
      <c r="N136" s="25"/>
      <c r="O136" s="25"/>
      <c r="Q136" s="63"/>
      <c r="R136" s="23"/>
      <c r="S136" s="23"/>
      <c r="T136" s="64"/>
    </row>
    <row r="137" spans="1:20" ht="3" customHeight="1" x14ac:dyDescent="0.35">
      <c r="A137" s="38"/>
      <c r="B137" s="39"/>
      <c r="C137" s="40"/>
      <c r="D137" s="41"/>
      <c r="E137" s="42"/>
      <c r="F137" s="17"/>
      <c r="G137" s="40"/>
      <c r="H137" s="39"/>
      <c r="I137" s="41"/>
      <c r="J137" s="41"/>
      <c r="K137" s="17"/>
      <c r="L137" s="43"/>
      <c r="M137" s="42"/>
      <c r="N137" s="42"/>
      <c r="O137" s="44"/>
    </row>
    <row r="138" spans="1:20" x14ac:dyDescent="0.35">
      <c r="F138" s="17"/>
      <c r="K138" s="17"/>
      <c r="L138" s="25"/>
      <c r="M138" s="25"/>
      <c r="N138" s="25"/>
      <c r="O138" s="25"/>
    </row>
    <row r="139" spans="1:20" x14ac:dyDescent="0.35">
      <c r="C139" s="76" t="s">
        <v>21</v>
      </c>
      <c r="F139" s="17"/>
      <c r="K139" s="17"/>
      <c r="L139" s="25"/>
      <c r="M139" s="25"/>
      <c r="N139" s="25"/>
      <c r="O139" s="25"/>
    </row>
    <row r="140" spans="1:20" x14ac:dyDescent="0.35">
      <c r="F140" s="17"/>
      <c r="K140" s="17"/>
      <c r="L140" s="25"/>
      <c r="M140" s="25"/>
      <c r="N140" s="25"/>
      <c r="O140" s="25"/>
    </row>
    <row r="141" spans="1:20" x14ac:dyDescent="0.35">
      <c r="F141" s="17"/>
      <c r="K141" s="17"/>
      <c r="L141" s="25"/>
      <c r="M141" s="25"/>
      <c r="N141" s="25"/>
      <c r="O141" s="25"/>
    </row>
    <row r="142" spans="1:20" x14ac:dyDescent="0.35">
      <c r="F142" s="15"/>
      <c r="K142" s="17"/>
      <c r="L142" s="25"/>
      <c r="M142" s="25"/>
      <c r="N142" s="25"/>
      <c r="O142" s="25"/>
    </row>
    <row r="143" spans="1:20" x14ac:dyDescent="0.35">
      <c r="H143" s="28"/>
      <c r="K143" s="17"/>
      <c r="Q143" s="77" t="s">
        <v>22</v>
      </c>
    </row>
    <row r="144" spans="1:20" x14ac:dyDescent="0.35">
      <c r="K144" s="17"/>
      <c r="Q144" s="78">
        <v>7.4999999999999997E-2</v>
      </c>
    </row>
    <row r="145" spans="4:11" x14ac:dyDescent="0.35">
      <c r="D145" s="23"/>
      <c r="K145" s="17"/>
    </row>
    <row r="146" spans="4:11" x14ac:dyDescent="0.35">
      <c r="K146" s="17"/>
    </row>
  </sheetData>
  <mergeCells count="1">
    <mergeCell ref="A1:O1"/>
  </mergeCells>
  <printOptions verticalCentered="1"/>
  <pageMargins left="0.7" right="0.7" top="0.2" bottom="0.2" header="0.3" footer="0.3"/>
  <pageSetup scale="8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L&amp;U Sum</vt:lpstr>
      <vt:lpstr>GBA 2023-26</vt:lpstr>
      <vt:lpstr>'GBA 2023-26'!Print_Area</vt:lpstr>
      <vt:lpstr>'GBA 2023-26'!Print_Titles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Shute</dc:creator>
  <cp:lastModifiedBy>Steve Shute</cp:lastModifiedBy>
  <dcterms:created xsi:type="dcterms:W3CDTF">2026-02-16T00:35:12Z</dcterms:created>
  <dcterms:modified xsi:type="dcterms:W3CDTF">2026-02-16T23:54:30Z</dcterms:modified>
</cp:coreProperties>
</file>