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:\Pricing\Share\000 - PSC Cases\Env Surcharge Review Cases\PSC Case 2025-00266 - 2 yr Review\DR1\To be filed\"/>
    </mc:Choice>
  </mc:AlternateContent>
  <xr:revisionPtr revIDLastSave="0" documentId="13_ncr:1_{08E69E40-D1BC-49B4-957A-D1E80C248B8A}" xr6:coauthVersionLast="47" xr6:coauthVersionMax="47" xr10:uidLastSave="{00000000-0000-0000-0000-000000000000}"/>
  <bookViews>
    <workbookView xWindow="5580" yWindow="5580" windowWidth="38700" windowHeight="15285" xr2:uid="{00000000-000D-0000-FFFF-FFFF00000000}"/>
  </bookViews>
  <sheets>
    <sheet name="Current 05-31-25" sheetId="8" r:id="rId1"/>
    <sheet name="2025-00013 Summary" sheetId="9" r:id="rId2"/>
    <sheet name="A - 05-31-22" sheetId="10" r:id="rId3"/>
    <sheet name="B - 11-30-22" sheetId="11" r:id="rId4"/>
    <sheet name="C - 05-31-23" sheetId="12" r:id="rId5"/>
    <sheet name="D - 11-30-23" sheetId="13" r:id="rId6"/>
    <sheet name="E - 05-31-24" sheetId="14" r:id="rId7"/>
    <sheet name="F - 11-30-24" sheetId="15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11" l="1"/>
  <c r="A1" i="12"/>
  <c r="A1" i="13"/>
  <c r="A1" i="14"/>
  <c r="A1" i="15"/>
  <c r="A1" i="10"/>
  <c r="A1" i="9"/>
  <c r="D70" i="15"/>
  <c r="E35" i="15"/>
  <c r="G35" i="15" s="1"/>
  <c r="D35" i="15"/>
  <c r="E27" i="15"/>
  <c r="D27" i="15"/>
  <c r="F27" i="15" s="1"/>
  <c r="D26" i="15"/>
  <c r="F26" i="15" s="1"/>
  <c r="E25" i="15"/>
  <c r="D25" i="15"/>
  <c r="F25" i="15" s="1"/>
  <c r="F24" i="15"/>
  <c r="D24" i="15"/>
  <c r="D23" i="15"/>
  <c r="F23" i="15" s="1"/>
  <c r="D22" i="15"/>
  <c r="F22" i="15" s="1"/>
  <c r="D21" i="15"/>
  <c r="F21" i="15" s="1"/>
  <c r="F20" i="15"/>
  <c r="D20" i="15"/>
  <c r="D68" i="14"/>
  <c r="E34" i="14" s="1"/>
  <c r="D34" i="14"/>
  <c r="G34" i="14" s="1"/>
  <c r="D26" i="14"/>
  <c r="F26" i="14" s="1"/>
  <c r="D25" i="14"/>
  <c r="F25" i="14" s="1"/>
  <c r="F24" i="14"/>
  <c r="D24" i="14"/>
  <c r="D23" i="14"/>
  <c r="F23" i="14" s="1"/>
  <c r="D22" i="14"/>
  <c r="F22" i="14" s="1"/>
  <c r="D21" i="14"/>
  <c r="F21" i="14" s="1"/>
  <c r="F20" i="14"/>
  <c r="D20" i="14"/>
  <c r="D19" i="14"/>
  <c r="F19" i="14" s="1"/>
  <c r="D66" i="13"/>
  <c r="E33" i="13" s="1"/>
  <c r="D33" i="13"/>
  <c r="G33" i="13" s="1"/>
  <c r="D25" i="13"/>
  <c r="F25" i="13" s="1"/>
  <c r="D24" i="13"/>
  <c r="F24" i="13" s="1"/>
  <c r="F23" i="13"/>
  <c r="D23" i="13"/>
  <c r="D22" i="13"/>
  <c r="F22" i="13" s="1"/>
  <c r="D21" i="13"/>
  <c r="F21" i="13" s="1"/>
  <c r="D20" i="13"/>
  <c r="F20" i="13" s="1"/>
  <c r="F19" i="13"/>
  <c r="D19" i="13"/>
  <c r="D18" i="13"/>
  <c r="F18" i="13" s="1"/>
  <c r="D64" i="12"/>
  <c r="E32" i="12" s="1"/>
  <c r="G32" i="12" s="1"/>
  <c r="D32" i="12"/>
  <c r="D24" i="12"/>
  <c r="F24" i="12" s="1"/>
  <c r="D23" i="12"/>
  <c r="F23" i="12" s="1"/>
  <c r="D22" i="12"/>
  <c r="F22" i="12" s="1"/>
  <c r="F21" i="12"/>
  <c r="D21" i="12"/>
  <c r="D20" i="12"/>
  <c r="F20" i="12" s="1"/>
  <c r="D19" i="12"/>
  <c r="F19" i="12" s="1"/>
  <c r="D18" i="12"/>
  <c r="F18" i="12" s="1"/>
  <c r="F17" i="12"/>
  <c r="D17" i="12"/>
  <c r="D62" i="11"/>
  <c r="E31" i="11"/>
  <c r="D31" i="11"/>
  <c r="G31" i="11" s="1"/>
  <c r="D23" i="11"/>
  <c r="F23" i="11" s="1"/>
  <c r="F22" i="11"/>
  <c r="D22" i="11"/>
  <c r="D21" i="11"/>
  <c r="F21" i="11" s="1"/>
  <c r="D20" i="11"/>
  <c r="F20" i="11" s="1"/>
  <c r="D19" i="11"/>
  <c r="F19" i="11" s="1"/>
  <c r="F18" i="11"/>
  <c r="D18" i="11"/>
  <c r="D17" i="11"/>
  <c r="F17" i="11" s="1"/>
  <c r="D16" i="11"/>
  <c r="F16" i="11" s="1"/>
  <c r="D60" i="10"/>
  <c r="E30" i="10" s="1"/>
  <c r="G39" i="10"/>
  <c r="D30" i="10"/>
  <c r="G30" i="10" s="1"/>
  <c r="G31" i="10" s="1"/>
  <c r="G40" i="10" s="1"/>
  <c r="F22" i="10"/>
  <c r="D22" i="10"/>
  <c r="D21" i="10"/>
  <c r="F21" i="10" s="1"/>
  <c r="D20" i="10"/>
  <c r="F20" i="10" s="1"/>
  <c r="D19" i="10"/>
  <c r="F19" i="10" s="1"/>
  <c r="F18" i="10"/>
  <c r="D18" i="10"/>
  <c r="D17" i="10"/>
  <c r="F17" i="10" s="1"/>
  <c r="D16" i="10"/>
  <c r="F16" i="10" s="1"/>
  <c r="D15" i="10"/>
  <c r="F15" i="10" s="1"/>
  <c r="G14" i="10"/>
  <c r="G33" i="8"/>
  <c r="D22" i="8"/>
  <c r="D21" i="8"/>
  <c r="D20" i="8"/>
  <c r="D19" i="8"/>
  <c r="D18" i="8"/>
  <c r="D17" i="8"/>
  <c r="G42" i="10" l="1"/>
  <c r="G15" i="10"/>
  <c r="G16" i="10" s="1"/>
  <c r="G17" i="10" s="1"/>
  <c r="G18" i="10" s="1"/>
  <c r="G19" i="10" s="1"/>
  <c r="G20" i="10" s="1"/>
  <c r="G46" i="10"/>
  <c r="G48" i="11"/>
  <c r="G52" i="13"/>
  <c r="G54" i="14"/>
  <c r="G50" i="12"/>
  <c r="G56" i="15"/>
  <c r="E16" i="8"/>
  <c r="D16" i="8"/>
  <c r="D15" i="8"/>
  <c r="G14" i="8"/>
  <c r="D60" i="8"/>
  <c r="E30" i="8" s="1"/>
  <c r="G21" i="10" l="1"/>
  <c r="G22" i="10" s="1"/>
  <c r="G33" i="10"/>
  <c r="D30" i="8"/>
  <c r="G30" i="8" s="1"/>
  <c r="G31" i="8" s="1"/>
  <c r="F22" i="8"/>
  <c r="F21" i="8"/>
  <c r="F20" i="8"/>
  <c r="F19" i="8"/>
  <c r="F18" i="8"/>
  <c r="F17" i="8"/>
  <c r="F16" i="8"/>
  <c r="F15" i="8"/>
  <c r="G44" i="10" l="1"/>
  <c r="G48" i="10" s="1"/>
  <c r="G14" i="12"/>
  <c r="E8" i="9"/>
  <c r="G14" i="15"/>
  <c r="G14" i="11"/>
  <c r="G35" i="10"/>
  <c r="G14" i="13"/>
  <c r="G14" i="14"/>
  <c r="G46" i="8"/>
  <c r="D35" i="14" l="1"/>
  <c r="G35" i="14" s="1"/>
  <c r="D34" i="13"/>
  <c r="G34" i="13" s="1"/>
  <c r="D32" i="11"/>
  <c r="G32" i="11" s="1"/>
  <c r="G33" i="11" s="1"/>
  <c r="G42" i="11" s="1"/>
  <c r="G15" i="11"/>
  <c r="D36" i="15"/>
  <c r="G36" i="15" s="1"/>
  <c r="F8" i="9"/>
  <c r="D33" i="12"/>
  <c r="G33" i="12" s="1"/>
  <c r="G40" i="8"/>
  <c r="G16" i="11" l="1"/>
  <c r="G17" i="11" s="1"/>
  <c r="G18" i="11" s="1"/>
  <c r="G19" i="11" s="1"/>
  <c r="G20" i="11" s="1"/>
  <c r="G21" i="11" s="1"/>
  <c r="G41" i="11"/>
  <c r="G44" i="11" s="1"/>
  <c r="G39" i="8"/>
  <c r="G42" i="8" s="1"/>
  <c r="G15" i="8"/>
  <c r="G16" i="8" s="1"/>
  <c r="G17" i="8" s="1"/>
  <c r="G18" i="8" s="1"/>
  <c r="G19" i="8" s="1"/>
  <c r="G20" i="8" s="1"/>
  <c r="G35" i="11" l="1"/>
  <c r="G22" i="11"/>
  <c r="G23" i="11" s="1"/>
  <c r="G21" i="8"/>
  <c r="G22" i="8" s="1"/>
  <c r="E9" i="9" l="1"/>
  <c r="G15" i="13"/>
  <c r="G15" i="12"/>
  <c r="G15" i="15"/>
  <c r="G15" i="14"/>
  <c r="G46" i="11"/>
  <c r="G50" i="11" s="1"/>
  <c r="G37" i="11"/>
  <c r="G35" i="8"/>
  <c r="G44" i="8"/>
  <c r="G48" i="8" s="1"/>
  <c r="D36" i="14" l="1"/>
  <c r="G36" i="14" s="1"/>
  <c r="D37" i="15"/>
  <c r="G37" i="15" s="1"/>
  <c r="D34" i="12"/>
  <c r="G34" i="12" s="1"/>
  <c r="G35" i="12" s="1"/>
  <c r="G44" i="12" s="1"/>
  <c r="G16" i="12"/>
  <c r="D35" i="13"/>
  <c r="G35" i="13" s="1"/>
  <c r="F9" i="9"/>
  <c r="G43" i="12" l="1"/>
  <c r="G46" i="12" s="1"/>
  <c r="G17" i="12"/>
  <c r="G18" i="12" s="1"/>
  <c r="G19" i="12" s="1"/>
  <c r="G20" i="12" s="1"/>
  <c r="G21" i="12" s="1"/>
  <c r="G22" i="12" s="1"/>
  <c r="G37" i="12" l="1"/>
  <c r="G23" i="12"/>
  <c r="G24" i="12" s="1"/>
  <c r="G16" i="14" l="1"/>
  <c r="G39" i="12"/>
  <c r="G16" i="15"/>
  <c r="G16" i="13"/>
  <c r="E10" i="9"/>
  <c r="G48" i="12"/>
  <c r="G52" i="12" s="1"/>
  <c r="F10" i="9" l="1"/>
  <c r="D36" i="13"/>
  <c r="G36" i="13" s="1"/>
  <c r="G37" i="13" s="1"/>
  <c r="G46" i="13" s="1"/>
  <c r="G17" i="13"/>
  <c r="D38" i="15"/>
  <c r="G38" i="15" s="1"/>
  <c r="D37" i="14"/>
  <c r="G37" i="14" s="1"/>
  <c r="G45" i="13" l="1"/>
  <c r="G48" i="13" s="1"/>
  <c r="G18" i="13"/>
  <c r="G19" i="13" s="1"/>
  <c r="G20" i="13" s="1"/>
  <c r="G21" i="13" s="1"/>
  <c r="G22" i="13" s="1"/>
  <c r="G23" i="13" s="1"/>
  <c r="G39" i="13" l="1"/>
  <c r="G24" i="13"/>
  <c r="G25" i="13" s="1"/>
  <c r="G50" i="13" l="1"/>
  <c r="G54" i="13" s="1"/>
  <c r="G17" i="15"/>
  <c r="G41" i="13"/>
  <c r="G17" i="14"/>
  <c r="E11" i="9"/>
  <c r="F11" i="9" l="1"/>
  <c r="D38" i="14"/>
  <c r="G38" i="14" s="1"/>
  <c r="G39" i="14" s="1"/>
  <c r="G48" i="14" s="1"/>
  <c r="G18" i="14"/>
  <c r="D39" i="15"/>
  <c r="G39" i="15" s="1"/>
  <c r="G47" i="14" l="1"/>
  <c r="G50" i="14" s="1"/>
  <c r="G19" i="14"/>
  <c r="G20" i="14" s="1"/>
  <c r="G21" i="14" s="1"/>
  <c r="G22" i="14" s="1"/>
  <c r="G23" i="14" s="1"/>
  <c r="G24" i="14" s="1"/>
  <c r="G41" i="14" l="1"/>
  <c r="G25" i="14"/>
  <c r="G26" i="14" s="1"/>
  <c r="G43" i="14" l="1"/>
  <c r="G18" i="15"/>
  <c r="E12" i="9"/>
  <c r="G52" i="14"/>
  <c r="G56" i="14" s="1"/>
  <c r="F12" i="9" l="1"/>
  <c r="D40" i="15"/>
  <c r="G40" i="15" s="1"/>
  <c r="G41" i="15" s="1"/>
  <c r="G50" i="15" s="1"/>
  <c r="G19" i="15"/>
  <c r="G49" i="15" l="1"/>
  <c r="G52" i="15" s="1"/>
  <c r="G20" i="15"/>
  <c r="G21" i="15" s="1"/>
  <c r="G22" i="15" s="1"/>
  <c r="G23" i="15" s="1"/>
  <c r="G24" i="15" s="1"/>
  <c r="G25" i="15" s="1"/>
  <c r="G26" i="15" l="1"/>
  <c r="G27" i="15" s="1"/>
  <c r="G43" i="15"/>
  <c r="G54" i="15" l="1"/>
  <c r="G58" i="15" s="1"/>
  <c r="E13" i="9"/>
  <c r="G45" i="15"/>
  <c r="F13" i="9" l="1"/>
  <c r="E15" i="9"/>
  <c r="E22" i="9" l="1"/>
  <c r="F15" i="9"/>
  <c r="E24" i="9"/>
</calcChain>
</file>

<file path=xl/sharedStrings.xml><?xml version="1.0" encoding="utf-8"?>
<sst xmlns="http://schemas.openxmlformats.org/spreadsheetml/2006/main" count="482" uniqueCount="106">
  <si>
    <t>Billed to Retail</t>
  </si>
  <si>
    <t>EKPC Invoice</t>
  </si>
  <si>
    <t>Consumer &amp;</t>
  </si>
  <si>
    <t>Month recorded</t>
  </si>
  <si>
    <t xml:space="preserve">recorded on </t>
  </si>
  <si>
    <t>Monthly</t>
  </si>
  <si>
    <t>Cumulative</t>
  </si>
  <si>
    <t>Member's Books</t>
  </si>
  <si>
    <t>(Over) or Under</t>
  </si>
  <si>
    <t>Line No.</t>
  </si>
  <si>
    <t>Month &amp; Year</t>
  </si>
  <si>
    <t>(2)</t>
  </si>
  <si>
    <t>(3)</t>
  </si>
  <si>
    <t>(4)</t>
  </si>
  <si>
    <t>(5)</t>
  </si>
  <si>
    <t>Previous (Over)/Under-Recovery Remaining to be Amortized</t>
  </si>
  <si>
    <t>1a</t>
  </si>
  <si>
    <t>1b</t>
  </si>
  <si>
    <t>Total Previous (Over)/Under-Recovery</t>
  </si>
  <si>
    <t>Post</t>
  </si>
  <si>
    <t>Review</t>
  </si>
  <si>
    <t>Amount Per Case</t>
  </si>
  <si>
    <t>Amortization of</t>
  </si>
  <si>
    <t>Order Remaining</t>
  </si>
  <si>
    <t>Previous</t>
  </si>
  <si>
    <t>to be Amortized at</t>
  </si>
  <si>
    <t>(Over)/Under</t>
  </si>
  <si>
    <t>Order Remaining to</t>
  </si>
  <si>
    <t>beginning of Review</t>
  </si>
  <si>
    <t>Recoveries During</t>
  </si>
  <si>
    <t>be Amortized at end</t>
  </si>
  <si>
    <t>Period</t>
  </si>
  <si>
    <t>Review Period</t>
  </si>
  <si>
    <t>of Review Period</t>
  </si>
  <si>
    <t>8a</t>
  </si>
  <si>
    <t>8b</t>
  </si>
  <si>
    <t xml:space="preserve">Total Order amounts remaining - Over/(Under):      </t>
  </si>
  <si>
    <t>Reconciliation:</t>
  </si>
  <si>
    <t>Previous (Over)/Under-Recovery Remaining to be Amortized, beginning of Review Period</t>
  </si>
  <si>
    <t>Previous (Over)/Under-Recovery Remaining to be Amortized, ending of Review Period</t>
  </si>
  <si>
    <t>Total Amortization during Review Period</t>
  </si>
  <si>
    <t>(Over)/Under-Recovery from Column 5, Line 9</t>
  </si>
  <si>
    <t>Less:  Total Monthly (Over)/Under-Recovery for Review Period (Column 4, Lines 2 thru 7)</t>
  </si>
  <si>
    <t>Difference</t>
  </si>
  <si>
    <t>Amortization Detail, Column 3, Line 8:</t>
  </si>
  <si>
    <t>Case No.</t>
  </si>
  <si>
    <t xml:space="preserve">Totals  </t>
  </si>
  <si>
    <t>Cumulative six month (Over)/Under-Recovery [Cumulative net of remaining Case amortizations (Ln 7&amp;8b)]</t>
  </si>
  <si>
    <t>South Kentucky - Calculation of (Over)/Under Recovery</t>
  </si>
  <si>
    <t>From Case No. 2025-00013 (Over)/Under-Recovery</t>
  </si>
  <si>
    <t>Less Adjustment for Order amounts remaining to be amortized at end of review period June 2025</t>
  </si>
  <si>
    <t>Monthly recovery (per month for six months)</t>
  </si>
  <si>
    <t>From Case No. 2025-00013 Recovery</t>
  </si>
  <si>
    <t>2025-00013</t>
  </si>
  <si>
    <t>Staff DR1 Response 2 - South Kentucky Surcharge Summary.xlsx</t>
  </si>
  <si>
    <t>South Kentucky</t>
  </si>
  <si>
    <t>Net (Over)/Under-Recovery of Environmental Surcharge</t>
  </si>
  <si>
    <t>Amount</t>
  </si>
  <si>
    <t>From:</t>
  </si>
  <si>
    <t xml:space="preserve">  Tab "A - 05-31-22", Line No. 9</t>
  </si>
  <si>
    <t xml:space="preserve">  Tab "B - 11-30-22", Line No. 9</t>
  </si>
  <si>
    <t xml:space="preserve">  Tab "C - 05-31-23", Line No. 9</t>
  </si>
  <si>
    <t xml:space="preserve">  Tab "D - 11-30-23", Line No. 9</t>
  </si>
  <si>
    <t xml:space="preserve">  Tab "E - 05-31-24", Line No. 9</t>
  </si>
  <si>
    <t xml:space="preserve">  Tab "F - 11-30-24", Line No. 9</t>
  </si>
  <si>
    <t>Total Net (Over)/Under-Recovery for Review Period</t>
  </si>
  <si>
    <t>Amortization Options for Total Net (Over)/Under-Recovery</t>
  </si>
  <si>
    <t>Traditional 6-Month Amortization Period</t>
  </si>
  <si>
    <t>Option - 12-Month Amortization Period</t>
  </si>
  <si>
    <t>From Case No. 2022-00141 (Over)/Under-Recovery</t>
  </si>
  <si>
    <t>Less Adjustment for Order amounts remaining to be amortized at end of review period June 2022</t>
  </si>
  <si>
    <t>Case No. 2022-00141 Recovery</t>
  </si>
  <si>
    <t>Monthly recovery (per month for six months</t>
  </si>
  <si>
    <t>2022-xx141</t>
  </si>
  <si>
    <t>From Tab "A - 05-31-22" (Over)/Under-Recovery</t>
  </si>
  <si>
    <t>1c</t>
  </si>
  <si>
    <t>Less Adjustment for Order amounts remaining to be amortized at end of review period December 2022</t>
  </si>
  <si>
    <t>From Tab "A - 05-31-22" Recovery</t>
  </si>
  <si>
    <t>8c</t>
  </si>
  <si>
    <t>Cumulative six month (Over)/Under-Recovery [Cumulative net of remaining Case amortizations (Ln 7&amp;8c)]</t>
  </si>
  <si>
    <t>From Tab "B - 11-30-22" (Over)/Under-Recovery</t>
  </si>
  <si>
    <t>1d</t>
  </si>
  <si>
    <t>Less Adjustment for Order amounts remaining to be amortized at end of review period June 2023</t>
  </si>
  <si>
    <t>From Tab "B - 11-30-22" Recovery</t>
  </si>
  <si>
    <t>8d</t>
  </si>
  <si>
    <t>Cumulative six month (Over)/Under-Recovery [Cumulative net of remaining Case amortizations (Ln 7&amp;8d)]</t>
  </si>
  <si>
    <t>From Tab "C - 05-31-23" (Over)/Under-Recovery</t>
  </si>
  <si>
    <t>1e</t>
  </si>
  <si>
    <t>Less Adjustment for Order amounts remaining to be amortized at end of review period December 2023</t>
  </si>
  <si>
    <t>From Case No. 2022-00141 Recovery</t>
  </si>
  <si>
    <t>From Tab "C - 05-31-23" Recovery</t>
  </si>
  <si>
    <t>8e</t>
  </si>
  <si>
    <t>Cumulative six month (Over)/Under-Recovery [Cumulative net of remaining Case amortizations (Ln 7&amp;8e)]</t>
  </si>
  <si>
    <t>From Tab "D - 11-30-23" (Over)/Under-Recovery</t>
  </si>
  <si>
    <t>1f</t>
  </si>
  <si>
    <t>Less Adjustment for Order amounts remaining to be amortized at end of review period June 2024</t>
  </si>
  <si>
    <t>From Tab "D - 11-30-23" Recovery</t>
  </si>
  <si>
    <t>8f</t>
  </si>
  <si>
    <t>Cumulative six month (Over)/Under-Recovery [Cumulative net of remaining Case amortizations (Ln 7&amp;8f)]</t>
  </si>
  <si>
    <t>From Tab "E - 05-31-24" (Over)/Under-Recovery</t>
  </si>
  <si>
    <t>1g</t>
  </si>
  <si>
    <t>Less Adjustment for Order amounts remaining to be amortized at end of review period December 2024</t>
  </si>
  <si>
    <t xml:space="preserve"> </t>
  </si>
  <si>
    <t>From Tab "E - 05-31-24" Recovery</t>
  </si>
  <si>
    <t>8g</t>
  </si>
  <si>
    <t>Cumulative six month (Over)/Under-Recovery [Cumulative net of remaining Case amortizations (Ln 7&amp;8g)]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</si>
</sst>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6" formatCode="&quot;$&quot;#,##0_);[Red]\(&quot;$&quot;#,##0\)"/>
    <numFmt numFmtId="164" formatCode="[$-409]mmm\-yy;@"/>
  </numFmts>
  <fonts count="3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49" fontId="0" fillId="0" borderId="10" xfId="0" applyNumberFormat="1" applyBorder="1" applyAlignment="1">
      <alignment horizontal="center"/>
    </xf>
    <xf numFmtId="0" fontId="0" fillId="0" borderId="12" xfId="0" applyBorder="1"/>
    <xf numFmtId="0" fontId="0" fillId="0" borderId="13" xfId="0" applyBorder="1"/>
    <xf numFmtId="5" fontId="0" fillId="0" borderId="10" xfId="0" applyNumberFormat="1" applyFill="1" applyBorder="1"/>
    <xf numFmtId="0" fontId="0" fillId="0" borderId="4" xfId="0" applyBorder="1"/>
    <xf numFmtId="5" fontId="0" fillId="0" borderId="7" xfId="0" applyNumberFormat="1" applyBorder="1"/>
    <xf numFmtId="164" fontId="0" fillId="0" borderId="7" xfId="0" applyNumberFormat="1" applyBorder="1" applyAlignment="1">
      <alignment horizontal="right"/>
    </xf>
    <xf numFmtId="5" fontId="0" fillId="0" borderId="2" xfId="0" applyNumberFormat="1" applyBorder="1"/>
    <xf numFmtId="164" fontId="0" fillId="0" borderId="8" xfId="0" applyNumberFormat="1" applyBorder="1" applyAlignment="1">
      <alignment horizontal="right"/>
    </xf>
    <xf numFmtId="5" fontId="0" fillId="0" borderId="14" xfId="0" applyNumberFormat="1" applyBorder="1"/>
    <xf numFmtId="5" fontId="0" fillId="0" borderId="8" xfId="0" applyNumberFormat="1" applyBorder="1"/>
    <xf numFmtId="5" fontId="0" fillId="0" borderId="5" xfId="0" applyNumberFormat="1" applyBorder="1"/>
    <xf numFmtId="5" fontId="0" fillId="0" borderId="9" xfId="0" applyNumberFormat="1" applyBorder="1"/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9" xfId="0" applyNumberFormat="1" applyBorder="1" applyAlignment="1">
      <alignment horizontal="right"/>
    </xf>
    <xf numFmtId="0" fontId="0" fillId="2" borderId="9" xfId="0" applyFill="1" applyBorder="1" applyAlignment="1">
      <alignment horizontal="left"/>
    </xf>
    <xf numFmtId="0" fontId="0" fillId="2" borderId="1" xfId="0" applyFill="1" applyBorder="1"/>
    <xf numFmtId="5" fontId="0" fillId="2" borderId="6" xfId="0" applyNumberFormat="1" applyFill="1" applyBorder="1"/>
    <xf numFmtId="5" fontId="0" fillId="0" borderId="8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9" xfId="0" applyBorder="1"/>
    <xf numFmtId="0" fontId="0" fillId="0" borderId="5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0" xfId="0" applyAlignment="1">
      <alignment horizontal="center"/>
    </xf>
    <xf numFmtId="5" fontId="0" fillId="0" borderId="0" xfId="0" applyNumberFormat="1"/>
    <xf numFmtId="0" fontId="0" fillId="0" borderId="11" xfId="0" applyBorder="1"/>
    <xf numFmtId="5" fontId="0" fillId="0" borderId="10" xfId="0" applyNumberFormat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0" borderId="3" xfId="0" applyBorder="1"/>
    <xf numFmtId="0" fontId="0" fillId="0" borderId="0" xfId="0" applyBorder="1"/>
    <xf numFmtId="5" fontId="0" fillId="0" borderId="15" xfId="0" applyNumberFormat="1" applyBorder="1"/>
    <xf numFmtId="5" fontId="0" fillId="0" borderId="6" xfId="0" applyNumberFormat="1" applyBorder="1"/>
    <xf numFmtId="5" fontId="0" fillId="0" borderId="16" xfId="0" applyNumberFormat="1" applyBorder="1"/>
    <xf numFmtId="0" fontId="0" fillId="0" borderId="1" xfId="0" applyBorder="1"/>
    <xf numFmtId="0" fontId="0" fillId="0" borderId="6" xfId="0" applyBorder="1"/>
    <xf numFmtId="5" fontId="0" fillId="0" borderId="7" xfId="0" applyNumberFormat="1" applyFill="1" applyBorder="1"/>
    <xf numFmtId="5" fontId="0" fillId="0" borderId="8" xfId="0" applyNumberFormat="1" applyFill="1" applyBorder="1"/>
    <xf numFmtId="5" fontId="0" fillId="0" borderId="9" xfId="0" applyNumberFormat="1" applyFill="1" applyBorder="1"/>
    <xf numFmtId="0" fontId="0" fillId="0" borderId="10" xfId="0" applyBorder="1" applyAlignment="1">
      <alignment horizontal="right"/>
    </xf>
    <xf numFmtId="0" fontId="0" fillId="0" borderId="9" xfId="0" applyFill="1" applyBorder="1" applyAlignment="1">
      <alignment horizontal="center"/>
    </xf>
    <xf numFmtId="5" fontId="0" fillId="3" borderId="7" xfId="0" applyNumberFormat="1" applyFill="1" applyBorder="1"/>
    <xf numFmtId="5" fontId="0" fillId="3" borderId="2" xfId="0" applyNumberFormat="1" applyFill="1" applyBorder="1"/>
    <xf numFmtId="5" fontId="0" fillId="3" borderId="8" xfId="0" applyNumberFormat="1" applyFill="1" applyBorder="1"/>
    <xf numFmtId="5" fontId="0" fillId="3" borderId="14" xfId="0" applyNumberFormat="1" applyFill="1" applyBorder="1"/>
    <xf numFmtId="0" fontId="0" fillId="0" borderId="10" xfId="0" applyBorder="1"/>
    <xf numFmtId="5" fontId="0" fillId="0" borderId="0" xfId="0" applyNumberFormat="1" applyBorder="1"/>
    <xf numFmtId="0" fontId="0" fillId="0" borderId="0" xfId="0" applyBorder="1" applyAlignment="1">
      <alignment horizontal="center"/>
    </xf>
    <xf numFmtId="5" fontId="0" fillId="0" borderId="14" xfId="0" applyNumberFormat="1" applyFill="1" applyBorder="1"/>
    <xf numFmtId="0" fontId="2" fillId="0" borderId="0" xfId="0" applyFont="1" applyAlignment="1">
      <alignment horizontal="center"/>
    </xf>
    <xf numFmtId="5" fontId="0" fillId="3" borderId="9" xfId="0" applyNumberFormat="1" applyFill="1" applyBorder="1"/>
    <xf numFmtId="5" fontId="0" fillId="3" borderId="5" xfId="0" applyNumberFormat="1" applyFill="1" applyBorder="1"/>
    <xf numFmtId="0" fontId="1" fillId="0" borderId="2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2" borderId="11" xfId="0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0" fontId="0" fillId="2" borderId="13" xfId="0" applyFill="1" applyBorder="1" applyAlignment="1">
      <alignment horizontal="left"/>
    </xf>
    <xf numFmtId="0" fontId="1" fillId="0" borderId="0" xfId="0" applyFont="1" applyAlignment="1">
      <alignment horizontal="center"/>
    </xf>
    <xf numFmtId="0" fontId="0" fillId="0" borderId="17" xfId="0" applyBorder="1" applyAlignment="1">
      <alignment horizontal="center"/>
    </xf>
    <xf numFmtId="6" fontId="0" fillId="0" borderId="0" xfId="0" applyNumberFormat="1"/>
    <xf numFmtId="0" fontId="0" fillId="0" borderId="0" xfId="0" applyAlignment="1">
      <alignment horizontal="right"/>
    </xf>
    <xf numFmtId="6" fontId="0" fillId="0" borderId="18" xfId="0" applyNumberFormat="1" applyBorder="1"/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5" fontId="0" fillId="3" borderId="10" xfId="0" applyNumberFormat="1" applyFill="1" applyBorder="1"/>
    <xf numFmtId="0" fontId="0" fillId="0" borderId="15" xfId="0" applyBorder="1"/>
    <xf numFmtId="0" fontId="0" fillId="0" borderId="2" xfId="0" applyBorder="1"/>
    <xf numFmtId="5" fontId="0" fillId="0" borderId="3" xfId="0" applyNumberFormat="1" applyBorder="1"/>
    <xf numFmtId="5" fontId="0" fillId="0" borderId="4" xfId="0" applyNumberFormat="1" applyBorder="1"/>
    <xf numFmtId="0" fontId="0" fillId="0" borderId="14" xfId="0" applyBorder="1"/>
    <xf numFmtId="0" fontId="0" fillId="0" borderId="5" xfId="0" applyBorder="1"/>
    <xf numFmtId="5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60"/>
  <sheetViews>
    <sheetView tabSelected="1" workbookViewId="0"/>
  </sheetViews>
  <sheetFormatPr defaultColWidth="12.625" defaultRowHeight="14.25" x14ac:dyDescent="0.2"/>
  <cols>
    <col min="2" max="2" width="8.625" customWidth="1"/>
    <col min="3" max="3" width="31.75" customWidth="1"/>
    <col min="4" max="5" width="17.625" customWidth="1"/>
    <col min="6" max="6" width="21.25" customWidth="1"/>
    <col min="7" max="7" width="17.625" customWidth="1"/>
  </cols>
  <sheetData>
    <row r="1" spans="1:8" x14ac:dyDescent="0.2">
      <c r="A1" t="s">
        <v>54</v>
      </c>
    </row>
    <row r="4" spans="1:8" ht="14.25" customHeight="1" x14ac:dyDescent="0.2">
      <c r="B4" s="62" t="s">
        <v>48</v>
      </c>
      <c r="C4" s="63"/>
      <c r="D4" s="63"/>
      <c r="E4" s="63"/>
      <c r="F4" s="63"/>
      <c r="G4" s="64"/>
    </row>
    <row r="5" spans="1:8" ht="14.25" customHeight="1" x14ac:dyDescent="0.2">
      <c r="B5" s="65"/>
      <c r="C5" s="66"/>
      <c r="D5" s="66"/>
      <c r="E5" s="66"/>
      <c r="F5" s="66"/>
      <c r="G5" s="67"/>
    </row>
    <row r="7" spans="1:8" x14ac:dyDescent="0.2">
      <c r="B7" s="1"/>
      <c r="C7" s="1"/>
      <c r="D7" s="1"/>
      <c r="E7" s="2" t="s">
        <v>0</v>
      </c>
      <c r="F7" s="1"/>
      <c r="G7" s="1"/>
    </row>
    <row r="8" spans="1:8" x14ac:dyDescent="0.2">
      <c r="B8" s="3"/>
      <c r="C8" s="3"/>
      <c r="D8" s="4" t="s">
        <v>1</v>
      </c>
      <c r="E8" s="4" t="s">
        <v>2</v>
      </c>
      <c r="F8" s="3"/>
      <c r="G8" s="3"/>
    </row>
    <row r="9" spans="1:8" x14ac:dyDescent="0.2">
      <c r="B9" s="3"/>
      <c r="C9" s="3"/>
      <c r="D9" s="4" t="s">
        <v>3</v>
      </c>
      <c r="E9" s="4" t="s">
        <v>4</v>
      </c>
      <c r="F9" s="4" t="s">
        <v>5</v>
      </c>
      <c r="G9" s="4" t="s">
        <v>6</v>
      </c>
    </row>
    <row r="10" spans="1:8" x14ac:dyDescent="0.2">
      <c r="B10" s="5"/>
      <c r="C10" s="50"/>
      <c r="D10" s="5" t="s">
        <v>7</v>
      </c>
      <c r="E10" s="5" t="s">
        <v>7</v>
      </c>
      <c r="F10" s="5" t="s">
        <v>8</v>
      </c>
      <c r="G10" s="5" t="s">
        <v>8</v>
      </c>
    </row>
    <row r="11" spans="1:8" x14ac:dyDescent="0.2">
      <c r="B11" s="6" t="s">
        <v>9</v>
      </c>
      <c r="C11" s="6" t="s">
        <v>10</v>
      </c>
      <c r="D11" s="7" t="s">
        <v>11</v>
      </c>
      <c r="E11" s="7" t="s">
        <v>12</v>
      </c>
      <c r="F11" s="7" t="s">
        <v>13</v>
      </c>
      <c r="G11" s="7" t="s">
        <v>14</v>
      </c>
    </row>
    <row r="12" spans="1:8" x14ac:dyDescent="0.2">
      <c r="B12" s="2">
        <v>1</v>
      </c>
      <c r="C12" s="68" t="s">
        <v>15</v>
      </c>
      <c r="D12" s="69"/>
      <c r="E12" s="69"/>
      <c r="F12" s="69"/>
      <c r="G12" s="70"/>
    </row>
    <row r="13" spans="1:8" x14ac:dyDescent="0.2">
      <c r="B13" s="2" t="s">
        <v>16</v>
      </c>
      <c r="C13" s="8" t="s">
        <v>49</v>
      </c>
      <c r="D13" s="8"/>
      <c r="E13" s="8"/>
      <c r="F13" s="9"/>
      <c r="G13" s="10">
        <v>-1038492</v>
      </c>
    </row>
    <row r="14" spans="1:8" x14ac:dyDescent="0.2">
      <c r="A14" s="59"/>
      <c r="B14" s="5" t="s">
        <v>17</v>
      </c>
      <c r="C14" s="8" t="s">
        <v>18</v>
      </c>
      <c r="D14" s="8"/>
      <c r="E14" s="8"/>
      <c r="F14" s="11"/>
      <c r="G14" s="12">
        <f>G13</f>
        <v>-1038492</v>
      </c>
      <c r="H14" s="59"/>
    </row>
    <row r="15" spans="1:8" x14ac:dyDescent="0.2">
      <c r="A15" s="32"/>
      <c r="B15" s="4">
        <v>2</v>
      </c>
      <c r="C15" s="13">
        <v>45658</v>
      </c>
      <c r="D15" s="51">
        <f>2781862-1923</f>
        <v>2779939</v>
      </c>
      <c r="E15" s="52">
        <v>2250594.52</v>
      </c>
      <c r="F15" s="14">
        <f t="shared" ref="F15:F22" si="0">D15-E15</f>
        <v>529344.48</v>
      </c>
      <c r="G15" s="12">
        <f t="shared" ref="G15:G22" si="1">G14+F15</f>
        <v>-509147.52</v>
      </c>
      <c r="H15" s="32"/>
    </row>
    <row r="16" spans="1:8" x14ac:dyDescent="0.2">
      <c r="B16" s="4">
        <v>3</v>
      </c>
      <c r="C16" s="15">
        <v>45689</v>
      </c>
      <c r="D16" s="53">
        <f>1937702-1452</f>
        <v>1936250</v>
      </c>
      <c r="E16" s="54">
        <f>2225660.74</f>
        <v>2225660.7400000002</v>
      </c>
      <c r="F16" s="16">
        <f t="shared" si="0"/>
        <v>-289410.74000000022</v>
      </c>
      <c r="G16" s="17">
        <f t="shared" si="1"/>
        <v>-798558.26000000024</v>
      </c>
    </row>
    <row r="17" spans="2:7" x14ac:dyDescent="0.2">
      <c r="B17" s="4">
        <v>4</v>
      </c>
      <c r="C17" s="15">
        <v>45717</v>
      </c>
      <c r="D17" s="53">
        <f>759368-827</f>
        <v>758541</v>
      </c>
      <c r="E17" s="54">
        <v>1395332.78</v>
      </c>
      <c r="F17" s="16">
        <f t="shared" si="0"/>
        <v>-636791.78</v>
      </c>
      <c r="G17" s="17">
        <f t="shared" si="1"/>
        <v>-1435350.0400000003</v>
      </c>
    </row>
    <row r="18" spans="2:7" x14ac:dyDescent="0.2">
      <c r="B18" s="4">
        <v>5</v>
      </c>
      <c r="C18" s="15">
        <v>45748</v>
      </c>
      <c r="D18" s="53">
        <f>798356-1144</f>
        <v>797212</v>
      </c>
      <c r="E18" s="54">
        <v>758487.29</v>
      </c>
      <c r="F18" s="16">
        <f t="shared" si="0"/>
        <v>38724.709999999963</v>
      </c>
      <c r="G18" s="17">
        <f t="shared" si="1"/>
        <v>-1396625.3300000003</v>
      </c>
    </row>
    <row r="19" spans="2:7" x14ac:dyDescent="0.2">
      <c r="B19" s="4">
        <v>6</v>
      </c>
      <c r="C19" s="15">
        <v>45778</v>
      </c>
      <c r="D19" s="53">
        <f>1048393-1716</f>
        <v>1046677</v>
      </c>
      <c r="E19" s="54">
        <v>856076.87</v>
      </c>
      <c r="F19" s="16">
        <f t="shared" si="0"/>
        <v>190600.13</v>
      </c>
      <c r="G19" s="17">
        <f t="shared" si="1"/>
        <v>-1206025.2000000002</v>
      </c>
    </row>
    <row r="20" spans="2:7" x14ac:dyDescent="0.2">
      <c r="B20" s="4">
        <v>7</v>
      </c>
      <c r="C20" s="15">
        <v>45809</v>
      </c>
      <c r="D20" s="53">
        <f>1567547-2018</f>
        <v>1565529</v>
      </c>
      <c r="E20" s="54">
        <v>1351225.82</v>
      </c>
      <c r="F20" s="18">
        <f t="shared" si="0"/>
        <v>214303.17999999993</v>
      </c>
      <c r="G20" s="19">
        <f t="shared" si="1"/>
        <v>-991722.02000000025</v>
      </c>
    </row>
    <row r="21" spans="2:7" x14ac:dyDescent="0.2">
      <c r="B21" s="20" t="s">
        <v>19</v>
      </c>
      <c r="C21" s="13">
        <v>45839</v>
      </c>
      <c r="D21" s="51">
        <f>2191697-0</f>
        <v>2191697</v>
      </c>
      <c r="E21" s="52">
        <v>1787544.96</v>
      </c>
      <c r="F21" s="14">
        <f t="shared" si="0"/>
        <v>404152.04000000004</v>
      </c>
      <c r="G21" s="12">
        <f t="shared" si="1"/>
        <v>-587569.98000000021</v>
      </c>
    </row>
    <row r="22" spans="2:7" x14ac:dyDescent="0.2">
      <c r="B22" s="21" t="s">
        <v>20</v>
      </c>
      <c r="C22" s="22">
        <v>45870</v>
      </c>
      <c r="D22" s="60">
        <f>1720048-0</f>
        <v>1720048</v>
      </c>
      <c r="E22" s="61">
        <v>2096605.66</v>
      </c>
      <c r="F22" s="18">
        <f t="shared" si="0"/>
        <v>-376557.65999999992</v>
      </c>
      <c r="G22" s="19">
        <f t="shared" si="1"/>
        <v>-964127.64000000013</v>
      </c>
    </row>
    <row r="23" spans="2:7" x14ac:dyDescent="0.2">
      <c r="B23" s="5"/>
      <c r="C23" s="23" t="s">
        <v>50</v>
      </c>
      <c r="D23" s="24"/>
      <c r="E23" s="24"/>
      <c r="F23" s="24"/>
      <c r="G23" s="25"/>
    </row>
    <row r="24" spans="2:7" x14ac:dyDescent="0.2">
      <c r="B24" s="2"/>
      <c r="C24" s="1"/>
      <c r="D24" s="1"/>
      <c r="E24" s="1"/>
      <c r="F24" s="1"/>
      <c r="G24" s="12"/>
    </row>
    <row r="25" spans="2:7" x14ac:dyDescent="0.2">
      <c r="B25" s="4"/>
      <c r="C25" s="3"/>
      <c r="D25" s="4" t="s">
        <v>21</v>
      </c>
      <c r="E25" s="4" t="s">
        <v>22</v>
      </c>
      <c r="F25" s="3"/>
      <c r="G25" s="17"/>
    </row>
    <row r="26" spans="2:7" x14ac:dyDescent="0.2">
      <c r="B26" s="4">
        <v>8</v>
      </c>
      <c r="C26" s="3"/>
      <c r="D26" s="4" t="s">
        <v>23</v>
      </c>
      <c r="E26" s="4" t="s">
        <v>24</v>
      </c>
      <c r="F26" s="3"/>
      <c r="G26" s="26" t="s">
        <v>21</v>
      </c>
    </row>
    <row r="27" spans="2:7" x14ac:dyDescent="0.2">
      <c r="B27" s="4"/>
      <c r="C27" s="3"/>
      <c r="D27" s="4" t="s">
        <v>25</v>
      </c>
      <c r="E27" s="4" t="s">
        <v>26</v>
      </c>
      <c r="F27" s="3"/>
      <c r="G27" s="26" t="s">
        <v>27</v>
      </c>
    </row>
    <row r="28" spans="2:7" x14ac:dyDescent="0.2">
      <c r="B28" s="4"/>
      <c r="C28" s="3"/>
      <c r="D28" s="4" t="s">
        <v>28</v>
      </c>
      <c r="E28" s="4" t="s">
        <v>29</v>
      </c>
      <c r="F28" s="3"/>
      <c r="G28" s="26" t="s">
        <v>30</v>
      </c>
    </row>
    <row r="29" spans="2:7" x14ac:dyDescent="0.2">
      <c r="B29" s="5"/>
      <c r="C29" s="3"/>
      <c r="D29" s="4" t="s">
        <v>31</v>
      </c>
      <c r="E29" s="4" t="s">
        <v>32</v>
      </c>
      <c r="F29" s="3"/>
      <c r="G29" s="26" t="s">
        <v>33</v>
      </c>
    </row>
    <row r="30" spans="2:7" x14ac:dyDescent="0.2">
      <c r="B30" s="20" t="s">
        <v>34</v>
      </c>
      <c r="C30" s="55" t="s">
        <v>52</v>
      </c>
      <c r="D30" s="35">
        <f>-G13</f>
        <v>1038492</v>
      </c>
      <c r="E30" s="35">
        <f>D60</f>
        <v>0</v>
      </c>
      <c r="F30" s="55"/>
      <c r="G30" s="35">
        <f t="shared" ref="G30" si="2">D30+E30</f>
        <v>1038492</v>
      </c>
    </row>
    <row r="31" spans="2:7" x14ac:dyDescent="0.2">
      <c r="B31" s="5" t="s">
        <v>35</v>
      </c>
      <c r="C31" s="29"/>
      <c r="D31" s="30"/>
      <c r="E31" s="30"/>
      <c r="F31" s="31" t="s">
        <v>36</v>
      </c>
      <c r="G31" s="19">
        <f>G30</f>
        <v>1038492</v>
      </c>
    </row>
    <row r="32" spans="2:7" x14ac:dyDescent="0.2">
      <c r="B32" s="32"/>
      <c r="G32" s="33"/>
    </row>
    <row r="33" spans="2:7" x14ac:dyDescent="0.2">
      <c r="B33" s="6">
        <v>9</v>
      </c>
      <c r="C33" s="34" t="s">
        <v>47</v>
      </c>
      <c r="D33" s="8"/>
      <c r="E33" s="8"/>
      <c r="F33" s="9"/>
      <c r="G33" s="35">
        <f>G20+G31</f>
        <v>46769.979999999749</v>
      </c>
    </row>
    <row r="34" spans="2:7" x14ac:dyDescent="0.2">
      <c r="B34" s="32"/>
      <c r="G34" s="33"/>
    </row>
    <row r="35" spans="2:7" x14ac:dyDescent="0.2">
      <c r="B35" s="6">
        <v>10</v>
      </c>
      <c r="C35" s="34" t="s">
        <v>51</v>
      </c>
      <c r="D35" s="8"/>
      <c r="E35" s="8"/>
      <c r="F35" s="9"/>
      <c r="G35" s="35">
        <f>G33/6</f>
        <v>7794.9966666666251</v>
      </c>
    </row>
    <row r="37" spans="2:7" x14ac:dyDescent="0.2">
      <c r="B37" s="1"/>
      <c r="C37" s="36" t="s">
        <v>37</v>
      </c>
      <c r="D37" s="37"/>
      <c r="E37" s="37"/>
      <c r="F37" s="37"/>
      <c r="G37" s="38"/>
    </row>
    <row r="38" spans="2:7" x14ac:dyDescent="0.2">
      <c r="B38" s="1"/>
      <c r="C38" s="39"/>
      <c r="D38" s="39"/>
      <c r="E38" s="39"/>
      <c r="F38" s="39"/>
      <c r="G38" s="11"/>
    </row>
    <row r="39" spans="2:7" x14ac:dyDescent="0.2">
      <c r="B39" s="4">
        <v>11</v>
      </c>
      <c r="C39" s="40" t="s">
        <v>38</v>
      </c>
      <c r="D39" s="40"/>
      <c r="E39" s="40"/>
      <c r="F39" s="40"/>
      <c r="G39" s="41">
        <f>G14</f>
        <v>-1038492</v>
      </c>
    </row>
    <row r="40" spans="2:7" x14ac:dyDescent="0.2">
      <c r="B40" s="4">
        <v>12</v>
      </c>
      <c r="C40" s="40" t="s">
        <v>39</v>
      </c>
      <c r="D40" s="40"/>
      <c r="E40" s="40"/>
      <c r="F40" s="40"/>
      <c r="G40" s="42">
        <f>G31</f>
        <v>1038492</v>
      </c>
    </row>
    <row r="41" spans="2:7" x14ac:dyDescent="0.2">
      <c r="B41" s="4"/>
      <c r="C41" s="40"/>
      <c r="D41" s="40"/>
      <c r="E41" s="40"/>
      <c r="F41" s="40"/>
      <c r="G41" s="41"/>
    </row>
    <row r="42" spans="2:7" ht="15" thickBot="1" x14ac:dyDescent="0.25">
      <c r="B42" s="4">
        <v>13</v>
      </c>
      <c r="C42" s="40" t="s">
        <v>40</v>
      </c>
      <c r="D42" s="40"/>
      <c r="E42" s="40"/>
      <c r="F42" s="40"/>
      <c r="G42" s="43">
        <f>G39+G40</f>
        <v>0</v>
      </c>
    </row>
    <row r="43" spans="2:7" ht="15" thickTop="1" x14ac:dyDescent="0.2">
      <c r="B43" s="4"/>
      <c r="C43" s="40"/>
      <c r="D43" s="40"/>
      <c r="E43" s="40"/>
      <c r="F43" s="40"/>
      <c r="G43" s="41"/>
    </row>
    <row r="44" spans="2:7" x14ac:dyDescent="0.2">
      <c r="B44" s="4">
        <v>14</v>
      </c>
      <c r="C44" s="40" t="s">
        <v>41</v>
      </c>
      <c r="D44" s="40"/>
      <c r="E44" s="40"/>
      <c r="F44" s="40"/>
      <c r="G44" s="41">
        <f>G33</f>
        <v>46769.979999999749</v>
      </c>
    </row>
    <row r="45" spans="2:7" x14ac:dyDescent="0.2">
      <c r="B45" s="4"/>
      <c r="C45" s="40"/>
      <c r="D45" s="40"/>
      <c r="E45" s="40"/>
      <c r="F45" s="40"/>
      <c r="G45" s="41"/>
    </row>
    <row r="46" spans="2:7" x14ac:dyDescent="0.2">
      <c r="B46" s="4">
        <v>15</v>
      </c>
      <c r="C46" s="40" t="s">
        <v>42</v>
      </c>
      <c r="D46" s="40"/>
      <c r="E46" s="40"/>
      <c r="F46" s="40"/>
      <c r="G46" s="42">
        <f>SUM(F15:F20)</f>
        <v>46769.979999999632</v>
      </c>
    </row>
    <row r="47" spans="2:7" x14ac:dyDescent="0.2">
      <c r="B47" s="4"/>
      <c r="C47" s="40"/>
      <c r="D47" s="40"/>
      <c r="E47" s="40"/>
      <c r="F47" s="40"/>
      <c r="G47" s="41"/>
    </row>
    <row r="48" spans="2:7" ht="15" thickBot="1" x14ac:dyDescent="0.25">
      <c r="B48" s="4">
        <v>16</v>
      </c>
      <c r="C48" s="40" t="s">
        <v>43</v>
      </c>
      <c r="D48" s="40"/>
      <c r="E48" s="40"/>
      <c r="F48" s="40"/>
      <c r="G48" s="43">
        <f>G44-G46</f>
        <v>1.1641532182693481E-10</v>
      </c>
    </row>
    <row r="49" spans="2:7" ht="15" thickTop="1" x14ac:dyDescent="0.2">
      <c r="B49" s="28"/>
      <c r="C49" s="44"/>
      <c r="D49" s="44"/>
      <c r="E49" s="44"/>
      <c r="F49" s="44"/>
      <c r="G49" s="45"/>
    </row>
    <row r="51" spans="2:7" x14ac:dyDescent="0.2">
      <c r="B51" t="s">
        <v>44</v>
      </c>
    </row>
    <row r="52" spans="2:7" x14ac:dyDescent="0.2">
      <c r="B52" s="32"/>
      <c r="C52" s="1"/>
      <c r="D52" s="2" t="s">
        <v>45</v>
      </c>
      <c r="E52" s="27"/>
      <c r="F52" s="57"/>
      <c r="G52" s="57"/>
    </row>
    <row r="53" spans="2:7" x14ac:dyDescent="0.2">
      <c r="B53" s="32"/>
      <c r="C53" s="5" t="s">
        <v>10</v>
      </c>
      <c r="D53" s="5" t="s">
        <v>53</v>
      </c>
      <c r="E53" s="27"/>
      <c r="F53" s="57"/>
      <c r="G53" s="57"/>
    </row>
    <row r="54" spans="2:7" x14ac:dyDescent="0.2">
      <c r="C54" s="13">
        <v>45658</v>
      </c>
      <c r="D54" s="46">
        <v>0</v>
      </c>
      <c r="E54" s="58"/>
      <c r="F54" s="56"/>
      <c r="G54" s="56"/>
    </row>
    <row r="55" spans="2:7" x14ac:dyDescent="0.2">
      <c r="C55" s="15">
        <v>45689</v>
      </c>
      <c r="D55" s="47">
        <v>0</v>
      </c>
      <c r="E55" s="58"/>
      <c r="F55" s="56"/>
      <c r="G55" s="56"/>
    </row>
    <row r="56" spans="2:7" x14ac:dyDescent="0.2">
      <c r="C56" s="15">
        <v>45717</v>
      </c>
      <c r="D56" s="47">
        <v>0</v>
      </c>
      <c r="E56" s="58"/>
      <c r="F56" s="56"/>
      <c r="G56" s="56"/>
    </row>
    <row r="57" spans="2:7" x14ac:dyDescent="0.2">
      <c r="C57" s="15">
        <v>45748</v>
      </c>
      <c r="D57" s="47">
        <v>0</v>
      </c>
      <c r="E57" s="58"/>
      <c r="F57" s="56"/>
      <c r="G57" s="56"/>
    </row>
    <row r="58" spans="2:7" x14ac:dyDescent="0.2">
      <c r="C58" s="15">
        <v>45778</v>
      </c>
      <c r="D58" s="47">
        <v>0</v>
      </c>
      <c r="E58" s="58"/>
      <c r="F58" s="56"/>
      <c r="G58" s="56"/>
    </row>
    <row r="59" spans="2:7" x14ac:dyDescent="0.2">
      <c r="C59" s="15">
        <v>45809</v>
      </c>
      <c r="D59" s="48">
        <v>0</v>
      </c>
      <c r="E59" s="58"/>
      <c r="F59" s="56"/>
      <c r="G59" s="56"/>
    </row>
    <row r="60" spans="2:7" x14ac:dyDescent="0.2">
      <c r="C60" s="49" t="s">
        <v>46</v>
      </c>
      <c r="D60" s="35">
        <f>SUM(D54:D59)</f>
        <v>0</v>
      </c>
      <c r="E60" s="16"/>
      <c r="F60" s="56"/>
      <c r="G60" s="56"/>
    </row>
  </sheetData>
  <mergeCells count="2">
    <mergeCell ref="B4:G5"/>
    <mergeCell ref="C12:G12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AE6BF-8A2B-4371-80FF-DD5ED36A14B4}">
  <dimension ref="A1:F25"/>
  <sheetViews>
    <sheetView workbookViewId="0">
      <selection activeCell="A2" sqref="A2"/>
    </sheetView>
  </sheetViews>
  <sheetFormatPr defaultColWidth="15.625" defaultRowHeight="14.25" x14ac:dyDescent="0.2"/>
  <sheetData>
    <row r="1" spans="1:6" x14ac:dyDescent="0.2">
      <c r="A1" t="str">
        <f>'Current 05-31-25'!$A$1</f>
        <v>Staff DR1 Response 2 - South Kentucky Surcharge Summary.xlsx</v>
      </c>
    </row>
    <row r="3" spans="1:6" ht="15" x14ac:dyDescent="0.25">
      <c r="C3" s="71" t="s">
        <v>55</v>
      </c>
      <c r="D3" s="71"/>
      <c r="E3" s="71"/>
    </row>
    <row r="4" spans="1:6" ht="15" x14ac:dyDescent="0.25">
      <c r="B4" s="71" t="s">
        <v>56</v>
      </c>
      <c r="C4" s="71"/>
      <c r="D4" s="71"/>
      <c r="E4" s="71"/>
      <c r="F4" s="71"/>
    </row>
    <row r="6" spans="1:6" ht="15" thickBot="1" x14ac:dyDescent="0.25">
      <c r="E6" s="72" t="s">
        <v>57</v>
      </c>
    </row>
    <row r="7" spans="1:6" x14ac:dyDescent="0.2">
      <c r="B7" t="s">
        <v>58</v>
      </c>
    </row>
    <row r="8" spans="1:6" x14ac:dyDescent="0.2">
      <c r="B8" t="s">
        <v>59</v>
      </c>
      <c r="E8" s="73">
        <f>'A - 05-31-22'!G33</f>
        <v>-458509.94999999995</v>
      </c>
      <c r="F8" s="74" t="str">
        <f>IF(E8&gt;0,"Under-Recovery","Over-Recovery")</f>
        <v>Over-Recovery</v>
      </c>
    </row>
    <row r="9" spans="1:6" x14ac:dyDescent="0.2">
      <c r="B9" t="s">
        <v>60</v>
      </c>
      <c r="E9" s="73">
        <f>'B - 11-30-22'!G35</f>
        <v>-10292.059999999939</v>
      </c>
      <c r="F9" s="74" t="str">
        <f t="shared" ref="F9:F13" si="0">IF(E9&gt;0,"Under-Recovery","Over-Recovery")</f>
        <v>Over-Recovery</v>
      </c>
    </row>
    <row r="10" spans="1:6" x14ac:dyDescent="0.2">
      <c r="B10" t="s">
        <v>61</v>
      </c>
      <c r="E10" s="73">
        <f>'C - 05-31-23'!G37</f>
        <v>-807234.47000000009</v>
      </c>
      <c r="F10" s="74" t="str">
        <f t="shared" si="0"/>
        <v>Over-Recovery</v>
      </c>
    </row>
    <row r="11" spans="1:6" x14ac:dyDescent="0.2">
      <c r="B11" t="s">
        <v>62</v>
      </c>
      <c r="E11" s="73">
        <f>'D - 11-30-23'!G39</f>
        <v>-23630.150000000256</v>
      </c>
      <c r="F11" s="74" t="str">
        <f t="shared" si="0"/>
        <v>Over-Recovery</v>
      </c>
    </row>
    <row r="12" spans="1:6" x14ac:dyDescent="0.2">
      <c r="B12" t="s">
        <v>63</v>
      </c>
      <c r="E12" s="73">
        <f>'E - 05-31-24'!G41</f>
        <v>680375.22000000009</v>
      </c>
      <c r="F12" s="74" t="str">
        <f t="shared" si="0"/>
        <v>Under-Recovery</v>
      </c>
    </row>
    <row r="13" spans="1:6" x14ac:dyDescent="0.2">
      <c r="B13" t="s">
        <v>64</v>
      </c>
      <c r="E13" s="73">
        <f>'F - 11-30-24'!G43</f>
        <v>-419200.9800000001</v>
      </c>
      <c r="F13" s="74" t="str">
        <f t="shared" si="0"/>
        <v>Over-Recovery</v>
      </c>
    </row>
    <row r="14" spans="1:6" x14ac:dyDescent="0.2">
      <c r="E14" s="73"/>
    </row>
    <row r="15" spans="1:6" ht="15" thickBot="1" x14ac:dyDescent="0.25">
      <c r="B15" t="s">
        <v>65</v>
      </c>
      <c r="E15" s="75">
        <f>SUM(E8:E13)</f>
        <v>-1038492.3900000004</v>
      </c>
      <c r="F15" s="74" t="str">
        <f>IF(E15&gt;0,"Under-Recovery","Over-Recovery")</f>
        <v>Over-Recovery</v>
      </c>
    </row>
    <row r="16" spans="1:6" ht="15" thickTop="1" x14ac:dyDescent="0.2"/>
    <row r="20" spans="2:6" ht="15" x14ac:dyDescent="0.25">
      <c r="B20" s="71" t="s">
        <v>66</v>
      </c>
      <c r="C20" s="71"/>
      <c r="D20" s="71"/>
      <c r="E20" s="71"/>
      <c r="F20" s="71"/>
    </row>
    <row r="22" spans="2:6" x14ac:dyDescent="0.2">
      <c r="B22" t="s">
        <v>67</v>
      </c>
      <c r="E22" s="73">
        <f>ROUND(E15/6,0)</f>
        <v>-173082</v>
      </c>
    </row>
    <row r="23" spans="2:6" x14ac:dyDescent="0.2">
      <c r="E23" s="73"/>
    </row>
    <row r="24" spans="2:6" x14ac:dyDescent="0.2">
      <c r="B24" t="s">
        <v>68</v>
      </c>
      <c r="E24" s="73">
        <f>ROUND(E15/12,0)</f>
        <v>-86541</v>
      </c>
    </row>
    <row r="25" spans="2:6" x14ac:dyDescent="0.2">
      <c r="E25" s="73"/>
    </row>
  </sheetData>
  <mergeCells count="3">
    <mergeCell ref="C3:E3"/>
    <mergeCell ref="B4:F4"/>
    <mergeCell ref="B20:F20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F67DD-6073-4BA8-BCE7-CEB1AE56EC8D}">
  <dimension ref="A1:G60"/>
  <sheetViews>
    <sheetView workbookViewId="0"/>
  </sheetViews>
  <sheetFormatPr defaultColWidth="12.625" defaultRowHeight="14.25" x14ac:dyDescent="0.2"/>
  <cols>
    <col min="2" max="2" width="8.625" customWidth="1"/>
    <col min="3" max="3" width="30.625" customWidth="1"/>
    <col min="4" max="5" width="17.625" customWidth="1"/>
    <col min="6" max="6" width="21.125" customWidth="1"/>
    <col min="7" max="7" width="17.625" customWidth="1"/>
  </cols>
  <sheetData>
    <row r="1" spans="1:7" x14ac:dyDescent="0.2">
      <c r="A1" t="str">
        <f>'Current 05-31-25'!$A$1</f>
        <v>Staff DR1 Response 2 - South Kentucky Surcharge Summary.xlsx</v>
      </c>
    </row>
    <row r="4" spans="1:7" ht="14.25" customHeight="1" x14ac:dyDescent="0.2">
      <c r="B4" s="76" t="s">
        <v>48</v>
      </c>
      <c r="C4" s="77"/>
      <c r="D4" s="77"/>
      <c r="E4" s="77"/>
      <c r="F4" s="77"/>
      <c r="G4" s="78"/>
    </row>
    <row r="5" spans="1:7" ht="14.25" customHeight="1" x14ac:dyDescent="0.2">
      <c r="B5" s="79"/>
      <c r="C5" s="80"/>
      <c r="D5" s="80"/>
      <c r="E5" s="80"/>
      <c r="F5" s="80"/>
      <c r="G5" s="81"/>
    </row>
    <row r="7" spans="1:7" x14ac:dyDescent="0.2">
      <c r="B7" s="1"/>
      <c r="C7" s="1"/>
      <c r="D7" s="1"/>
      <c r="E7" s="2" t="s">
        <v>0</v>
      </c>
      <c r="F7" s="1"/>
      <c r="G7" s="1"/>
    </row>
    <row r="8" spans="1:7" x14ac:dyDescent="0.2">
      <c r="B8" s="3"/>
      <c r="C8" s="3"/>
      <c r="D8" s="4" t="s">
        <v>1</v>
      </c>
      <c r="E8" s="4" t="s">
        <v>2</v>
      </c>
      <c r="F8" s="3"/>
      <c r="G8" s="3"/>
    </row>
    <row r="9" spans="1:7" x14ac:dyDescent="0.2">
      <c r="B9" s="3"/>
      <c r="C9" s="3"/>
      <c r="D9" s="4" t="s">
        <v>3</v>
      </c>
      <c r="E9" s="4" t="s">
        <v>4</v>
      </c>
      <c r="F9" s="4" t="s">
        <v>5</v>
      </c>
      <c r="G9" s="4" t="s">
        <v>6</v>
      </c>
    </row>
    <row r="10" spans="1:7" x14ac:dyDescent="0.2">
      <c r="B10" s="5"/>
      <c r="C10" s="5"/>
      <c r="D10" s="5" t="s">
        <v>7</v>
      </c>
      <c r="E10" s="5" t="s">
        <v>7</v>
      </c>
      <c r="F10" s="5" t="s">
        <v>8</v>
      </c>
      <c r="G10" s="5" t="s">
        <v>8</v>
      </c>
    </row>
    <row r="11" spans="1:7" x14ac:dyDescent="0.2">
      <c r="B11" s="6" t="s">
        <v>9</v>
      </c>
      <c r="C11" s="6" t="s">
        <v>10</v>
      </c>
      <c r="D11" s="7" t="s">
        <v>11</v>
      </c>
      <c r="E11" s="7" t="s">
        <v>12</v>
      </c>
      <c r="F11" s="7" t="s">
        <v>13</v>
      </c>
      <c r="G11" s="7" t="s">
        <v>14</v>
      </c>
    </row>
    <row r="12" spans="1:7" x14ac:dyDescent="0.2">
      <c r="B12" s="2">
        <v>1</v>
      </c>
      <c r="C12" s="68" t="s">
        <v>15</v>
      </c>
      <c r="D12" s="69"/>
      <c r="E12" s="69"/>
      <c r="F12" s="69"/>
      <c r="G12" s="70"/>
    </row>
    <row r="13" spans="1:7" x14ac:dyDescent="0.2">
      <c r="B13" s="2" t="s">
        <v>16</v>
      </c>
      <c r="C13" s="8" t="s">
        <v>69</v>
      </c>
      <c r="D13" s="8"/>
      <c r="E13" s="8"/>
      <c r="F13" s="9"/>
      <c r="G13" s="35">
        <v>863830</v>
      </c>
    </row>
    <row r="14" spans="1:7" x14ac:dyDescent="0.2">
      <c r="B14" s="5" t="s">
        <v>17</v>
      </c>
      <c r="C14" s="8" t="s">
        <v>18</v>
      </c>
      <c r="D14" s="8"/>
      <c r="E14" s="8"/>
      <c r="F14" s="11"/>
      <c r="G14" s="12">
        <f>G13</f>
        <v>863830</v>
      </c>
    </row>
    <row r="15" spans="1:7" x14ac:dyDescent="0.2">
      <c r="B15" s="4">
        <v>2</v>
      </c>
      <c r="C15" s="13">
        <v>44562</v>
      </c>
      <c r="D15" s="51">
        <f>1608521-1187</f>
        <v>1607334</v>
      </c>
      <c r="E15" s="52">
        <v>1935359.4</v>
      </c>
      <c r="F15" s="14">
        <f t="shared" ref="F15:F22" si="0">D15-E15</f>
        <v>-328025.39999999991</v>
      </c>
      <c r="G15" s="12">
        <f t="shared" ref="G15:G22" si="1">G14+F15</f>
        <v>535804.60000000009</v>
      </c>
    </row>
    <row r="16" spans="1:7" x14ac:dyDescent="0.2">
      <c r="B16" s="4">
        <v>3</v>
      </c>
      <c r="C16" s="15">
        <v>44593</v>
      </c>
      <c r="D16" s="53">
        <f>1267168-580</f>
        <v>1266588</v>
      </c>
      <c r="E16" s="54">
        <v>1672965.23</v>
      </c>
      <c r="F16" s="16">
        <f t="shared" si="0"/>
        <v>-406377.23</v>
      </c>
      <c r="G16" s="17">
        <f t="shared" si="1"/>
        <v>129427.37000000011</v>
      </c>
    </row>
    <row r="17" spans="2:7" x14ac:dyDescent="0.2">
      <c r="B17" s="4">
        <v>4</v>
      </c>
      <c r="C17" s="15">
        <v>44621</v>
      </c>
      <c r="D17" s="53">
        <f>853313-902</f>
        <v>852411</v>
      </c>
      <c r="E17" s="54">
        <v>1108613.83</v>
      </c>
      <c r="F17" s="16">
        <f t="shared" si="0"/>
        <v>-256202.83000000007</v>
      </c>
      <c r="G17" s="17">
        <f t="shared" si="1"/>
        <v>-126775.45999999996</v>
      </c>
    </row>
    <row r="18" spans="2:7" x14ac:dyDescent="0.2">
      <c r="B18" s="4">
        <v>5</v>
      </c>
      <c r="C18" s="15">
        <v>44652</v>
      </c>
      <c r="D18" s="53">
        <f>1008220-1326</f>
        <v>1006894</v>
      </c>
      <c r="E18" s="54">
        <v>770086.19</v>
      </c>
      <c r="F18" s="16">
        <f t="shared" si="0"/>
        <v>236807.81000000006</v>
      </c>
      <c r="G18" s="17">
        <f t="shared" si="1"/>
        <v>110032.35000000009</v>
      </c>
    </row>
    <row r="19" spans="2:7" x14ac:dyDescent="0.2">
      <c r="B19" s="4">
        <v>6</v>
      </c>
      <c r="C19" s="15">
        <v>44682</v>
      </c>
      <c r="D19" s="53">
        <f>1065976-1415</f>
        <v>1064561</v>
      </c>
      <c r="E19" s="54">
        <v>1049421.7</v>
      </c>
      <c r="F19" s="16">
        <f t="shared" si="0"/>
        <v>15139.300000000047</v>
      </c>
      <c r="G19" s="17">
        <f t="shared" si="1"/>
        <v>125171.65000000014</v>
      </c>
    </row>
    <row r="20" spans="2:7" x14ac:dyDescent="0.2">
      <c r="B20" s="4">
        <v>7</v>
      </c>
      <c r="C20" s="15">
        <v>44713</v>
      </c>
      <c r="D20" s="53">
        <f>1475144-168</f>
        <v>1474976</v>
      </c>
      <c r="E20" s="54">
        <v>1194827.6000000001</v>
      </c>
      <c r="F20" s="18">
        <f t="shared" si="0"/>
        <v>280148.39999999991</v>
      </c>
      <c r="G20" s="19">
        <f t="shared" si="1"/>
        <v>405320.05000000005</v>
      </c>
    </row>
    <row r="21" spans="2:7" x14ac:dyDescent="0.2">
      <c r="B21" s="20" t="s">
        <v>19</v>
      </c>
      <c r="C21" s="13">
        <v>44743</v>
      </c>
      <c r="D21" s="51">
        <f>1660125-1535</f>
        <v>1658590</v>
      </c>
      <c r="E21" s="52">
        <v>1595907.66</v>
      </c>
      <c r="F21" s="14">
        <f t="shared" si="0"/>
        <v>62682.340000000084</v>
      </c>
      <c r="G21" s="12">
        <f t="shared" si="1"/>
        <v>468002.39000000013</v>
      </c>
    </row>
    <row r="22" spans="2:7" x14ac:dyDescent="0.2">
      <c r="B22" s="21" t="s">
        <v>20</v>
      </c>
      <c r="C22" s="22">
        <v>44774</v>
      </c>
      <c r="D22" s="60">
        <f>1274984-137</f>
        <v>1274847</v>
      </c>
      <c r="E22" s="61">
        <v>1577546.22</v>
      </c>
      <c r="F22" s="18">
        <f t="shared" si="0"/>
        <v>-302699.21999999997</v>
      </c>
      <c r="G22" s="19">
        <f t="shared" si="1"/>
        <v>165303.17000000016</v>
      </c>
    </row>
    <row r="23" spans="2:7" x14ac:dyDescent="0.2">
      <c r="B23" s="5"/>
      <c r="C23" s="23" t="s">
        <v>70</v>
      </c>
      <c r="D23" s="24"/>
      <c r="E23" s="24"/>
      <c r="F23" s="24"/>
      <c r="G23" s="25"/>
    </row>
    <row r="24" spans="2:7" x14ac:dyDescent="0.2">
      <c r="B24" s="2"/>
      <c r="C24" s="1"/>
      <c r="D24" s="1"/>
      <c r="E24" s="1"/>
      <c r="F24" s="1"/>
      <c r="G24" s="12"/>
    </row>
    <row r="25" spans="2:7" x14ac:dyDescent="0.2">
      <c r="B25" s="4"/>
      <c r="C25" s="3"/>
      <c r="D25" s="4" t="s">
        <v>21</v>
      </c>
      <c r="E25" s="4" t="s">
        <v>22</v>
      </c>
      <c r="F25" s="3"/>
      <c r="G25" s="17"/>
    </row>
    <row r="26" spans="2:7" x14ac:dyDescent="0.2">
      <c r="B26" s="4">
        <v>8</v>
      </c>
      <c r="C26" s="3"/>
      <c r="D26" s="4" t="s">
        <v>23</v>
      </c>
      <c r="E26" s="4" t="s">
        <v>24</v>
      </c>
      <c r="F26" s="3"/>
      <c r="G26" s="26" t="s">
        <v>21</v>
      </c>
    </row>
    <row r="27" spans="2:7" x14ac:dyDescent="0.2">
      <c r="B27" s="4"/>
      <c r="C27" s="3"/>
      <c r="D27" s="4" t="s">
        <v>25</v>
      </c>
      <c r="E27" s="4" t="s">
        <v>26</v>
      </c>
      <c r="F27" s="3"/>
      <c r="G27" s="26" t="s">
        <v>27</v>
      </c>
    </row>
    <row r="28" spans="2:7" x14ac:dyDescent="0.2">
      <c r="B28" s="4"/>
      <c r="C28" s="3"/>
      <c r="D28" s="4" t="s">
        <v>28</v>
      </c>
      <c r="E28" s="4" t="s">
        <v>29</v>
      </c>
      <c r="F28" s="3"/>
      <c r="G28" s="26" t="s">
        <v>30</v>
      </c>
    </row>
    <row r="29" spans="2:7" x14ac:dyDescent="0.2">
      <c r="B29" s="5"/>
      <c r="C29" s="3"/>
      <c r="D29" s="4" t="s">
        <v>31</v>
      </c>
      <c r="E29" s="4" t="s">
        <v>32</v>
      </c>
      <c r="F29" s="3"/>
      <c r="G29" s="26" t="s">
        <v>33</v>
      </c>
    </row>
    <row r="30" spans="2:7" x14ac:dyDescent="0.2">
      <c r="B30" s="2" t="s">
        <v>34</v>
      </c>
      <c r="C30" s="55" t="s">
        <v>71</v>
      </c>
      <c r="D30" s="35">
        <f>-G13</f>
        <v>-863830</v>
      </c>
      <c r="E30" s="35">
        <f>D60</f>
        <v>0</v>
      </c>
      <c r="F30" s="55"/>
      <c r="G30" s="35">
        <f>D30+E30</f>
        <v>-863830</v>
      </c>
    </row>
    <row r="31" spans="2:7" x14ac:dyDescent="0.2">
      <c r="B31" s="5" t="s">
        <v>35</v>
      </c>
      <c r="C31" s="29"/>
      <c r="D31" s="30"/>
      <c r="E31" s="30"/>
      <c r="F31" s="31" t="s">
        <v>36</v>
      </c>
      <c r="G31" s="19">
        <f>G30</f>
        <v>-863830</v>
      </c>
    </row>
    <row r="32" spans="2:7" x14ac:dyDescent="0.2">
      <c r="B32" s="32"/>
      <c r="G32" s="33"/>
    </row>
    <row r="33" spans="2:7" x14ac:dyDescent="0.2">
      <c r="B33" s="6">
        <v>9</v>
      </c>
      <c r="C33" s="34" t="s">
        <v>47</v>
      </c>
      <c r="D33" s="8"/>
      <c r="E33" s="8"/>
      <c r="F33" s="9"/>
      <c r="G33" s="35">
        <f>G20+G31</f>
        <v>-458509.94999999995</v>
      </c>
    </row>
    <row r="34" spans="2:7" x14ac:dyDescent="0.2">
      <c r="B34" s="32"/>
      <c r="G34" s="33"/>
    </row>
    <row r="35" spans="2:7" x14ac:dyDescent="0.2">
      <c r="B35" s="6">
        <v>10</v>
      </c>
      <c r="C35" s="34" t="s">
        <v>72</v>
      </c>
      <c r="D35" s="8"/>
      <c r="E35" s="8"/>
      <c r="F35" s="9"/>
      <c r="G35" s="35">
        <f>G33/6</f>
        <v>-76418.324999999997</v>
      </c>
    </row>
    <row r="37" spans="2:7" x14ac:dyDescent="0.2">
      <c r="B37" s="1"/>
      <c r="C37" s="36" t="s">
        <v>37</v>
      </c>
      <c r="D37" s="37"/>
      <c r="E37" s="37"/>
      <c r="F37" s="37"/>
      <c r="G37" s="38"/>
    </row>
    <row r="38" spans="2:7" x14ac:dyDescent="0.2">
      <c r="B38" s="1"/>
      <c r="C38" s="39"/>
      <c r="D38" s="39"/>
      <c r="E38" s="39"/>
      <c r="F38" s="39"/>
      <c r="G38" s="11"/>
    </row>
    <row r="39" spans="2:7" x14ac:dyDescent="0.2">
      <c r="B39" s="4">
        <v>11</v>
      </c>
      <c r="C39" t="s">
        <v>38</v>
      </c>
      <c r="G39" s="41">
        <f>G14</f>
        <v>863830</v>
      </c>
    </row>
    <row r="40" spans="2:7" x14ac:dyDescent="0.2">
      <c r="B40" s="4">
        <v>12</v>
      </c>
      <c r="C40" t="s">
        <v>39</v>
      </c>
      <c r="G40" s="42">
        <f>G31</f>
        <v>-863830</v>
      </c>
    </row>
    <row r="41" spans="2:7" x14ac:dyDescent="0.2">
      <c r="B41" s="4"/>
      <c r="G41" s="41"/>
    </row>
    <row r="42" spans="2:7" ht="15" thickBot="1" x14ac:dyDescent="0.25">
      <c r="B42" s="4">
        <v>13</v>
      </c>
      <c r="C42" t="s">
        <v>40</v>
      </c>
      <c r="G42" s="43">
        <f>G39+G40</f>
        <v>0</v>
      </c>
    </row>
    <row r="43" spans="2:7" ht="15" thickTop="1" x14ac:dyDescent="0.2">
      <c r="B43" s="4"/>
      <c r="G43" s="41"/>
    </row>
    <row r="44" spans="2:7" x14ac:dyDescent="0.2">
      <c r="B44" s="4">
        <v>14</v>
      </c>
      <c r="C44" t="s">
        <v>41</v>
      </c>
      <c r="G44" s="41">
        <f>G33</f>
        <v>-458509.94999999995</v>
      </c>
    </row>
    <row r="45" spans="2:7" x14ac:dyDescent="0.2">
      <c r="B45" s="4"/>
      <c r="G45" s="41"/>
    </row>
    <row r="46" spans="2:7" x14ac:dyDescent="0.2">
      <c r="B46" s="4">
        <v>15</v>
      </c>
      <c r="C46" t="s">
        <v>42</v>
      </c>
      <c r="G46" s="42">
        <f>SUM(F15:F20)</f>
        <v>-458509.94999999995</v>
      </c>
    </row>
    <row r="47" spans="2:7" x14ac:dyDescent="0.2">
      <c r="B47" s="4"/>
      <c r="G47" s="41"/>
    </row>
    <row r="48" spans="2:7" ht="15" thickBot="1" x14ac:dyDescent="0.25">
      <c r="B48" s="4">
        <v>16</v>
      </c>
      <c r="C48" t="s">
        <v>43</v>
      </c>
      <c r="G48" s="43">
        <f>G44-G46</f>
        <v>0</v>
      </c>
    </row>
    <row r="49" spans="2:7" ht="15" thickTop="1" x14ac:dyDescent="0.2">
      <c r="B49" s="28"/>
      <c r="C49" s="44"/>
      <c r="D49" s="44"/>
      <c r="E49" s="44"/>
      <c r="F49" s="44"/>
      <c r="G49" s="45"/>
    </row>
    <row r="51" spans="2:7" x14ac:dyDescent="0.2">
      <c r="B51" t="s">
        <v>44</v>
      </c>
    </row>
    <row r="52" spans="2:7" x14ac:dyDescent="0.2">
      <c r="B52" s="32"/>
      <c r="C52" s="1"/>
      <c r="D52" s="2" t="s">
        <v>45</v>
      </c>
      <c r="E52" s="27"/>
      <c r="F52" s="32"/>
      <c r="G52" s="32"/>
    </row>
    <row r="53" spans="2:7" x14ac:dyDescent="0.2">
      <c r="B53" s="32"/>
      <c r="C53" s="5" t="s">
        <v>10</v>
      </c>
      <c r="D53" s="5" t="s">
        <v>73</v>
      </c>
      <c r="E53" s="27"/>
      <c r="F53" s="32"/>
      <c r="G53" s="32"/>
    </row>
    <row r="54" spans="2:7" x14ac:dyDescent="0.2">
      <c r="C54" s="13">
        <v>44562</v>
      </c>
      <c r="D54" s="12">
        <v>0</v>
      </c>
      <c r="E54" s="16"/>
      <c r="F54" s="33"/>
      <c r="G54" s="33"/>
    </row>
    <row r="55" spans="2:7" x14ac:dyDescent="0.2">
      <c r="C55" s="15">
        <v>44593</v>
      </c>
      <c r="D55" s="17">
        <v>0</v>
      </c>
      <c r="E55" s="16"/>
      <c r="F55" s="33"/>
      <c r="G55" s="33"/>
    </row>
    <row r="56" spans="2:7" x14ac:dyDescent="0.2">
      <c r="C56" s="15">
        <v>44621</v>
      </c>
      <c r="D56" s="17">
        <v>0</v>
      </c>
      <c r="E56" s="16"/>
      <c r="F56" s="33"/>
      <c r="G56" s="33"/>
    </row>
    <row r="57" spans="2:7" x14ac:dyDescent="0.2">
      <c r="C57" s="15">
        <v>44652</v>
      </c>
      <c r="D57" s="17">
        <v>0</v>
      </c>
      <c r="E57" s="16"/>
      <c r="F57" s="33"/>
      <c r="G57" s="33"/>
    </row>
    <row r="58" spans="2:7" x14ac:dyDescent="0.2">
      <c r="C58" s="15">
        <v>44682</v>
      </c>
      <c r="D58" s="17">
        <v>0</v>
      </c>
      <c r="E58" s="16"/>
      <c r="F58" s="33"/>
      <c r="G58" s="33"/>
    </row>
    <row r="59" spans="2:7" x14ac:dyDescent="0.2">
      <c r="C59" s="15">
        <v>44713</v>
      </c>
      <c r="D59" s="19">
        <v>0</v>
      </c>
      <c r="E59" s="16"/>
      <c r="F59" s="33"/>
      <c r="G59" s="33"/>
    </row>
    <row r="60" spans="2:7" x14ac:dyDescent="0.2">
      <c r="C60" s="49" t="s">
        <v>46</v>
      </c>
      <c r="D60" s="35">
        <f>SUM(D54:D59)</f>
        <v>0</v>
      </c>
      <c r="E60" s="16"/>
      <c r="F60" s="33"/>
      <c r="G60" s="33"/>
    </row>
  </sheetData>
  <mergeCells count="2">
    <mergeCell ref="B4:G5"/>
    <mergeCell ref="C12:G12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BD40C-A02C-4A04-80D1-8C98D3988EE3}">
  <dimension ref="A1:G62"/>
  <sheetViews>
    <sheetView workbookViewId="0"/>
  </sheetViews>
  <sheetFormatPr defaultColWidth="12.625" defaultRowHeight="14.25" x14ac:dyDescent="0.2"/>
  <cols>
    <col min="2" max="2" width="8.625" customWidth="1"/>
    <col min="3" max="3" width="30.625" customWidth="1"/>
    <col min="4" max="5" width="17.625" customWidth="1"/>
    <col min="6" max="6" width="21.125" customWidth="1"/>
    <col min="7" max="7" width="17.75" customWidth="1"/>
  </cols>
  <sheetData>
    <row r="1" spans="1:7" x14ac:dyDescent="0.2">
      <c r="A1" t="str">
        <f>'Current 05-31-25'!$A$1</f>
        <v>Staff DR1 Response 2 - South Kentucky Surcharge Summary.xlsx</v>
      </c>
    </row>
    <row r="4" spans="1:7" ht="14.25" customHeight="1" x14ac:dyDescent="0.2">
      <c r="B4" s="76" t="s">
        <v>48</v>
      </c>
      <c r="C4" s="77"/>
      <c r="D4" s="77"/>
      <c r="E4" s="77"/>
      <c r="F4" s="77"/>
      <c r="G4" s="78"/>
    </row>
    <row r="5" spans="1:7" x14ac:dyDescent="0.2">
      <c r="B5" s="79"/>
      <c r="C5" s="80"/>
      <c r="D5" s="80"/>
      <c r="E5" s="80"/>
      <c r="F5" s="80"/>
      <c r="G5" s="81"/>
    </row>
    <row r="7" spans="1:7" x14ac:dyDescent="0.2">
      <c r="B7" s="1"/>
      <c r="C7" s="1"/>
      <c r="D7" s="1"/>
      <c r="E7" s="2" t="s">
        <v>0</v>
      </c>
      <c r="F7" s="1"/>
      <c r="G7" s="1"/>
    </row>
    <row r="8" spans="1:7" x14ac:dyDescent="0.2">
      <c r="B8" s="3"/>
      <c r="C8" s="3"/>
      <c r="D8" s="4" t="s">
        <v>1</v>
      </c>
      <c r="E8" s="4" t="s">
        <v>2</v>
      </c>
      <c r="F8" s="3"/>
      <c r="G8" s="3"/>
    </row>
    <row r="9" spans="1:7" x14ac:dyDescent="0.2">
      <c r="B9" s="3"/>
      <c r="C9" s="3"/>
      <c r="D9" s="4" t="s">
        <v>3</v>
      </c>
      <c r="E9" s="4" t="s">
        <v>4</v>
      </c>
      <c r="F9" s="4" t="s">
        <v>5</v>
      </c>
      <c r="G9" s="4" t="s">
        <v>6</v>
      </c>
    </row>
    <row r="10" spans="1:7" x14ac:dyDescent="0.2">
      <c r="B10" s="5"/>
      <c r="C10" s="5"/>
      <c r="D10" s="5" t="s">
        <v>7</v>
      </c>
      <c r="E10" s="5" t="s">
        <v>7</v>
      </c>
      <c r="F10" s="5" t="s">
        <v>8</v>
      </c>
      <c r="G10" s="5" t="s">
        <v>8</v>
      </c>
    </row>
    <row r="11" spans="1:7" x14ac:dyDescent="0.2">
      <c r="B11" s="6" t="s">
        <v>9</v>
      </c>
      <c r="C11" s="6" t="s">
        <v>10</v>
      </c>
      <c r="D11" s="7" t="s">
        <v>11</v>
      </c>
      <c r="E11" s="7" t="s">
        <v>12</v>
      </c>
      <c r="F11" s="7" t="s">
        <v>13</v>
      </c>
      <c r="G11" s="7" t="s">
        <v>14</v>
      </c>
    </row>
    <row r="12" spans="1:7" x14ac:dyDescent="0.2">
      <c r="B12" s="2">
        <v>1</v>
      </c>
      <c r="C12" s="68" t="s">
        <v>15</v>
      </c>
      <c r="D12" s="69"/>
      <c r="E12" s="69"/>
      <c r="F12" s="69"/>
      <c r="G12" s="70"/>
    </row>
    <row r="13" spans="1:7" x14ac:dyDescent="0.2">
      <c r="B13" s="2" t="s">
        <v>16</v>
      </c>
      <c r="C13" s="8" t="s">
        <v>69</v>
      </c>
      <c r="D13" s="8"/>
      <c r="E13" s="8"/>
      <c r="F13" s="9"/>
      <c r="G13" s="35">
        <v>863830</v>
      </c>
    </row>
    <row r="14" spans="1:7" x14ac:dyDescent="0.2">
      <c r="B14" s="4" t="s">
        <v>17</v>
      </c>
      <c r="C14" s="8" t="s">
        <v>74</v>
      </c>
      <c r="D14" s="8"/>
      <c r="E14" s="8"/>
      <c r="F14" s="9"/>
      <c r="G14" s="82">
        <f>'A - 05-31-22'!G33</f>
        <v>-458509.94999999995</v>
      </c>
    </row>
    <row r="15" spans="1:7" x14ac:dyDescent="0.2">
      <c r="B15" s="5" t="s">
        <v>75</v>
      </c>
      <c r="C15" s="8" t="s">
        <v>18</v>
      </c>
      <c r="D15" s="8"/>
      <c r="E15" s="8"/>
      <c r="F15" s="11"/>
      <c r="G15" s="12">
        <f>G13+G14</f>
        <v>405320.05000000005</v>
      </c>
    </row>
    <row r="16" spans="1:7" x14ac:dyDescent="0.2">
      <c r="B16" s="4">
        <v>2</v>
      </c>
      <c r="C16" s="13">
        <v>44743</v>
      </c>
      <c r="D16" s="51">
        <f>1660125-1535</f>
        <v>1658590</v>
      </c>
      <c r="E16" s="52">
        <v>1595907.66</v>
      </c>
      <c r="F16" s="14">
        <f t="shared" ref="F16:F23" si="0">D16-E16</f>
        <v>62682.340000000084</v>
      </c>
      <c r="G16" s="12">
        <f t="shared" ref="G16:G23" si="1">G15+F16</f>
        <v>468002.39000000013</v>
      </c>
    </row>
    <row r="17" spans="2:7" x14ac:dyDescent="0.2">
      <c r="B17" s="4">
        <v>3</v>
      </c>
      <c r="C17" s="15">
        <v>44774</v>
      </c>
      <c r="D17" s="53">
        <f>1274984-137</f>
        <v>1274847</v>
      </c>
      <c r="E17" s="54">
        <v>1577546.22</v>
      </c>
      <c r="F17" s="16">
        <f t="shared" si="0"/>
        <v>-302699.21999999997</v>
      </c>
      <c r="G17" s="17">
        <f t="shared" si="1"/>
        <v>165303.17000000016</v>
      </c>
    </row>
    <row r="18" spans="2:7" x14ac:dyDescent="0.2">
      <c r="B18" s="4">
        <v>4</v>
      </c>
      <c r="C18" s="15">
        <v>44805</v>
      </c>
      <c r="D18" s="53">
        <f>890096-0</f>
        <v>890096</v>
      </c>
      <c r="E18" s="54">
        <v>1299317.07</v>
      </c>
      <c r="F18" s="16">
        <f t="shared" si="0"/>
        <v>-409221.07000000007</v>
      </c>
      <c r="G18" s="17">
        <f t="shared" si="1"/>
        <v>-243917.89999999991</v>
      </c>
    </row>
    <row r="19" spans="2:7" x14ac:dyDescent="0.2">
      <c r="B19" s="4">
        <v>5</v>
      </c>
      <c r="C19" s="15">
        <v>44835</v>
      </c>
      <c r="D19" s="53">
        <f>1042193-1185</f>
        <v>1041008</v>
      </c>
      <c r="E19" s="54">
        <v>854091.61</v>
      </c>
      <c r="F19" s="16">
        <f t="shared" si="0"/>
        <v>186916.39</v>
      </c>
      <c r="G19" s="17">
        <f t="shared" si="1"/>
        <v>-57001.509999999893</v>
      </c>
    </row>
    <row r="20" spans="2:7" x14ac:dyDescent="0.2">
      <c r="B20" s="4">
        <v>6</v>
      </c>
      <c r="C20" s="15">
        <v>44866</v>
      </c>
      <c r="D20" s="53">
        <f>1348951-1322</f>
        <v>1347629</v>
      </c>
      <c r="E20" s="54">
        <v>1194260.8899999999</v>
      </c>
      <c r="F20" s="16">
        <f t="shared" si="0"/>
        <v>153368.1100000001</v>
      </c>
      <c r="G20" s="17">
        <f t="shared" si="1"/>
        <v>96366.60000000021</v>
      </c>
    </row>
    <row r="21" spans="2:7" x14ac:dyDescent="0.2">
      <c r="B21" s="4">
        <v>7</v>
      </c>
      <c r="C21" s="15">
        <v>44896</v>
      </c>
      <c r="D21" s="53">
        <f>1961016-1397</f>
        <v>1959619</v>
      </c>
      <c r="E21" s="54">
        <v>1660957.61</v>
      </c>
      <c r="F21" s="18">
        <f t="shared" si="0"/>
        <v>298661.3899999999</v>
      </c>
      <c r="G21" s="19">
        <f t="shared" si="1"/>
        <v>395027.99000000011</v>
      </c>
    </row>
    <row r="22" spans="2:7" x14ac:dyDescent="0.2">
      <c r="B22" s="20" t="s">
        <v>19</v>
      </c>
      <c r="C22" s="13">
        <v>44927</v>
      </c>
      <c r="D22" s="51">
        <f>1523243-1208</f>
        <v>1522035</v>
      </c>
      <c r="E22" s="52">
        <v>1837093.57</v>
      </c>
      <c r="F22" s="14">
        <f t="shared" si="0"/>
        <v>-315058.57000000007</v>
      </c>
      <c r="G22" s="12">
        <f t="shared" si="1"/>
        <v>79969.420000000042</v>
      </c>
    </row>
    <row r="23" spans="2:7" x14ac:dyDescent="0.2">
      <c r="B23" s="21" t="s">
        <v>20</v>
      </c>
      <c r="C23" s="22">
        <v>44958</v>
      </c>
      <c r="D23" s="60">
        <f>780993-812</f>
        <v>780181</v>
      </c>
      <c r="E23" s="61">
        <v>1438063.98</v>
      </c>
      <c r="F23" s="18">
        <f t="shared" si="0"/>
        <v>-657882.98</v>
      </c>
      <c r="G23" s="19">
        <f t="shared" si="1"/>
        <v>-577913.55999999994</v>
      </c>
    </row>
    <row r="24" spans="2:7" x14ac:dyDescent="0.2">
      <c r="B24" s="5"/>
      <c r="C24" s="23" t="s">
        <v>76</v>
      </c>
      <c r="D24" s="24"/>
      <c r="E24" s="24"/>
      <c r="F24" s="24"/>
      <c r="G24" s="25"/>
    </row>
    <row r="25" spans="2:7" x14ac:dyDescent="0.2">
      <c r="B25" s="2"/>
      <c r="C25" s="1"/>
      <c r="D25" s="1"/>
      <c r="E25" s="1"/>
      <c r="F25" s="1"/>
      <c r="G25" s="12"/>
    </row>
    <row r="26" spans="2:7" x14ac:dyDescent="0.2">
      <c r="B26" s="4"/>
      <c r="C26" s="3"/>
      <c r="D26" s="4" t="s">
        <v>21</v>
      </c>
      <c r="E26" s="4" t="s">
        <v>22</v>
      </c>
      <c r="F26" s="3"/>
      <c r="G26" s="17"/>
    </row>
    <row r="27" spans="2:7" x14ac:dyDescent="0.2">
      <c r="B27" s="4">
        <v>8</v>
      </c>
      <c r="C27" s="3"/>
      <c r="D27" s="4" t="s">
        <v>23</v>
      </c>
      <c r="E27" s="4" t="s">
        <v>24</v>
      </c>
      <c r="F27" s="3"/>
      <c r="G27" s="26" t="s">
        <v>21</v>
      </c>
    </row>
    <row r="28" spans="2:7" x14ac:dyDescent="0.2">
      <c r="B28" s="4"/>
      <c r="C28" s="3"/>
      <c r="D28" s="4" t="s">
        <v>25</v>
      </c>
      <c r="E28" s="4" t="s">
        <v>26</v>
      </c>
      <c r="F28" s="3"/>
      <c r="G28" s="26" t="s">
        <v>27</v>
      </c>
    </row>
    <row r="29" spans="2:7" x14ac:dyDescent="0.2">
      <c r="B29" s="4"/>
      <c r="C29" s="3"/>
      <c r="D29" s="4" t="s">
        <v>28</v>
      </c>
      <c r="E29" s="4" t="s">
        <v>29</v>
      </c>
      <c r="F29" s="3"/>
      <c r="G29" s="26" t="s">
        <v>30</v>
      </c>
    </row>
    <row r="30" spans="2:7" x14ac:dyDescent="0.2">
      <c r="B30" s="5"/>
      <c r="C30" s="3"/>
      <c r="D30" s="4" t="s">
        <v>31</v>
      </c>
      <c r="E30" s="4" t="s">
        <v>32</v>
      </c>
      <c r="F30" s="3"/>
      <c r="G30" s="26" t="s">
        <v>33</v>
      </c>
    </row>
    <row r="31" spans="2:7" x14ac:dyDescent="0.2">
      <c r="B31" s="20" t="s">
        <v>34</v>
      </c>
      <c r="C31" s="1" t="s">
        <v>71</v>
      </c>
      <c r="D31" s="12">
        <f>-G13</f>
        <v>-863830</v>
      </c>
      <c r="E31" s="12">
        <f>D62</f>
        <v>0</v>
      </c>
      <c r="F31" s="1"/>
      <c r="G31" s="12">
        <f>D31+E31</f>
        <v>-863830</v>
      </c>
    </row>
    <row r="32" spans="2:7" x14ac:dyDescent="0.2">
      <c r="B32" s="27" t="s">
        <v>35</v>
      </c>
      <c r="C32" s="28" t="s">
        <v>77</v>
      </c>
      <c r="D32" s="19">
        <f>-G14</f>
        <v>458509.94999999995</v>
      </c>
      <c r="E32" s="19">
        <v>0</v>
      </c>
      <c r="F32" s="28"/>
      <c r="G32" s="19">
        <f>D32+E32</f>
        <v>458509.94999999995</v>
      </c>
    </row>
    <row r="33" spans="2:7" x14ac:dyDescent="0.2">
      <c r="B33" s="5" t="s">
        <v>78</v>
      </c>
      <c r="C33" s="29"/>
      <c r="D33" s="30"/>
      <c r="E33" s="30"/>
      <c r="F33" s="31" t="s">
        <v>36</v>
      </c>
      <c r="G33" s="19">
        <f>G31+G32</f>
        <v>-405320.05000000005</v>
      </c>
    </row>
    <row r="34" spans="2:7" x14ac:dyDescent="0.2">
      <c r="B34" s="32"/>
      <c r="G34" s="33"/>
    </row>
    <row r="35" spans="2:7" x14ac:dyDescent="0.2">
      <c r="B35" s="6">
        <v>9</v>
      </c>
      <c r="C35" s="34" t="s">
        <v>79</v>
      </c>
      <c r="D35" s="8"/>
      <c r="E35" s="8"/>
      <c r="F35" s="9"/>
      <c r="G35" s="35">
        <f>G21+G33</f>
        <v>-10292.059999999939</v>
      </c>
    </row>
    <row r="36" spans="2:7" x14ac:dyDescent="0.2">
      <c r="B36" s="32"/>
      <c r="G36" s="33"/>
    </row>
    <row r="37" spans="2:7" x14ac:dyDescent="0.2">
      <c r="B37" s="6">
        <v>10</v>
      </c>
      <c r="C37" s="34" t="s">
        <v>72</v>
      </c>
      <c r="D37" s="8"/>
      <c r="E37" s="8"/>
      <c r="F37" s="9"/>
      <c r="G37" s="35">
        <f>G35/6</f>
        <v>-1715.3433333333232</v>
      </c>
    </row>
    <row r="39" spans="2:7" x14ac:dyDescent="0.2">
      <c r="B39" s="1"/>
      <c r="C39" s="36" t="s">
        <v>37</v>
      </c>
      <c r="D39" s="37"/>
      <c r="E39" s="37"/>
      <c r="F39" s="37"/>
      <c r="G39" s="38"/>
    </row>
    <row r="40" spans="2:7" x14ac:dyDescent="0.2">
      <c r="B40" s="1"/>
      <c r="C40" s="39"/>
      <c r="D40" s="39"/>
      <c r="E40" s="39"/>
      <c r="F40" s="39"/>
      <c r="G40" s="11"/>
    </row>
    <row r="41" spans="2:7" x14ac:dyDescent="0.2">
      <c r="B41" s="4">
        <v>11</v>
      </c>
      <c r="C41" t="s">
        <v>38</v>
      </c>
      <c r="G41" s="41">
        <f>G15</f>
        <v>405320.05000000005</v>
      </c>
    </row>
    <row r="42" spans="2:7" x14ac:dyDescent="0.2">
      <c r="B42" s="4">
        <v>12</v>
      </c>
      <c r="C42" t="s">
        <v>39</v>
      </c>
      <c r="G42" s="42">
        <f>G33</f>
        <v>-405320.05000000005</v>
      </c>
    </row>
    <row r="43" spans="2:7" x14ac:dyDescent="0.2">
      <c r="B43" s="4"/>
      <c r="G43" s="41"/>
    </row>
    <row r="44" spans="2:7" ht="15" thickBot="1" x14ac:dyDescent="0.25">
      <c r="B44" s="4">
        <v>13</v>
      </c>
      <c r="C44" t="s">
        <v>40</v>
      </c>
      <c r="G44" s="43">
        <f>G41+G42</f>
        <v>0</v>
      </c>
    </row>
    <row r="45" spans="2:7" ht="15" thickTop="1" x14ac:dyDescent="0.2">
      <c r="B45" s="4"/>
      <c r="G45" s="41"/>
    </row>
    <row r="46" spans="2:7" x14ac:dyDescent="0.2">
      <c r="B46" s="4">
        <v>14</v>
      </c>
      <c r="C46" t="s">
        <v>41</v>
      </c>
      <c r="G46" s="41">
        <f>G35</f>
        <v>-10292.059999999939</v>
      </c>
    </row>
    <row r="47" spans="2:7" x14ac:dyDescent="0.2">
      <c r="B47" s="4"/>
      <c r="G47" s="41"/>
    </row>
    <row r="48" spans="2:7" x14ac:dyDescent="0.2">
      <c r="B48" s="4">
        <v>15</v>
      </c>
      <c r="C48" t="s">
        <v>42</v>
      </c>
      <c r="G48" s="42">
        <f>SUM(F16:F21)</f>
        <v>-10292.059999999939</v>
      </c>
    </row>
    <row r="49" spans="2:7" x14ac:dyDescent="0.2">
      <c r="B49" s="4"/>
      <c r="G49" s="41"/>
    </row>
    <row r="50" spans="2:7" ht="15" thickBot="1" x14ac:dyDescent="0.25">
      <c r="B50" s="4">
        <v>16</v>
      </c>
      <c r="C50" t="s">
        <v>43</v>
      </c>
      <c r="G50" s="43">
        <f>G46-G48</f>
        <v>0</v>
      </c>
    </row>
    <row r="51" spans="2:7" ht="15" thickTop="1" x14ac:dyDescent="0.2">
      <c r="B51" s="28"/>
      <c r="C51" s="44"/>
      <c r="D51" s="44"/>
      <c r="E51" s="44"/>
      <c r="F51" s="44"/>
      <c r="G51" s="45"/>
    </row>
    <row r="53" spans="2:7" x14ac:dyDescent="0.2">
      <c r="B53" t="s">
        <v>44</v>
      </c>
    </row>
    <row r="54" spans="2:7" x14ac:dyDescent="0.2">
      <c r="B54" s="32"/>
      <c r="C54" s="1"/>
      <c r="D54" s="2" t="s">
        <v>45</v>
      </c>
      <c r="E54" s="27"/>
      <c r="F54" s="32"/>
      <c r="G54" s="32"/>
    </row>
    <row r="55" spans="2:7" x14ac:dyDescent="0.2">
      <c r="B55" s="32"/>
      <c r="C55" s="5" t="s">
        <v>10</v>
      </c>
      <c r="D55" s="5" t="s">
        <v>73</v>
      </c>
      <c r="E55" s="27"/>
      <c r="F55" s="32"/>
      <c r="G55" s="32"/>
    </row>
    <row r="56" spans="2:7" x14ac:dyDescent="0.2">
      <c r="C56" s="13">
        <v>44743</v>
      </c>
      <c r="D56" s="12">
        <v>0</v>
      </c>
      <c r="E56" s="16"/>
      <c r="F56" s="33"/>
      <c r="G56" s="33"/>
    </row>
    <row r="57" spans="2:7" x14ac:dyDescent="0.2">
      <c r="C57" s="15">
        <v>44774</v>
      </c>
      <c r="D57" s="17">
        <v>0</v>
      </c>
      <c r="E57" s="16"/>
      <c r="F57" s="33"/>
      <c r="G57" s="33"/>
    </row>
    <row r="58" spans="2:7" x14ac:dyDescent="0.2">
      <c r="C58" s="15">
        <v>44805</v>
      </c>
      <c r="D58" s="17">
        <v>0</v>
      </c>
      <c r="E58" s="16"/>
      <c r="F58" s="33"/>
      <c r="G58" s="33"/>
    </row>
    <row r="59" spans="2:7" x14ac:dyDescent="0.2">
      <c r="C59" s="15">
        <v>44835</v>
      </c>
      <c r="D59" s="17">
        <v>0</v>
      </c>
      <c r="E59" s="16"/>
      <c r="F59" s="33"/>
      <c r="G59" s="33"/>
    </row>
    <row r="60" spans="2:7" x14ac:dyDescent="0.2">
      <c r="C60" s="15">
        <v>44866</v>
      </c>
      <c r="D60" s="17">
        <v>0</v>
      </c>
      <c r="E60" s="16"/>
      <c r="F60" s="33"/>
      <c r="G60" s="33"/>
    </row>
    <row r="61" spans="2:7" x14ac:dyDescent="0.2">
      <c r="C61" s="15">
        <v>44896</v>
      </c>
      <c r="D61" s="19">
        <v>0</v>
      </c>
      <c r="E61" s="16"/>
      <c r="F61" s="33"/>
      <c r="G61" s="33"/>
    </row>
    <row r="62" spans="2:7" x14ac:dyDescent="0.2">
      <c r="C62" s="49" t="s">
        <v>46</v>
      </c>
      <c r="D62" s="35">
        <f>SUM(D56:D61)</f>
        <v>0</v>
      </c>
      <c r="E62" s="16"/>
      <c r="F62" s="33"/>
      <c r="G62" s="33"/>
    </row>
  </sheetData>
  <mergeCells count="2">
    <mergeCell ref="B4:G5"/>
    <mergeCell ref="C12:G12"/>
  </mergeCell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9B0BE-1858-46FF-857E-3A11216A33C1}">
  <dimension ref="A1:G64"/>
  <sheetViews>
    <sheetView workbookViewId="0"/>
  </sheetViews>
  <sheetFormatPr defaultColWidth="12.625" defaultRowHeight="14.25" x14ac:dyDescent="0.2"/>
  <cols>
    <col min="2" max="2" width="8.75" customWidth="1"/>
    <col min="3" max="3" width="30.625" customWidth="1"/>
    <col min="4" max="5" width="17.625" customWidth="1"/>
    <col min="6" max="6" width="21.125" customWidth="1"/>
    <col min="7" max="7" width="17.625" customWidth="1"/>
  </cols>
  <sheetData>
    <row r="1" spans="1:7" x14ac:dyDescent="0.2">
      <c r="A1" t="str">
        <f>'Current 05-31-25'!$A$1</f>
        <v>Staff DR1 Response 2 - South Kentucky Surcharge Summary.xlsx</v>
      </c>
    </row>
    <row r="4" spans="1:7" ht="14.25" customHeight="1" x14ac:dyDescent="0.2">
      <c r="B4" s="76" t="s">
        <v>48</v>
      </c>
      <c r="C4" s="77"/>
      <c r="D4" s="77"/>
      <c r="E4" s="77"/>
      <c r="F4" s="77"/>
      <c r="G4" s="78"/>
    </row>
    <row r="5" spans="1:7" x14ac:dyDescent="0.2">
      <c r="B5" s="79"/>
      <c r="C5" s="80"/>
      <c r="D5" s="80"/>
      <c r="E5" s="80"/>
      <c r="F5" s="80"/>
      <c r="G5" s="81"/>
    </row>
    <row r="7" spans="1:7" x14ac:dyDescent="0.2">
      <c r="B7" s="1"/>
      <c r="C7" s="1"/>
      <c r="D7" s="1"/>
      <c r="E7" s="2" t="s">
        <v>0</v>
      </c>
      <c r="F7" s="1"/>
      <c r="G7" s="1"/>
    </row>
    <row r="8" spans="1:7" x14ac:dyDescent="0.2">
      <c r="B8" s="3"/>
      <c r="C8" s="3"/>
      <c r="D8" s="4" t="s">
        <v>1</v>
      </c>
      <c r="E8" s="4" t="s">
        <v>2</v>
      </c>
      <c r="F8" s="3"/>
      <c r="G8" s="3"/>
    </row>
    <row r="9" spans="1:7" x14ac:dyDescent="0.2">
      <c r="B9" s="3"/>
      <c r="C9" s="3"/>
      <c r="D9" s="4" t="s">
        <v>3</v>
      </c>
      <c r="E9" s="4" t="s">
        <v>4</v>
      </c>
      <c r="F9" s="4" t="s">
        <v>5</v>
      </c>
      <c r="G9" s="4" t="s">
        <v>6</v>
      </c>
    </row>
    <row r="10" spans="1:7" x14ac:dyDescent="0.2">
      <c r="B10" s="5"/>
      <c r="C10" s="5"/>
      <c r="D10" s="5" t="s">
        <v>7</v>
      </c>
      <c r="E10" s="5" t="s">
        <v>7</v>
      </c>
      <c r="F10" s="5" t="s">
        <v>8</v>
      </c>
      <c r="G10" s="5" t="s">
        <v>8</v>
      </c>
    </row>
    <row r="11" spans="1:7" x14ac:dyDescent="0.2">
      <c r="B11" s="6" t="s">
        <v>9</v>
      </c>
      <c r="C11" s="6" t="s">
        <v>10</v>
      </c>
      <c r="D11" s="7" t="s">
        <v>11</v>
      </c>
      <c r="E11" s="7" t="s">
        <v>12</v>
      </c>
      <c r="F11" s="7" t="s">
        <v>13</v>
      </c>
      <c r="G11" s="7" t="s">
        <v>14</v>
      </c>
    </row>
    <row r="12" spans="1:7" x14ac:dyDescent="0.2">
      <c r="B12" s="2">
        <v>1</v>
      </c>
      <c r="C12" s="68" t="s">
        <v>15</v>
      </c>
      <c r="D12" s="69"/>
      <c r="E12" s="69"/>
      <c r="F12" s="69"/>
      <c r="G12" s="70"/>
    </row>
    <row r="13" spans="1:7" x14ac:dyDescent="0.2">
      <c r="B13" s="2" t="s">
        <v>16</v>
      </c>
      <c r="C13" s="8" t="s">
        <v>69</v>
      </c>
      <c r="D13" s="8"/>
      <c r="E13" s="8"/>
      <c r="F13" s="9"/>
      <c r="G13" s="35">
        <v>863830</v>
      </c>
    </row>
    <row r="14" spans="1:7" x14ac:dyDescent="0.2">
      <c r="B14" s="4" t="s">
        <v>17</v>
      </c>
      <c r="C14" s="8" t="s">
        <v>74</v>
      </c>
      <c r="D14" s="8"/>
      <c r="E14" s="8"/>
      <c r="F14" s="9"/>
      <c r="G14" s="82">
        <f>'A - 05-31-22'!G33</f>
        <v>-458509.94999999995</v>
      </c>
    </row>
    <row r="15" spans="1:7" x14ac:dyDescent="0.2">
      <c r="B15" s="4" t="s">
        <v>75</v>
      </c>
      <c r="C15" s="8" t="s">
        <v>80</v>
      </c>
      <c r="D15" s="8"/>
      <c r="E15" s="8"/>
      <c r="F15" s="9"/>
      <c r="G15" s="82">
        <f>'B - 11-30-22'!G35</f>
        <v>-10292.059999999939</v>
      </c>
    </row>
    <row r="16" spans="1:7" x14ac:dyDescent="0.2">
      <c r="B16" s="5" t="s">
        <v>81</v>
      </c>
      <c r="C16" s="8" t="s">
        <v>18</v>
      </c>
      <c r="D16" s="8"/>
      <c r="E16" s="8"/>
      <c r="F16" s="11"/>
      <c r="G16" s="12">
        <f>G13+G14+G15</f>
        <v>395027.99000000011</v>
      </c>
    </row>
    <row r="17" spans="2:7" x14ac:dyDescent="0.2">
      <c r="B17" s="4">
        <v>2</v>
      </c>
      <c r="C17" s="13">
        <v>44927</v>
      </c>
      <c r="D17" s="51">
        <f>1523243-1208</f>
        <v>1522035</v>
      </c>
      <c r="E17" s="52">
        <v>1837093.57</v>
      </c>
      <c r="F17" s="14">
        <f t="shared" ref="F17:F24" si="0">D17-E17</f>
        <v>-315058.57000000007</v>
      </c>
      <c r="G17" s="12">
        <f t="shared" ref="G17:G24" si="1">G16+F17</f>
        <v>79969.420000000042</v>
      </c>
    </row>
    <row r="18" spans="2:7" x14ac:dyDescent="0.2">
      <c r="B18" s="4">
        <v>3</v>
      </c>
      <c r="C18" s="15">
        <v>44958</v>
      </c>
      <c r="D18" s="53">
        <f>780993-812</f>
        <v>780181</v>
      </c>
      <c r="E18" s="54">
        <v>1438063.98</v>
      </c>
      <c r="F18" s="16">
        <f t="shared" si="0"/>
        <v>-657882.98</v>
      </c>
      <c r="G18" s="17">
        <f t="shared" si="1"/>
        <v>-577913.55999999994</v>
      </c>
    </row>
    <row r="19" spans="2:7" x14ac:dyDescent="0.2">
      <c r="B19" s="4">
        <v>4</v>
      </c>
      <c r="C19" s="15">
        <v>44986</v>
      </c>
      <c r="D19" s="53">
        <f>987548-1038</f>
        <v>986510</v>
      </c>
      <c r="E19" s="54">
        <v>764588.07</v>
      </c>
      <c r="F19" s="16">
        <f t="shared" si="0"/>
        <v>221921.93000000005</v>
      </c>
      <c r="G19" s="17">
        <f t="shared" si="1"/>
        <v>-355991.62999999989</v>
      </c>
    </row>
    <row r="20" spans="2:7" x14ac:dyDescent="0.2">
      <c r="B20" s="4">
        <v>5</v>
      </c>
      <c r="C20" s="15">
        <v>45017</v>
      </c>
      <c r="D20" s="53">
        <f>1000314-1423</f>
        <v>998891</v>
      </c>
      <c r="E20" s="54">
        <v>959019.79</v>
      </c>
      <c r="F20" s="16">
        <f t="shared" si="0"/>
        <v>39871.209999999963</v>
      </c>
      <c r="G20" s="17">
        <f t="shared" si="1"/>
        <v>-316120.41999999993</v>
      </c>
    </row>
    <row r="21" spans="2:7" x14ac:dyDescent="0.2">
      <c r="B21" s="4">
        <v>6</v>
      </c>
      <c r="C21" s="15">
        <v>45047</v>
      </c>
      <c r="D21" s="53">
        <f>1029936-1388</f>
        <v>1028548</v>
      </c>
      <c r="E21" s="54">
        <v>1151464.32</v>
      </c>
      <c r="F21" s="16">
        <f t="shared" si="0"/>
        <v>-122916.32000000007</v>
      </c>
      <c r="G21" s="17">
        <f t="shared" si="1"/>
        <v>-439036.74</v>
      </c>
    </row>
    <row r="22" spans="2:7" x14ac:dyDescent="0.2">
      <c r="B22" s="4">
        <v>7</v>
      </c>
      <c r="C22" s="15">
        <v>45078</v>
      </c>
      <c r="D22" s="53">
        <f>1170831-1646</f>
        <v>1169185</v>
      </c>
      <c r="E22" s="54">
        <v>1142354.74</v>
      </c>
      <c r="F22" s="18">
        <f t="shared" si="0"/>
        <v>26830.260000000009</v>
      </c>
      <c r="G22" s="19">
        <f t="shared" si="1"/>
        <v>-412206.48</v>
      </c>
    </row>
    <row r="23" spans="2:7" x14ac:dyDescent="0.2">
      <c r="B23" s="20" t="s">
        <v>19</v>
      </c>
      <c r="C23" s="13">
        <v>45108</v>
      </c>
      <c r="D23" s="51">
        <f>1548373-1708</f>
        <v>1546665</v>
      </c>
      <c r="E23" s="52">
        <v>1528984.32</v>
      </c>
      <c r="F23" s="14">
        <f t="shared" si="0"/>
        <v>17680.679999999935</v>
      </c>
      <c r="G23" s="12">
        <f t="shared" si="1"/>
        <v>-394525.80000000005</v>
      </c>
    </row>
    <row r="24" spans="2:7" x14ac:dyDescent="0.2">
      <c r="B24" s="21" t="s">
        <v>20</v>
      </c>
      <c r="C24" s="22">
        <v>45139</v>
      </c>
      <c r="D24" s="60">
        <f>1597519-0</f>
        <v>1597519</v>
      </c>
      <c r="E24" s="61">
        <v>1538079.48</v>
      </c>
      <c r="F24" s="18">
        <f t="shared" si="0"/>
        <v>59439.520000000019</v>
      </c>
      <c r="G24" s="19">
        <f t="shared" si="1"/>
        <v>-335086.28000000003</v>
      </c>
    </row>
    <row r="25" spans="2:7" x14ac:dyDescent="0.2">
      <c r="B25" s="5"/>
      <c r="C25" s="23" t="s">
        <v>82</v>
      </c>
      <c r="D25" s="24"/>
      <c r="E25" s="24"/>
      <c r="F25" s="24"/>
      <c r="G25" s="25"/>
    </row>
    <row r="26" spans="2:7" x14ac:dyDescent="0.2">
      <c r="B26" s="2"/>
      <c r="C26" s="1"/>
      <c r="D26" s="1"/>
      <c r="E26" s="1"/>
      <c r="F26" s="1"/>
      <c r="G26" s="12"/>
    </row>
    <row r="27" spans="2:7" x14ac:dyDescent="0.2">
      <c r="B27" s="4"/>
      <c r="C27" s="3"/>
      <c r="D27" s="4" t="s">
        <v>21</v>
      </c>
      <c r="E27" s="4" t="s">
        <v>22</v>
      </c>
      <c r="F27" s="3"/>
      <c r="G27" s="17"/>
    </row>
    <row r="28" spans="2:7" x14ac:dyDescent="0.2">
      <c r="B28" s="4">
        <v>8</v>
      </c>
      <c r="C28" s="3"/>
      <c r="D28" s="4" t="s">
        <v>23</v>
      </c>
      <c r="E28" s="4" t="s">
        <v>24</v>
      </c>
      <c r="F28" s="3"/>
      <c r="G28" s="26" t="s">
        <v>21</v>
      </c>
    </row>
    <row r="29" spans="2:7" x14ac:dyDescent="0.2">
      <c r="B29" s="4"/>
      <c r="C29" s="3"/>
      <c r="D29" s="4" t="s">
        <v>25</v>
      </c>
      <c r="E29" s="4" t="s">
        <v>26</v>
      </c>
      <c r="F29" s="3"/>
      <c r="G29" s="26" t="s">
        <v>27</v>
      </c>
    </row>
    <row r="30" spans="2:7" x14ac:dyDescent="0.2">
      <c r="B30" s="4"/>
      <c r="C30" s="3"/>
      <c r="D30" s="4" t="s">
        <v>28</v>
      </c>
      <c r="E30" s="4" t="s">
        <v>29</v>
      </c>
      <c r="F30" s="3"/>
      <c r="G30" s="26" t="s">
        <v>30</v>
      </c>
    </row>
    <row r="31" spans="2:7" x14ac:dyDescent="0.2">
      <c r="B31" s="5"/>
      <c r="C31" s="3"/>
      <c r="D31" s="4" t="s">
        <v>31</v>
      </c>
      <c r="E31" s="4" t="s">
        <v>32</v>
      </c>
      <c r="F31" s="3"/>
      <c r="G31" s="26" t="s">
        <v>33</v>
      </c>
    </row>
    <row r="32" spans="2:7" x14ac:dyDescent="0.2">
      <c r="B32" s="20" t="s">
        <v>34</v>
      </c>
      <c r="C32" s="1" t="s">
        <v>71</v>
      </c>
      <c r="D32" s="12">
        <f>-G13</f>
        <v>-863830</v>
      </c>
      <c r="E32" s="12">
        <f>D64</f>
        <v>0</v>
      </c>
      <c r="F32" s="1"/>
      <c r="G32" s="12">
        <f t="shared" ref="G32:G34" si="2">D32+E32</f>
        <v>-863830</v>
      </c>
    </row>
    <row r="33" spans="2:7" x14ac:dyDescent="0.2">
      <c r="B33" s="27" t="s">
        <v>35</v>
      </c>
      <c r="C33" s="83" t="s">
        <v>77</v>
      </c>
      <c r="D33" s="17">
        <f>-G14</f>
        <v>458509.94999999995</v>
      </c>
      <c r="E33" s="17">
        <v>0</v>
      </c>
      <c r="F33" s="3"/>
      <c r="G33" s="17">
        <f t="shared" si="2"/>
        <v>458509.94999999995</v>
      </c>
    </row>
    <row r="34" spans="2:7" x14ac:dyDescent="0.2">
      <c r="B34" s="27" t="s">
        <v>78</v>
      </c>
      <c r="C34" s="45" t="s">
        <v>83</v>
      </c>
      <c r="D34" s="19">
        <f>-G15</f>
        <v>10292.059999999939</v>
      </c>
      <c r="E34" s="19">
        <v>0</v>
      </c>
      <c r="F34" s="28"/>
      <c r="G34" s="19">
        <f t="shared" si="2"/>
        <v>10292.059999999939</v>
      </c>
    </row>
    <row r="35" spans="2:7" x14ac:dyDescent="0.2">
      <c r="B35" s="5" t="s">
        <v>84</v>
      </c>
      <c r="C35" s="29"/>
      <c r="D35" s="30"/>
      <c r="E35" s="30"/>
      <c r="F35" s="31" t="s">
        <v>36</v>
      </c>
      <c r="G35" s="19">
        <f>G32+G33+G34</f>
        <v>-395027.99000000011</v>
      </c>
    </row>
    <row r="36" spans="2:7" x14ac:dyDescent="0.2">
      <c r="B36" s="32"/>
      <c r="G36" s="33"/>
    </row>
    <row r="37" spans="2:7" x14ac:dyDescent="0.2">
      <c r="B37" s="6">
        <v>9</v>
      </c>
      <c r="C37" s="34" t="s">
        <v>85</v>
      </c>
      <c r="D37" s="8"/>
      <c r="E37" s="8"/>
      <c r="F37" s="9"/>
      <c r="G37" s="35">
        <f>G22+G35</f>
        <v>-807234.47000000009</v>
      </c>
    </row>
    <row r="38" spans="2:7" x14ac:dyDescent="0.2">
      <c r="B38" s="32"/>
      <c r="G38" s="33"/>
    </row>
    <row r="39" spans="2:7" x14ac:dyDescent="0.2">
      <c r="B39" s="6">
        <v>10</v>
      </c>
      <c r="C39" s="34" t="s">
        <v>72</v>
      </c>
      <c r="D39" s="8"/>
      <c r="E39" s="8"/>
      <c r="F39" s="9"/>
      <c r="G39" s="35">
        <f>G37/6</f>
        <v>-134539.07833333334</v>
      </c>
    </row>
    <row r="41" spans="2:7" x14ac:dyDescent="0.2">
      <c r="B41" s="1"/>
      <c r="C41" s="36" t="s">
        <v>37</v>
      </c>
      <c r="D41" s="37"/>
      <c r="E41" s="37"/>
      <c r="F41" s="37"/>
      <c r="G41" s="38"/>
    </row>
    <row r="42" spans="2:7" x14ac:dyDescent="0.2">
      <c r="B42" s="1"/>
      <c r="C42" s="39"/>
      <c r="D42" s="39"/>
      <c r="E42" s="39"/>
      <c r="F42" s="39"/>
      <c r="G42" s="11"/>
    </row>
    <row r="43" spans="2:7" x14ac:dyDescent="0.2">
      <c r="B43" s="4">
        <v>11</v>
      </c>
      <c r="C43" t="s">
        <v>38</v>
      </c>
      <c r="G43" s="41">
        <f>G16</f>
        <v>395027.99000000011</v>
      </c>
    </row>
    <row r="44" spans="2:7" x14ac:dyDescent="0.2">
      <c r="B44" s="4">
        <v>12</v>
      </c>
      <c r="C44" t="s">
        <v>39</v>
      </c>
      <c r="G44" s="42">
        <f>G35</f>
        <v>-395027.99000000011</v>
      </c>
    </row>
    <row r="45" spans="2:7" x14ac:dyDescent="0.2">
      <c r="B45" s="4"/>
      <c r="G45" s="41"/>
    </row>
    <row r="46" spans="2:7" ht="15" thickBot="1" x14ac:dyDescent="0.25">
      <c r="B46" s="4">
        <v>13</v>
      </c>
      <c r="C46" t="s">
        <v>40</v>
      </c>
      <c r="G46" s="43">
        <f>G43+G44</f>
        <v>0</v>
      </c>
    </row>
    <row r="47" spans="2:7" ht="15" thickTop="1" x14ac:dyDescent="0.2">
      <c r="B47" s="4"/>
      <c r="G47" s="41"/>
    </row>
    <row r="48" spans="2:7" x14ac:dyDescent="0.2">
      <c r="B48" s="4">
        <v>14</v>
      </c>
      <c r="C48" t="s">
        <v>41</v>
      </c>
      <c r="G48" s="41">
        <f>G37</f>
        <v>-807234.47000000009</v>
      </c>
    </row>
    <row r="49" spans="2:7" x14ac:dyDescent="0.2">
      <c r="B49" s="4"/>
      <c r="G49" s="41"/>
    </row>
    <row r="50" spans="2:7" x14ac:dyDescent="0.2">
      <c r="B50" s="4">
        <v>15</v>
      </c>
      <c r="C50" t="s">
        <v>42</v>
      </c>
      <c r="G50" s="42">
        <f>SUM(F17:F22)</f>
        <v>-807234.47000000009</v>
      </c>
    </row>
    <row r="51" spans="2:7" x14ac:dyDescent="0.2">
      <c r="B51" s="4"/>
      <c r="G51" s="41"/>
    </row>
    <row r="52" spans="2:7" ht="15" thickBot="1" x14ac:dyDescent="0.25">
      <c r="B52" s="4">
        <v>16</v>
      </c>
      <c r="C52" t="s">
        <v>43</v>
      </c>
      <c r="G52" s="43">
        <f>G48-G50</f>
        <v>0</v>
      </c>
    </row>
    <row r="53" spans="2:7" ht="15" thickTop="1" x14ac:dyDescent="0.2">
      <c r="B53" s="28"/>
      <c r="C53" s="44"/>
      <c r="D53" s="44"/>
      <c r="E53" s="44"/>
      <c r="F53" s="44"/>
      <c r="G53" s="45"/>
    </row>
    <row r="55" spans="2:7" x14ac:dyDescent="0.2">
      <c r="B55" t="s">
        <v>44</v>
      </c>
    </row>
    <row r="56" spans="2:7" x14ac:dyDescent="0.2">
      <c r="B56" s="32"/>
      <c r="C56" s="1"/>
      <c r="D56" s="2" t="s">
        <v>45</v>
      </c>
      <c r="E56" s="27"/>
      <c r="F56" s="32"/>
      <c r="G56" s="32"/>
    </row>
    <row r="57" spans="2:7" x14ac:dyDescent="0.2">
      <c r="B57" s="32"/>
      <c r="C57" s="5" t="s">
        <v>10</v>
      </c>
      <c r="D57" s="5" t="s">
        <v>73</v>
      </c>
      <c r="E57" s="27"/>
      <c r="F57" s="32"/>
      <c r="G57" s="32"/>
    </row>
    <row r="58" spans="2:7" x14ac:dyDescent="0.2">
      <c r="C58" s="13">
        <v>44927</v>
      </c>
      <c r="D58" s="12">
        <v>0</v>
      </c>
      <c r="E58" s="16"/>
      <c r="F58" s="33"/>
      <c r="G58" s="33"/>
    </row>
    <row r="59" spans="2:7" x14ac:dyDescent="0.2">
      <c r="C59" s="15">
        <v>44958</v>
      </c>
      <c r="D59" s="17">
        <v>0</v>
      </c>
      <c r="E59" s="16"/>
      <c r="F59" s="33"/>
      <c r="G59" s="33"/>
    </row>
    <row r="60" spans="2:7" x14ac:dyDescent="0.2">
      <c r="C60" s="15">
        <v>44986</v>
      </c>
      <c r="D60" s="17">
        <v>0</v>
      </c>
      <c r="E60" s="16"/>
      <c r="F60" s="33"/>
      <c r="G60" s="33"/>
    </row>
    <row r="61" spans="2:7" x14ac:dyDescent="0.2">
      <c r="C61" s="15">
        <v>45017</v>
      </c>
      <c r="D61" s="17">
        <v>0</v>
      </c>
      <c r="E61" s="16"/>
      <c r="F61" s="33"/>
      <c r="G61" s="33"/>
    </row>
    <row r="62" spans="2:7" x14ac:dyDescent="0.2">
      <c r="C62" s="15">
        <v>45047</v>
      </c>
      <c r="D62" s="17">
        <v>0</v>
      </c>
      <c r="E62" s="16"/>
      <c r="F62" s="33"/>
      <c r="G62" s="33"/>
    </row>
    <row r="63" spans="2:7" x14ac:dyDescent="0.2">
      <c r="C63" s="15">
        <v>45078</v>
      </c>
      <c r="D63" s="19">
        <v>0</v>
      </c>
      <c r="E63" s="16"/>
      <c r="F63" s="33"/>
      <c r="G63" s="33"/>
    </row>
    <row r="64" spans="2:7" x14ac:dyDescent="0.2">
      <c r="C64" s="49" t="s">
        <v>46</v>
      </c>
      <c r="D64" s="35">
        <f>SUM(D58:D63)</f>
        <v>0</v>
      </c>
      <c r="E64" s="16"/>
      <c r="F64" s="33"/>
      <c r="G64" s="33"/>
    </row>
  </sheetData>
  <mergeCells count="2">
    <mergeCell ref="B4:G5"/>
    <mergeCell ref="C12:G1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23D33-3C16-4FAF-A063-71D0750B8668}">
  <dimension ref="A1:G66"/>
  <sheetViews>
    <sheetView workbookViewId="0"/>
  </sheetViews>
  <sheetFormatPr defaultColWidth="12.625" defaultRowHeight="14.25" x14ac:dyDescent="0.2"/>
  <cols>
    <col min="2" max="2" width="8.625" customWidth="1"/>
    <col min="3" max="3" width="31.25" customWidth="1"/>
    <col min="4" max="5" width="17.625" customWidth="1"/>
    <col min="6" max="6" width="21.125" customWidth="1"/>
    <col min="7" max="7" width="17.625" customWidth="1"/>
  </cols>
  <sheetData>
    <row r="1" spans="1:7" x14ac:dyDescent="0.2">
      <c r="A1" t="str">
        <f>'Current 05-31-25'!$A$1</f>
        <v>Staff DR1 Response 2 - South Kentucky Surcharge Summary.xlsx</v>
      </c>
    </row>
    <row r="4" spans="1:7" ht="14.25" customHeight="1" x14ac:dyDescent="0.2">
      <c r="B4" s="76" t="s">
        <v>48</v>
      </c>
      <c r="C4" s="77"/>
      <c r="D4" s="77"/>
      <c r="E4" s="77"/>
      <c r="F4" s="77"/>
      <c r="G4" s="78"/>
    </row>
    <row r="5" spans="1:7" x14ac:dyDescent="0.2">
      <c r="B5" s="79"/>
      <c r="C5" s="80"/>
      <c r="D5" s="80"/>
      <c r="E5" s="80"/>
      <c r="F5" s="80"/>
      <c r="G5" s="81"/>
    </row>
    <row r="7" spans="1:7" x14ac:dyDescent="0.2">
      <c r="B7" s="1"/>
      <c r="C7" s="1"/>
      <c r="D7" s="1"/>
      <c r="E7" s="2" t="s">
        <v>0</v>
      </c>
      <c r="F7" s="1"/>
      <c r="G7" s="1"/>
    </row>
    <row r="8" spans="1:7" x14ac:dyDescent="0.2">
      <c r="B8" s="3"/>
      <c r="C8" s="3"/>
      <c r="D8" s="4" t="s">
        <v>1</v>
      </c>
      <c r="E8" s="4" t="s">
        <v>2</v>
      </c>
      <c r="F8" s="3"/>
      <c r="G8" s="3"/>
    </row>
    <row r="9" spans="1:7" x14ac:dyDescent="0.2">
      <c r="B9" s="3"/>
      <c r="C9" s="3"/>
      <c r="D9" s="4" t="s">
        <v>3</v>
      </c>
      <c r="E9" s="4" t="s">
        <v>4</v>
      </c>
      <c r="F9" s="4" t="s">
        <v>5</v>
      </c>
      <c r="G9" s="4" t="s">
        <v>6</v>
      </c>
    </row>
    <row r="10" spans="1:7" x14ac:dyDescent="0.2">
      <c r="B10" s="5"/>
      <c r="C10" s="5"/>
      <c r="D10" s="5" t="s">
        <v>7</v>
      </c>
      <c r="E10" s="5" t="s">
        <v>7</v>
      </c>
      <c r="F10" s="5" t="s">
        <v>8</v>
      </c>
      <c r="G10" s="5" t="s">
        <v>8</v>
      </c>
    </row>
    <row r="11" spans="1:7" x14ac:dyDescent="0.2">
      <c r="B11" s="6" t="s">
        <v>9</v>
      </c>
      <c r="C11" s="6" t="s">
        <v>10</v>
      </c>
      <c r="D11" s="7" t="s">
        <v>11</v>
      </c>
      <c r="E11" s="7" t="s">
        <v>12</v>
      </c>
      <c r="F11" s="7" t="s">
        <v>13</v>
      </c>
      <c r="G11" s="7" t="s">
        <v>14</v>
      </c>
    </row>
    <row r="12" spans="1:7" x14ac:dyDescent="0.2">
      <c r="B12" s="2">
        <v>1</v>
      </c>
      <c r="C12" s="68" t="s">
        <v>15</v>
      </c>
      <c r="D12" s="69"/>
      <c r="E12" s="69"/>
      <c r="F12" s="69"/>
      <c r="G12" s="70"/>
    </row>
    <row r="13" spans="1:7" x14ac:dyDescent="0.2">
      <c r="B13" s="2" t="s">
        <v>16</v>
      </c>
      <c r="C13" s="8" t="s">
        <v>69</v>
      </c>
      <c r="D13" s="8"/>
      <c r="E13" s="8"/>
      <c r="F13" s="9"/>
      <c r="G13" s="35">
        <v>863830</v>
      </c>
    </row>
    <row r="14" spans="1:7" x14ac:dyDescent="0.2">
      <c r="B14" s="4" t="s">
        <v>17</v>
      </c>
      <c r="C14" s="8" t="s">
        <v>74</v>
      </c>
      <c r="D14" s="8"/>
      <c r="E14" s="8"/>
      <c r="F14" s="9"/>
      <c r="G14" s="82">
        <f>'A - 05-31-22'!G33</f>
        <v>-458509.94999999995</v>
      </c>
    </row>
    <row r="15" spans="1:7" x14ac:dyDescent="0.2">
      <c r="B15" s="4" t="s">
        <v>75</v>
      </c>
      <c r="C15" s="8" t="s">
        <v>80</v>
      </c>
      <c r="D15" s="8"/>
      <c r="E15" s="8"/>
      <c r="F15" s="9"/>
      <c r="G15" s="82">
        <f>'B - 11-30-22'!G35</f>
        <v>-10292.059999999939</v>
      </c>
    </row>
    <row r="16" spans="1:7" x14ac:dyDescent="0.2">
      <c r="B16" s="4" t="s">
        <v>81</v>
      </c>
      <c r="C16" s="8" t="s">
        <v>86</v>
      </c>
      <c r="D16" s="8"/>
      <c r="E16" s="8"/>
      <c r="F16" s="11"/>
      <c r="G16" s="51">
        <f>'C - 05-31-23'!G37</f>
        <v>-807234.47000000009</v>
      </c>
    </row>
    <row r="17" spans="2:7" x14ac:dyDescent="0.2">
      <c r="B17" s="5" t="s">
        <v>87</v>
      </c>
      <c r="C17" s="8" t="s">
        <v>18</v>
      </c>
      <c r="D17" s="8"/>
      <c r="E17" s="8"/>
      <c r="F17" s="11"/>
      <c r="G17" s="12">
        <f>G13+G14+G15+G16</f>
        <v>-412206.48</v>
      </c>
    </row>
    <row r="18" spans="2:7" x14ac:dyDescent="0.2">
      <c r="B18" s="4">
        <v>2</v>
      </c>
      <c r="C18" s="13">
        <v>45108</v>
      </c>
      <c r="D18" s="51">
        <f>1548373-1708</f>
        <v>1546665</v>
      </c>
      <c r="E18" s="52">
        <v>1528984.32</v>
      </c>
      <c r="F18" s="14">
        <f t="shared" ref="F18:F25" si="0">D18-E18</f>
        <v>17680.679999999935</v>
      </c>
      <c r="G18" s="12">
        <f t="shared" ref="G18:G25" si="1">G17+F18</f>
        <v>-394525.80000000005</v>
      </c>
    </row>
    <row r="19" spans="2:7" x14ac:dyDescent="0.2">
      <c r="B19" s="4">
        <v>3</v>
      </c>
      <c r="C19" s="15">
        <v>45139</v>
      </c>
      <c r="D19" s="53">
        <f>1597519-0</f>
        <v>1597519</v>
      </c>
      <c r="E19" s="54">
        <v>1538079.48</v>
      </c>
      <c r="F19" s="16">
        <f t="shared" si="0"/>
        <v>59439.520000000019</v>
      </c>
      <c r="G19" s="17">
        <f t="shared" si="1"/>
        <v>-335086.28000000003</v>
      </c>
    </row>
    <row r="20" spans="2:7" x14ac:dyDescent="0.2">
      <c r="B20" s="4">
        <v>4</v>
      </c>
      <c r="C20" s="15">
        <v>45170</v>
      </c>
      <c r="D20" s="53">
        <f>1042433-0</f>
        <v>1042433</v>
      </c>
      <c r="E20" s="54">
        <v>1462463.55</v>
      </c>
      <c r="F20" s="16">
        <f t="shared" si="0"/>
        <v>-420030.55000000005</v>
      </c>
      <c r="G20" s="17">
        <f t="shared" si="1"/>
        <v>-755116.83000000007</v>
      </c>
    </row>
    <row r="21" spans="2:7" x14ac:dyDescent="0.2">
      <c r="B21" s="4">
        <v>5</v>
      </c>
      <c r="C21" s="15">
        <v>45200</v>
      </c>
      <c r="D21" s="53">
        <f>959036-1317</f>
        <v>957719</v>
      </c>
      <c r="E21" s="54">
        <v>1011283.68</v>
      </c>
      <c r="F21" s="16">
        <f t="shared" si="0"/>
        <v>-53564.680000000051</v>
      </c>
      <c r="G21" s="17">
        <f t="shared" si="1"/>
        <v>-808681.51000000013</v>
      </c>
    </row>
    <row r="22" spans="2:7" x14ac:dyDescent="0.2">
      <c r="B22" s="4">
        <v>6</v>
      </c>
      <c r="C22" s="15">
        <v>45231</v>
      </c>
      <c r="D22" s="53">
        <f>1383341-1566</f>
        <v>1381775</v>
      </c>
      <c r="E22" s="54">
        <v>1054725.77</v>
      </c>
      <c r="F22" s="16">
        <f t="shared" si="0"/>
        <v>327049.23</v>
      </c>
      <c r="G22" s="17">
        <f t="shared" si="1"/>
        <v>-481632.28000000014</v>
      </c>
    </row>
    <row r="23" spans="2:7" x14ac:dyDescent="0.2">
      <c r="B23" s="4">
        <v>7</v>
      </c>
      <c r="C23" s="15">
        <v>45261</v>
      </c>
      <c r="D23" s="53">
        <f>1563905-1613</f>
        <v>1562292</v>
      </c>
      <c r="E23" s="54">
        <v>1516496.35</v>
      </c>
      <c r="F23" s="18">
        <f t="shared" si="0"/>
        <v>45795.649999999907</v>
      </c>
      <c r="G23" s="19">
        <f t="shared" si="1"/>
        <v>-435836.63000000024</v>
      </c>
    </row>
    <row r="24" spans="2:7" x14ac:dyDescent="0.2">
      <c r="B24" s="20" t="s">
        <v>19</v>
      </c>
      <c r="C24" s="13">
        <v>45292</v>
      </c>
      <c r="D24" s="51">
        <f>2060911-1493</f>
        <v>2059418</v>
      </c>
      <c r="E24" s="52">
        <v>1799575.65</v>
      </c>
      <c r="F24" s="14">
        <f t="shared" si="0"/>
        <v>259842.35000000009</v>
      </c>
      <c r="G24" s="12">
        <f t="shared" si="1"/>
        <v>-175994.28000000014</v>
      </c>
    </row>
    <row r="25" spans="2:7" x14ac:dyDescent="0.2">
      <c r="B25" s="21" t="s">
        <v>20</v>
      </c>
      <c r="C25" s="22">
        <v>45323</v>
      </c>
      <c r="D25" s="60">
        <f>1402458-1384</f>
        <v>1401074</v>
      </c>
      <c r="E25" s="61">
        <v>1579842.75</v>
      </c>
      <c r="F25" s="18">
        <f t="shared" si="0"/>
        <v>-178768.75</v>
      </c>
      <c r="G25" s="19">
        <f t="shared" si="1"/>
        <v>-354763.03000000014</v>
      </c>
    </row>
    <row r="26" spans="2:7" x14ac:dyDescent="0.2">
      <c r="B26" s="5"/>
      <c r="C26" s="23" t="s">
        <v>88</v>
      </c>
      <c r="D26" s="24"/>
      <c r="E26" s="24"/>
      <c r="F26" s="24"/>
      <c r="G26" s="25"/>
    </row>
    <row r="27" spans="2:7" x14ac:dyDescent="0.2">
      <c r="B27" s="2"/>
      <c r="C27" s="1"/>
      <c r="D27" s="1"/>
      <c r="E27" s="1"/>
      <c r="F27" s="1"/>
      <c r="G27" s="12"/>
    </row>
    <row r="28" spans="2:7" x14ac:dyDescent="0.2">
      <c r="B28" s="4"/>
      <c r="C28" s="3"/>
      <c r="D28" s="4" t="s">
        <v>21</v>
      </c>
      <c r="E28" s="4" t="s">
        <v>22</v>
      </c>
      <c r="F28" s="3"/>
      <c r="G28" s="17"/>
    </row>
    <row r="29" spans="2:7" x14ac:dyDescent="0.2">
      <c r="B29" s="4">
        <v>8</v>
      </c>
      <c r="C29" s="3"/>
      <c r="D29" s="4" t="s">
        <v>23</v>
      </c>
      <c r="E29" s="4" t="s">
        <v>24</v>
      </c>
      <c r="F29" s="3"/>
      <c r="G29" s="26" t="s">
        <v>21</v>
      </c>
    </row>
    <row r="30" spans="2:7" x14ac:dyDescent="0.2">
      <c r="B30" s="4"/>
      <c r="C30" s="3"/>
      <c r="D30" s="4" t="s">
        <v>25</v>
      </c>
      <c r="E30" s="4" t="s">
        <v>26</v>
      </c>
      <c r="F30" s="3"/>
      <c r="G30" s="26" t="s">
        <v>27</v>
      </c>
    </row>
    <row r="31" spans="2:7" x14ac:dyDescent="0.2">
      <c r="B31" s="4"/>
      <c r="C31" s="3"/>
      <c r="D31" s="4" t="s">
        <v>28</v>
      </c>
      <c r="E31" s="4" t="s">
        <v>29</v>
      </c>
      <c r="F31" s="3"/>
      <c r="G31" s="26" t="s">
        <v>30</v>
      </c>
    </row>
    <row r="32" spans="2:7" x14ac:dyDescent="0.2">
      <c r="B32" s="5"/>
      <c r="C32" s="3"/>
      <c r="D32" s="4" t="s">
        <v>31</v>
      </c>
      <c r="E32" s="4" t="s">
        <v>32</v>
      </c>
      <c r="F32" s="3"/>
      <c r="G32" s="26" t="s">
        <v>33</v>
      </c>
    </row>
    <row r="33" spans="2:7" x14ac:dyDescent="0.2">
      <c r="B33" s="20" t="s">
        <v>34</v>
      </c>
      <c r="C33" s="84" t="s">
        <v>89</v>
      </c>
      <c r="D33" s="85">
        <f>-G13</f>
        <v>-863830</v>
      </c>
      <c r="E33" s="85">
        <f>D66</f>
        <v>0</v>
      </c>
      <c r="F33" s="39"/>
      <c r="G33" s="86">
        <f t="shared" ref="G33:G36" si="2">D33+E33</f>
        <v>-863830</v>
      </c>
    </row>
    <row r="34" spans="2:7" x14ac:dyDescent="0.2">
      <c r="B34" s="27" t="s">
        <v>35</v>
      </c>
      <c r="C34" s="87" t="s">
        <v>77</v>
      </c>
      <c r="D34" s="33">
        <f>-G14</f>
        <v>458509.94999999995</v>
      </c>
      <c r="E34" s="33">
        <v>0</v>
      </c>
      <c r="G34" s="41">
        <f t="shared" si="2"/>
        <v>458509.94999999995</v>
      </c>
    </row>
    <row r="35" spans="2:7" x14ac:dyDescent="0.2">
      <c r="B35" s="27" t="s">
        <v>78</v>
      </c>
      <c r="C35" s="87" t="s">
        <v>83</v>
      </c>
      <c r="D35" s="33">
        <f>-G15</f>
        <v>10292.059999999939</v>
      </c>
      <c r="E35" s="33">
        <v>0</v>
      </c>
      <c r="G35" s="41">
        <f t="shared" si="2"/>
        <v>10292.059999999939</v>
      </c>
    </row>
    <row r="36" spans="2:7" x14ac:dyDescent="0.2">
      <c r="B36" s="27" t="s">
        <v>84</v>
      </c>
      <c r="C36" s="88" t="s">
        <v>90</v>
      </c>
      <c r="D36" s="89">
        <f>-G16</f>
        <v>807234.47000000009</v>
      </c>
      <c r="E36" s="89">
        <v>0</v>
      </c>
      <c r="F36" s="44"/>
      <c r="G36" s="42">
        <f t="shared" si="2"/>
        <v>807234.47000000009</v>
      </c>
    </row>
    <row r="37" spans="2:7" x14ac:dyDescent="0.2">
      <c r="B37" s="5" t="s">
        <v>91</v>
      </c>
      <c r="C37" s="29"/>
      <c r="D37" s="30"/>
      <c r="E37" s="30"/>
      <c r="F37" s="31" t="s">
        <v>36</v>
      </c>
      <c r="G37" s="19">
        <f>G33+G34+G35+G36</f>
        <v>412206.48</v>
      </c>
    </row>
    <row r="38" spans="2:7" x14ac:dyDescent="0.2">
      <c r="B38" s="32"/>
      <c r="G38" s="33"/>
    </row>
    <row r="39" spans="2:7" x14ac:dyDescent="0.2">
      <c r="B39" s="6">
        <v>9</v>
      </c>
      <c r="C39" s="34" t="s">
        <v>92</v>
      </c>
      <c r="D39" s="8"/>
      <c r="E39" s="8"/>
      <c r="F39" s="9"/>
      <c r="G39" s="35">
        <f>G23+G37</f>
        <v>-23630.150000000256</v>
      </c>
    </row>
    <row r="40" spans="2:7" x14ac:dyDescent="0.2">
      <c r="B40" s="32"/>
      <c r="G40" s="33"/>
    </row>
    <row r="41" spans="2:7" x14ac:dyDescent="0.2">
      <c r="B41" s="6">
        <v>10</v>
      </c>
      <c r="C41" s="34" t="s">
        <v>72</v>
      </c>
      <c r="D41" s="8"/>
      <c r="E41" s="8"/>
      <c r="F41" s="9"/>
      <c r="G41" s="35">
        <f>G39/6</f>
        <v>-3938.3583333333759</v>
      </c>
    </row>
    <row r="43" spans="2:7" x14ac:dyDescent="0.2">
      <c r="B43" s="1"/>
      <c r="C43" s="36" t="s">
        <v>37</v>
      </c>
      <c r="D43" s="37"/>
      <c r="E43" s="37"/>
      <c r="F43" s="37"/>
      <c r="G43" s="38"/>
    </row>
    <row r="44" spans="2:7" x14ac:dyDescent="0.2">
      <c r="B44" s="1"/>
      <c r="C44" s="39"/>
      <c r="D44" s="39"/>
      <c r="E44" s="39"/>
      <c r="F44" s="39"/>
      <c r="G44" s="11"/>
    </row>
    <row r="45" spans="2:7" x14ac:dyDescent="0.2">
      <c r="B45" s="4">
        <v>11</v>
      </c>
      <c r="C45" t="s">
        <v>38</v>
      </c>
      <c r="G45" s="41">
        <f>G17</f>
        <v>-412206.48</v>
      </c>
    </row>
    <row r="46" spans="2:7" x14ac:dyDescent="0.2">
      <c r="B46" s="4">
        <v>12</v>
      </c>
      <c r="C46" t="s">
        <v>39</v>
      </c>
      <c r="G46" s="42">
        <f>G37</f>
        <v>412206.48</v>
      </c>
    </row>
    <row r="47" spans="2:7" x14ac:dyDescent="0.2">
      <c r="B47" s="4"/>
      <c r="G47" s="41"/>
    </row>
    <row r="48" spans="2:7" ht="15" thickBot="1" x14ac:dyDescent="0.25">
      <c r="B48" s="4">
        <v>13</v>
      </c>
      <c r="C48" t="s">
        <v>40</v>
      </c>
      <c r="G48" s="43">
        <f>G45+G46</f>
        <v>0</v>
      </c>
    </row>
    <row r="49" spans="2:7" ht="15" thickTop="1" x14ac:dyDescent="0.2">
      <c r="B49" s="4"/>
      <c r="G49" s="41"/>
    </row>
    <row r="50" spans="2:7" x14ac:dyDescent="0.2">
      <c r="B50" s="4">
        <v>14</v>
      </c>
      <c r="C50" t="s">
        <v>41</v>
      </c>
      <c r="G50" s="41">
        <f>G39</f>
        <v>-23630.150000000256</v>
      </c>
    </row>
    <row r="51" spans="2:7" x14ac:dyDescent="0.2">
      <c r="B51" s="4"/>
      <c r="G51" s="41"/>
    </row>
    <row r="52" spans="2:7" x14ac:dyDescent="0.2">
      <c r="B52" s="4">
        <v>15</v>
      </c>
      <c r="C52" t="s">
        <v>42</v>
      </c>
      <c r="G52" s="42">
        <f>SUM(F18:F23)</f>
        <v>-23630.150000000256</v>
      </c>
    </row>
    <row r="53" spans="2:7" x14ac:dyDescent="0.2">
      <c r="B53" s="4"/>
      <c r="G53" s="41"/>
    </row>
    <row r="54" spans="2:7" ht="15" thickBot="1" x14ac:dyDescent="0.25">
      <c r="B54" s="4">
        <v>16</v>
      </c>
      <c r="C54" t="s">
        <v>43</v>
      </c>
      <c r="G54" s="43">
        <f>G50-G52</f>
        <v>0</v>
      </c>
    </row>
    <row r="55" spans="2:7" ht="15" thickTop="1" x14ac:dyDescent="0.2">
      <c r="B55" s="28"/>
      <c r="C55" s="44"/>
      <c r="D55" s="44"/>
      <c r="E55" s="44"/>
      <c r="F55" s="44"/>
      <c r="G55" s="45"/>
    </row>
    <row r="57" spans="2:7" x14ac:dyDescent="0.2">
      <c r="B57" t="s">
        <v>44</v>
      </c>
    </row>
    <row r="58" spans="2:7" x14ac:dyDescent="0.2">
      <c r="B58" s="32"/>
      <c r="C58" s="1"/>
      <c r="D58" s="2" t="s">
        <v>45</v>
      </c>
      <c r="E58" s="27"/>
      <c r="F58" s="32"/>
      <c r="G58" s="32"/>
    </row>
    <row r="59" spans="2:7" x14ac:dyDescent="0.2">
      <c r="B59" s="32"/>
      <c r="C59" s="5" t="s">
        <v>10</v>
      </c>
      <c r="D59" s="5" t="s">
        <v>73</v>
      </c>
      <c r="E59" s="27"/>
      <c r="F59" s="32"/>
      <c r="G59" s="32"/>
    </row>
    <row r="60" spans="2:7" x14ac:dyDescent="0.2">
      <c r="C60" s="13">
        <v>45108</v>
      </c>
      <c r="D60" s="12">
        <v>0</v>
      </c>
      <c r="E60" s="16"/>
      <c r="F60" s="33"/>
      <c r="G60" s="33"/>
    </row>
    <row r="61" spans="2:7" x14ac:dyDescent="0.2">
      <c r="C61" s="15">
        <v>45139</v>
      </c>
      <c r="D61" s="17">
        <v>0</v>
      </c>
      <c r="E61" s="16"/>
      <c r="F61" s="33"/>
      <c r="G61" s="33"/>
    </row>
    <row r="62" spans="2:7" x14ac:dyDescent="0.2">
      <c r="C62" s="15">
        <v>45170</v>
      </c>
      <c r="D62" s="17">
        <v>0</v>
      </c>
      <c r="E62" s="16"/>
      <c r="F62" s="33"/>
      <c r="G62" s="33"/>
    </row>
    <row r="63" spans="2:7" x14ac:dyDescent="0.2">
      <c r="C63" s="15">
        <v>45200</v>
      </c>
      <c r="D63" s="17">
        <v>0</v>
      </c>
      <c r="E63" s="16"/>
      <c r="F63" s="33"/>
      <c r="G63" s="33"/>
    </row>
    <row r="64" spans="2:7" x14ac:dyDescent="0.2">
      <c r="C64" s="15">
        <v>45231</v>
      </c>
      <c r="D64" s="17">
        <v>0</v>
      </c>
      <c r="E64" s="16"/>
      <c r="F64" s="33"/>
      <c r="G64" s="33"/>
    </row>
    <row r="65" spans="3:7" x14ac:dyDescent="0.2">
      <c r="C65" s="15">
        <v>45261</v>
      </c>
      <c r="D65" s="19">
        <v>0</v>
      </c>
      <c r="E65" s="16"/>
      <c r="F65" s="33"/>
      <c r="G65" s="33"/>
    </row>
    <row r="66" spans="3:7" x14ac:dyDescent="0.2">
      <c r="C66" s="49" t="s">
        <v>46</v>
      </c>
      <c r="D66" s="35">
        <f>SUM(D60:D65)</f>
        <v>0</v>
      </c>
      <c r="E66" s="16"/>
      <c r="F66" s="33"/>
      <c r="G66" s="33"/>
    </row>
  </sheetData>
  <mergeCells count="2">
    <mergeCell ref="B4:G5"/>
    <mergeCell ref="C12:G1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B5713-8EF3-42E0-9B04-3C7D58192B7A}">
  <dimension ref="A1:G68"/>
  <sheetViews>
    <sheetView workbookViewId="0"/>
  </sheetViews>
  <sheetFormatPr defaultColWidth="12.625" defaultRowHeight="14.25" x14ac:dyDescent="0.2"/>
  <cols>
    <col min="2" max="2" width="8.625" customWidth="1"/>
    <col min="3" max="3" width="30.625" customWidth="1"/>
    <col min="4" max="5" width="17.625" customWidth="1"/>
    <col min="6" max="6" width="21.25" customWidth="1"/>
    <col min="7" max="7" width="17.625" customWidth="1"/>
  </cols>
  <sheetData>
    <row r="1" spans="1:7" x14ac:dyDescent="0.2">
      <c r="A1" t="str">
        <f>'Current 05-31-25'!$A$1</f>
        <v>Staff DR1 Response 2 - South Kentucky Surcharge Summary.xlsx</v>
      </c>
    </row>
    <row r="4" spans="1:7" ht="14.25" customHeight="1" x14ac:dyDescent="0.2">
      <c r="B4" s="76" t="s">
        <v>48</v>
      </c>
      <c r="C4" s="77"/>
      <c r="D4" s="77"/>
      <c r="E4" s="77"/>
      <c r="F4" s="77"/>
      <c r="G4" s="78"/>
    </row>
    <row r="5" spans="1:7" x14ac:dyDescent="0.2">
      <c r="B5" s="79"/>
      <c r="C5" s="80"/>
      <c r="D5" s="80"/>
      <c r="E5" s="80"/>
      <c r="F5" s="80"/>
      <c r="G5" s="81"/>
    </row>
    <row r="7" spans="1:7" x14ac:dyDescent="0.2">
      <c r="B7" s="1"/>
      <c r="C7" s="1"/>
      <c r="D7" s="1"/>
      <c r="E7" s="2" t="s">
        <v>0</v>
      </c>
      <c r="F7" s="1"/>
      <c r="G7" s="1"/>
    </row>
    <row r="8" spans="1:7" x14ac:dyDescent="0.2">
      <c r="B8" s="3"/>
      <c r="C8" s="3"/>
      <c r="D8" s="4" t="s">
        <v>1</v>
      </c>
      <c r="E8" s="4" t="s">
        <v>2</v>
      </c>
      <c r="F8" s="3"/>
      <c r="G8" s="3"/>
    </row>
    <row r="9" spans="1:7" x14ac:dyDescent="0.2">
      <c r="B9" s="3"/>
      <c r="C9" s="3"/>
      <c r="D9" s="4" t="s">
        <v>3</v>
      </c>
      <c r="E9" s="4" t="s">
        <v>4</v>
      </c>
      <c r="F9" s="4" t="s">
        <v>5</v>
      </c>
      <c r="G9" s="4" t="s">
        <v>6</v>
      </c>
    </row>
    <row r="10" spans="1:7" x14ac:dyDescent="0.2">
      <c r="B10" s="5"/>
      <c r="C10" s="5"/>
      <c r="D10" s="5" t="s">
        <v>7</v>
      </c>
      <c r="E10" s="5" t="s">
        <v>7</v>
      </c>
      <c r="F10" s="5" t="s">
        <v>8</v>
      </c>
      <c r="G10" s="5" t="s">
        <v>8</v>
      </c>
    </row>
    <row r="11" spans="1:7" x14ac:dyDescent="0.2">
      <c r="B11" s="6" t="s">
        <v>9</v>
      </c>
      <c r="C11" s="6" t="s">
        <v>10</v>
      </c>
      <c r="D11" s="7" t="s">
        <v>11</v>
      </c>
      <c r="E11" s="7" t="s">
        <v>12</v>
      </c>
      <c r="F11" s="7" t="s">
        <v>13</v>
      </c>
      <c r="G11" s="7" t="s">
        <v>14</v>
      </c>
    </row>
    <row r="12" spans="1:7" x14ac:dyDescent="0.2">
      <c r="B12" s="2">
        <v>1</v>
      </c>
      <c r="C12" s="68" t="s">
        <v>15</v>
      </c>
      <c r="D12" s="69"/>
      <c r="E12" s="69"/>
      <c r="F12" s="69"/>
      <c r="G12" s="70"/>
    </row>
    <row r="13" spans="1:7" x14ac:dyDescent="0.2">
      <c r="B13" s="2" t="s">
        <v>16</v>
      </c>
      <c r="C13" s="8" t="s">
        <v>69</v>
      </c>
      <c r="D13" s="8"/>
      <c r="E13" s="8"/>
      <c r="F13" s="9"/>
      <c r="G13" s="35">
        <v>863830</v>
      </c>
    </row>
    <row r="14" spans="1:7" x14ac:dyDescent="0.2">
      <c r="B14" s="4" t="s">
        <v>17</v>
      </c>
      <c r="C14" s="8" t="s">
        <v>74</v>
      </c>
      <c r="D14" s="8"/>
      <c r="E14" s="8"/>
      <c r="F14" s="9"/>
      <c r="G14" s="82">
        <f>'A - 05-31-22'!G33</f>
        <v>-458509.94999999995</v>
      </c>
    </row>
    <row r="15" spans="1:7" x14ac:dyDescent="0.2">
      <c r="B15" s="4" t="s">
        <v>75</v>
      </c>
      <c r="C15" s="8" t="s">
        <v>80</v>
      </c>
      <c r="D15" s="8"/>
      <c r="E15" s="8"/>
      <c r="F15" s="9"/>
      <c r="G15" s="82">
        <f>'B - 11-30-22'!G35</f>
        <v>-10292.059999999939</v>
      </c>
    </row>
    <row r="16" spans="1:7" x14ac:dyDescent="0.2">
      <c r="B16" s="4" t="s">
        <v>81</v>
      </c>
      <c r="C16" s="8" t="s">
        <v>86</v>
      </c>
      <c r="D16" s="8"/>
      <c r="E16" s="8"/>
      <c r="F16" s="11"/>
      <c r="G16" s="51">
        <f>'C - 05-31-23'!G37</f>
        <v>-807234.47000000009</v>
      </c>
    </row>
    <row r="17" spans="2:7" x14ac:dyDescent="0.2">
      <c r="B17" s="4" t="s">
        <v>87</v>
      </c>
      <c r="C17" s="8" t="s">
        <v>93</v>
      </c>
      <c r="D17" s="8"/>
      <c r="E17" s="8"/>
      <c r="F17" s="11"/>
      <c r="G17" s="51">
        <f>'D - 11-30-23'!G39</f>
        <v>-23630.150000000256</v>
      </c>
    </row>
    <row r="18" spans="2:7" x14ac:dyDescent="0.2">
      <c r="B18" s="5" t="s">
        <v>94</v>
      </c>
      <c r="C18" s="8" t="s">
        <v>18</v>
      </c>
      <c r="D18" s="8"/>
      <c r="E18" s="8"/>
      <c r="F18" s="11"/>
      <c r="G18" s="12">
        <f>G13+G14+G15+G16+G17</f>
        <v>-435836.63000000024</v>
      </c>
    </row>
    <row r="19" spans="2:7" x14ac:dyDescent="0.2">
      <c r="B19" s="4">
        <v>2</v>
      </c>
      <c r="C19" s="13">
        <v>45292</v>
      </c>
      <c r="D19" s="51">
        <f>2060911-1493</f>
        <v>2059418</v>
      </c>
      <c r="E19" s="52">
        <v>1799575.65</v>
      </c>
      <c r="F19" s="14">
        <f t="shared" ref="F19:F26" si="0">D19-E19</f>
        <v>259842.35000000009</v>
      </c>
      <c r="G19" s="12">
        <f t="shared" ref="G19:G26" si="1">G18+F19</f>
        <v>-175994.28000000014</v>
      </c>
    </row>
    <row r="20" spans="2:7" x14ac:dyDescent="0.2">
      <c r="B20" s="4">
        <v>3</v>
      </c>
      <c r="C20" s="15">
        <v>45323</v>
      </c>
      <c r="D20" s="53">
        <f>1402458-1384</f>
        <v>1401074</v>
      </c>
      <c r="E20" s="54">
        <v>1579842.75</v>
      </c>
      <c r="F20" s="16">
        <f t="shared" si="0"/>
        <v>-178768.75</v>
      </c>
      <c r="G20" s="17">
        <f t="shared" si="1"/>
        <v>-354763.03000000014</v>
      </c>
    </row>
    <row r="21" spans="2:7" x14ac:dyDescent="0.2">
      <c r="B21" s="4">
        <v>4</v>
      </c>
      <c r="C21" s="15">
        <v>45352</v>
      </c>
      <c r="D21" s="53">
        <f>816532-984</f>
        <v>815548</v>
      </c>
      <c r="E21" s="54">
        <v>1172563.25</v>
      </c>
      <c r="F21" s="16">
        <f t="shared" si="0"/>
        <v>-357015.25</v>
      </c>
      <c r="G21" s="17">
        <f t="shared" si="1"/>
        <v>-711778.28000000014</v>
      </c>
    </row>
    <row r="22" spans="2:7" x14ac:dyDescent="0.2">
      <c r="B22" s="4">
        <v>5</v>
      </c>
      <c r="C22" s="15">
        <v>45383</v>
      </c>
      <c r="D22" s="53">
        <f>832802-1343</f>
        <v>831459</v>
      </c>
      <c r="E22" s="54">
        <v>823659.92</v>
      </c>
      <c r="F22" s="16">
        <f t="shared" si="0"/>
        <v>7799.0799999999581</v>
      </c>
      <c r="G22" s="17">
        <f t="shared" si="1"/>
        <v>-703979.20000000019</v>
      </c>
    </row>
    <row r="23" spans="2:7" x14ac:dyDescent="0.2">
      <c r="B23" s="4">
        <v>6</v>
      </c>
      <c r="C23" s="15">
        <v>45413</v>
      </c>
      <c r="D23" s="53">
        <f>1130702-1632</f>
        <v>1129070</v>
      </c>
      <c r="E23" s="54">
        <v>1104749.21</v>
      </c>
      <c r="F23" s="16">
        <f t="shared" si="0"/>
        <v>24320.790000000037</v>
      </c>
      <c r="G23" s="17">
        <f t="shared" si="1"/>
        <v>-679658.41000000015</v>
      </c>
    </row>
    <row r="24" spans="2:7" x14ac:dyDescent="0.2">
      <c r="B24" s="4">
        <v>7</v>
      </c>
      <c r="C24" s="15">
        <v>45444</v>
      </c>
      <c r="D24" s="53">
        <f>1655661-1982</f>
        <v>1653679</v>
      </c>
      <c r="E24" s="54">
        <v>1305370</v>
      </c>
      <c r="F24" s="18">
        <f t="shared" si="0"/>
        <v>348309</v>
      </c>
      <c r="G24" s="19">
        <f t="shared" si="1"/>
        <v>-331349.41000000015</v>
      </c>
    </row>
    <row r="25" spans="2:7" x14ac:dyDescent="0.2">
      <c r="B25" s="20" t="s">
        <v>19</v>
      </c>
      <c r="C25" s="13">
        <v>45474</v>
      </c>
      <c r="D25" s="51">
        <f>1609522-0</f>
        <v>1609522</v>
      </c>
      <c r="E25" s="52">
        <v>2002153.36</v>
      </c>
      <c r="F25" s="14">
        <f t="shared" si="0"/>
        <v>-392631.3600000001</v>
      </c>
      <c r="G25" s="12">
        <f t="shared" si="1"/>
        <v>-723980.77000000025</v>
      </c>
    </row>
    <row r="26" spans="2:7" x14ac:dyDescent="0.2">
      <c r="B26" s="21" t="s">
        <v>20</v>
      </c>
      <c r="C26" s="22">
        <v>45505</v>
      </c>
      <c r="D26" s="60">
        <f>1398259-0</f>
        <v>1398259</v>
      </c>
      <c r="E26" s="61">
        <v>1772696.56</v>
      </c>
      <c r="F26" s="18">
        <f t="shared" si="0"/>
        <v>-374437.56000000006</v>
      </c>
      <c r="G26" s="19">
        <f t="shared" si="1"/>
        <v>-1098418.3300000003</v>
      </c>
    </row>
    <row r="27" spans="2:7" x14ac:dyDescent="0.2">
      <c r="B27" s="5"/>
      <c r="C27" s="23" t="s">
        <v>95</v>
      </c>
      <c r="D27" s="24"/>
      <c r="E27" s="24"/>
      <c r="F27" s="24"/>
      <c r="G27" s="25"/>
    </row>
    <row r="28" spans="2:7" x14ac:dyDescent="0.2">
      <c r="B28" s="2"/>
      <c r="C28" s="1"/>
      <c r="D28" s="1"/>
      <c r="E28" s="1"/>
      <c r="F28" s="1"/>
      <c r="G28" s="12"/>
    </row>
    <row r="29" spans="2:7" x14ac:dyDescent="0.2">
      <c r="B29" s="4"/>
      <c r="C29" s="3"/>
      <c r="D29" s="4" t="s">
        <v>21</v>
      </c>
      <c r="E29" s="4" t="s">
        <v>22</v>
      </c>
      <c r="F29" s="3"/>
      <c r="G29" s="17"/>
    </row>
    <row r="30" spans="2:7" x14ac:dyDescent="0.2">
      <c r="B30" s="4">
        <v>8</v>
      </c>
      <c r="C30" s="3"/>
      <c r="D30" s="4" t="s">
        <v>23</v>
      </c>
      <c r="E30" s="4" t="s">
        <v>24</v>
      </c>
      <c r="F30" s="3"/>
      <c r="G30" s="26" t="s">
        <v>21</v>
      </c>
    </row>
    <row r="31" spans="2:7" x14ac:dyDescent="0.2">
      <c r="B31" s="4"/>
      <c r="C31" s="3"/>
      <c r="D31" s="4" t="s">
        <v>25</v>
      </c>
      <c r="E31" s="4" t="s">
        <v>26</v>
      </c>
      <c r="F31" s="3"/>
      <c r="G31" s="26" t="s">
        <v>27</v>
      </c>
    </row>
    <row r="32" spans="2:7" x14ac:dyDescent="0.2">
      <c r="B32" s="4"/>
      <c r="C32" s="3"/>
      <c r="D32" s="4" t="s">
        <v>28</v>
      </c>
      <c r="E32" s="4" t="s">
        <v>29</v>
      </c>
      <c r="F32" s="3"/>
      <c r="G32" s="26" t="s">
        <v>30</v>
      </c>
    </row>
    <row r="33" spans="2:7" x14ac:dyDescent="0.2">
      <c r="B33" s="5"/>
      <c r="C33" s="3"/>
      <c r="D33" s="4" t="s">
        <v>31</v>
      </c>
      <c r="E33" s="4" t="s">
        <v>32</v>
      </c>
      <c r="F33" s="3"/>
      <c r="G33" s="26" t="s">
        <v>33</v>
      </c>
    </row>
    <row r="34" spans="2:7" x14ac:dyDescent="0.2">
      <c r="B34" s="20" t="s">
        <v>34</v>
      </c>
      <c r="C34" s="1" t="s">
        <v>89</v>
      </c>
      <c r="D34" s="12">
        <f>-G13</f>
        <v>-863830</v>
      </c>
      <c r="E34" s="12">
        <f>D68</f>
        <v>575888</v>
      </c>
      <c r="F34" s="1"/>
      <c r="G34" s="12">
        <f t="shared" ref="G34:G38" si="2">D34+E34</f>
        <v>-287942</v>
      </c>
    </row>
    <row r="35" spans="2:7" x14ac:dyDescent="0.2">
      <c r="B35" s="27" t="s">
        <v>35</v>
      </c>
      <c r="C35" s="3" t="s">
        <v>77</v>
      </c>
      <c r="D35" s="17">
        <f>-G14</f>
        <v>458509.94999999995</v>
      </c>
      <c r="E35" s="17">
        <v>0</v>
      </c>
      <c r="F35" s="3"/>
      <c r="G35" s="17">
        <f t="shared" si="2"/>
        <v>458509.94999999995</v>
      </c>
    </row>
    <row r="36" spans="2:7" x14ac:dyDescent="0.2">
      <c r="B36" s="27" t="s">
        <v>78</v>
      </c>
      <c r="C36" s="3" t="s">
        <v>83</v>
      </c>
      <c r="D36" s="17">
        <f>-G15</f>
        <v>10292.059999999939</v>
      </c>
      <c r="E36" s="17">
        <v>0</v>
      </c>
      <c r="F36" s="3"/>
      <c r="G36" s="17">
        <f t="shared" si="2"/>
        <v>10292.059999999939</v>
      </c>
    </row>
    <row r="37" spans="2:7" x14ac:dyDescent="0.2">
      <c r="B37" s="27" t="s">
        <v>84</v>
      </c>
      <c r="C37" s="3" t="s">
        <v>90</v>
      </c>
      <c r="D37" s="17">
        <f>-G16</f>
        <v>807234.47000000009</v>
      </c>
      <c r="E37" s="17">
        <v>0</v>
      </c>
      <c r="F37" s="3"/>
      <c r="G37" s="17">
        <f t="shared" si="2"/>
        <v>807234.47000000009</v>
      </c>
    </row>
    <row r="38" spans="2:7" x14ac:dyDescent="0.2">
      <c r="B38" s="27" t="s">
        <v>91</v>
      </c>
      <c r="C38" s="28" t="s">
        <v>96</v>
      </c>
      <c r="D38" s="19">
        <f>-G17</f>
        <v>23630.150000000256</v>
      </c>
      <c r="E38" s="19">
        <v>0</v>
      </c>
      <c r="F38" s="28"/>
      <c r="G38" s="19">
        <f t="shared" si="2"/>
        <v>23630.150000000256</v>
      </c>
    </row>
    <row r="39" spans="2:7" x14ac:dyDescent="0.2">
      <c r="B39" s="5" t="s">
        <v>97</v>
      </c>
      <c r="C39" s="29"/>
      <c r="D39" s="30"/>
      <c r="E39" s="30"/>
      <c r="F39" s="31" t="s">
        <v>36</v>
      </c>
      <c r="G39" s="19">
        <f>G34+G35+G36+G37+G38</f>
        <v>1011724.6300000002</v>
      </c>
    </row>
    <row r="40" spans="2:7" x14ac:dyDescent="0.2">
      <c r="B40" s="32"/>
      <c r="G40" s="33"/>
    </row>
    <row r="41" spans="2:7" x14ac:dyDescent="0.2">
      <c r="B41" s="6">
        <v>9</v>
      </c>
      <c r="C41" s="34" t="s">
        <v>98</v>
      </c>
      <c r="D41" s="8"/>
      <c r="E41" s="8"/>
      <c r="F41" s="9"/>
      <c r="G41" s="35">
        <f>G24+G39</f>
        <v>680375.22000000009</v>
      </c>
    </row>
    <row r="42" spans="2:7" x14ac:dyDescent="0.2">
      <c r="B42" s="32"/>
      <c r="G42" s="33"/>
    </row>
    <row r="43" spans="2:7" x14ac:dyDescent="0.2">
      <c r="B43" s="6">
        <v>10</v>
      </c>
      <c r="C43" s="34" t="s">
        <v>72</v>
      </c>
      <c r="D43" s="8"/>
      <c r="E43" s="8"/>
      <c r="F43" s="9"/>
      <c r="G43" s="35">
        <f>G41/6</f>
        <v>113395.87000000001</v>
      </c>
    </row>
    <row r="45" spans="2:7" x14ac:dyDescent="0.2">
      <c r="B45" s="1"/>
      <c r="C45" s="36" t="s">
        <v>37</v>
      </c>
      <c r="D45" s="37"/>
      <c r="E45" s="37"/>
      <c r="F45" s="37"/>
      <c r="G45" s="38"/>
    </row>
    <row r="46" spans="2:7" x14ac:dyDescent="0.2">
      <c r="B46" s="1"/>
      <c r="C46" s="39"/>
      <c r="D46" s="39"/>
      <c r="E46" s="39"/>
      <c r="F46" s="39"/>
      <c r="G46" s="11"/>
    </row>
    <row r="47" spans="2:7" x14ac:dyDescent="0.2">
      <c r="B47" s="4">
        <v>11</v>
      </c>
      <c r="C47" t="s">
        <v>38</v>
      </c>
      <c r="G47" s="41">
        <f>G18</f>
        <v>-435836.63000000024</v>
      </c>
    </row>
    <row r="48" spans="2:7" x14ac:dyDescent="0.2">
      <c r="B48" s="4">
        <v>12</v>
      </c>
      <c r="C48" t="s">
        <v>39</v>
      </c>
      <c r="G48" s="42">
        <f>G39</f>
        <v>1011724.6300000002</v>
      </c>
    </row>
    <row r="49" spans="2:7" x14ac:dyDescent="0.2">
      <c r="B49" s="4"/>
      <c r="G49" s="41"/>
    </row>
    <row r="50" spans="2:7" ht="15" thickBot="1" x14ac:dyDescent="0.25">
      <c r="B50" s="4">
        <v>13</v>
      </c>
      <c r="C50" t="s">
        <v>40</v>
      </c>
      <c r="G50" s="43">
        <f>G47+G48</f>
        <v>575888</v>
      </c>
    </row>
    <row r="51" spans="2:7" ht="15" thickTop="1" x14ac:dyDescent="0.2">
      <c r="B51" s="4"/>
      <c r="G51" s="41"/>
    </row>
    <row r="52" spans="2:7" x14ac:dyDescent="0.2">
      <c r="B52" s="4">
        <v>14</v>
      </c>
      <c r="C52" t="s">
        <v>41</v>
      </c>
      <c r="G52" s="41">
        <f>G41</f>
        <v>680375.22000000009</v>
      </c>
    </row>
    <row r="53" spans="2:7" x14ac:dyDescent="0.2">
      <c r="B53" s="4"/>
      <c r="G53" s="41"/>
    </row>
    <row r="54" spans="2:7" x14ac:dyDescent="0.2">
      <c r="B54" s="4">
        <v>15</v>
      </c>
      <c r="C54" t="s">
        <v>42</v>
      </c>
      <c r="G54" s="42">
        <f>SUM(F19:F24)</f>
        <v>104487.22000000009</v>
      </c>
    </row>
    <row r="55" spans="2:7" x14ac:dyDescent="0.2">
      <c r="B55" s="4"/>
      <c r="G55" s="41"/>
    </row>
    <row r="56" spans="2:7" ht="15" thickBot="1" x14ac:dyDescent="0.25">
      <c r="B56" s="4">
        <v>16</v>
      </c>
      <c r="C56" t="s">
        <v>43</v>
      </c>
      <c r="G56" s="43">
        <f>G52-G54</f>
        <v>575888</v>
      </c>
    </row>
    <row r="57" spans="2:7" ht="15" thickTop="1" x14ac:dyDescent="0.2">
      <c r="B57" s="28"/>
      <c r="C57" s="44"/>
      <c r="D57" s="44"/>
      <c r="E57" s="44"/>
      <c r="F57" s="44"/>
      <c r="G57" s="45"/>
    </row>
    <row r="59" spans="2:7" x14ac:dyDescent="0.2">
      <c r="B59" t="s">
        <v>44</v>
      </c>
    </row>
    <row r="60" spans="2:7" x14ac:dyDescent="0.2">
      <c r="B60" s="32"/>
      <c r="C60" s="1"/>
      <c r="D60" s="2" t="s">
        <v>45</v>
      </c>
      <c r="E60" s="27"/>
      <c r="F60" s="32"/>
      <c r="G60" s="32"/>
    </row>
    <row r="61" spans="2:7" x14ac:dyDescent="0.2">
      <c r="B61" s="32"/>
      <c r="C61" s="5" t="s">
        <v>10</v>
      </c>
      <c r="D61" s="5" t="s">
        <v>73</v>
      </c>
      <c r="E61" s="27"/>
      <c r="F61" s="32"/>
      <c r="G61" s="32"/>
    </row>
    <row r="62" spans="2:7" x14ac:dyDescent="0.2">
      <c r="C62" s="13">
        <v>45292</v>
      </c>
      <c r="D62" s="12">
        <v>0</v>
      </c>
      <c r="E62" s="16"/>
      <c r="F62" s="33"/>
      <c r="G62" s="33"/>
    </row>
    <row r="63" spans="2:7" x14ac:dyDescent="0.2">
      <c r="C63" s="15">
        <v>45323</v>
      </c>
      <c r="D63" s="17">
        <v>0</v>
      </c>
      <c r="E63" s="16"/>
      <c r="F63" s="33"/>
      <c r="G63" s="33"/>
    </row>
    <row r="64" spans="2:7" x14ac:dyDescent="0.2">
      <c r="C64" s="15">
        <v>45352</v>
      </c>
      <c r="D64" s="17">
        <v>143972</v>
      </c>
      <c r="E64" s="16"/>
      <c r="F64" s="33"/>
      <c r="G64" s="33"/>
    </row>
    <row r="65" spans="3:7" x14ac:dyDescent="0.2">
      <c r="C65" s="15">
        <v>45383</v>
      </c>
      <c r="D65" s="17">
        <v>143972</v>
      </c>
      <c r="E65" s="16"/>
      <c r="F65" s="33"/>
      <c r="G65" s="33"/>
    </row>
    <row r="66" spans="3:7" x14ac:dyDescent="0.2">
      <c r="C66" s="15">
        <v>45413</v>
      </c>
      <c r="D66" s="17">
        <v>143972</v>
      </c>
      <c r="E66" s="16"/>
      <c r="F66" s="33"/>
      <c r="G66" s="33"/>
    </row>
    <row r="67" spans="3:7" x14ac:dyDescent="0.2">
      <c r="C67" s="15">
        <v>45444</v>
      </c>
      <c r="D67" s="19">
        <v>143972</v>
      </c>
      <c r="E67" s="16"/>
      <c r="F67" s="33"/>
      <c r="G67" s="33"/>
    </row>
    <row r="68" spans="3:7" x14ac:dyDescent="0.2">
      <c r="C68" s="49" t="s">
        <v>46</v>
      </c>
      <c r="D68" s="35">
        <f>SUM(D62:D67)</f>
        <v>575888</v>
      </c>
      <c r="E68" s="16"/>
      <c r="F68" s="33"/>
      <c r="G68" s="33"/>
    </row>
  </sheetData>
  <mergeCells count="2">
    <mergeCell ref="B4:G5"/>
    <mergeCell ref="C12:G1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05A79-F360-46C8-9B90-24E8361B2DF9}">
  <dimension ref="A1:G70"/>
  <sheetViews>
    <sheetView workbookViewId="0"/>
  </sheetViews>
  <sheetFormatPr defaultColWidth="12.625" defaultRowHeight="14.25" x14ac:dyDescent="0.2"/>
  <cols>
    <col min="2" max="2" width="8.625" customWidth="1"/>
    <col min="3" max="3" width="31.75" customWidth="1"/>
    <col min="4" max="5" width="17.625" customWidth="1"/>
    <col min="6" max="6" width="21.25" customWidth="1"/>
    <col min="7" max="7" width="17.625" customWidth="1"/>
  </cols>
  <sheetData>
    <row r="1" spans="1:7" x14ac:dyDescent="0.2">
      <c r="A1" t="str">
        <f>'Current 05-31-25'!$A$1</f>
        <v>Staff DR1 Response 2 - South Kentucky Surcharge Summary.xlsx</v>
      </c>
    </row>
    <row r="4" spans="1:7" ht="14.25" customHeight="1" x14ac:dyDescent="0.2">
      <c r="B4" s="76" t="s">
        <v>48</v>
      </c>
      <c r="C4" s="77"/>
      <c r="D4" s="77"/>
      <c r="E4" s="77"/>
      <c r="F4" s="77"/>
      <c r="G4" s="78"/>
    </row>
    <row r="5" spans="1:7" ht="14.25" customHeight="1" x14ac:dyDescent="0.2">
      <c r="B5" s="79"/>
      <c r="C5" s="80"/>
      <c r="D5" s="80"/>
      <c r="E5" s="80"/>
      <c r="F5" s="80"/>
      <c r="G5" s="81"/>
    </row>
    <row r="7" spans="1:7" x14ac:dyDescent="0.2">
      <c r="B7" s="1"/>
      <c r="C7" s="1"/>
      <c r="D7" s="1"/>
      <c r="E7" s="2" t="s">
        <v>0</v>
      </c>
      <c r="F7" s="1"/>
      <c r="G7" s="1"/>
    </row>
    <row r="8" spans="1:7" x14ac:dyDescent="0.2">
      <c r="B8" s="3"/>
      <c r="C8" s="3"/>
      <c r="D8" s="4" t="s">
        <v>1</v>
      </c>
      <c r="E8" s="4" t="s">
        <v>2</v>
      </c>
      <c r="F8" s="3"/>
      <c r="G8" s="3"/>
    </row>
    <row r="9" spans="1:7" x14ac:dyDescent="0.2">
      <c r="B9" s="3"/>
      <c r="C9" s="3"/>
      <c r="D9" s="4" t="s">
        <v>3</v>
      </c>
      <c r="E9" s="4" t="s">
        <v>4</v>
      </c>
      <c r="F9" s="4" t="s">
        <v>5</v>
      </c>
      <c r="G9" s="4" t="s">
        <v>6</v>
      </c>
    </row>
    <row r="10" spans="1:7" x14ac:dyDescent="0.2">
      <c r="B10" s="5"/>
      <c r="C10" s="5"/>
      <c r="D10" s="5" t="s">
        <v>7</v>
      </c>
      <c r="E10" s="5" t="s">
        <v>7</v>
      </c>
      <c r="F10" s="5" t="s">
        <v>8</v>
      </c>
      <c r="G10" s="5" t="s">
        <v>8</v>
      </c>
    </row>
    <row r="11" spans="1:7" x14ac:dyDescent="0.2">
      <c r="B11" s="6" t="s">
        <v>9</v>
      </c>
      <c r="C11" s="6" t="s">
        <v>10</v>
      </c>
      <c r="D11" s="7" t="s">
        <v>11</v>
      </c>
      <c r="E11" s="7" t="s">
        <v>12</v>
      </c>
      <c r="F11" s="7" t="s">
        <v>13</v>
      </c>
      <c r="G11" s="7" t="s">
        <v>14</v>
      </c>
    </row>
    <row r="12" spans="1:7" x14ac:dyDescent="0.2">
      <c r="B12" s="2">
        <v>1</v>
      </c>
      <c r="C12" s="68" t="s">
        <v>15</v>
      </c>
      <c r="D12" s="69"/>
      <c r="E12" s="69"/>
      <c r="F12" s="69"/>
      <c r="G12" s="70"/>
    </row>
    <row r="13" spans="1:7" x14ac:dyDescent="0.2">
      <c r="B13" s="2" t="s">
        <v>16</v>
      </c>
      <c r="C13" s="8" t="s">
        <v>69</v>
      </c>
      <c r="D13" s="8"/>
      <c r="E13" s="8"/>
      <c r="F13" s="9"/>
      <c r="G13" s="35">
        <v>287942</v>
      </c>
    </row>
    <row r="14" spans="1:7" x14ac:dyDescent="0.2">
      <c r="B14" s="4" t="s">
        <v>17</v>
      </c>
      <c r="C14" s="8" t="s">
        <v>74</v>
      </c>
      <c r="D14" s="8"/>
      <c r="E14" s="8"/>
      <c r="F14" s="9"/>
      <c r="G14" s="82">
        <f>'A - 05-31-22'!G33</f>
        <v>-458509.94999999995</v>
      </c>
    </row>
    <row r="15" spans="1:7" x14ac:dyDescent="0.2">
      <c r="B15" s="4" t="s">
        <v>75</v>
      </c>
      <c r="C15" s="8" t="s">
        <v>80</v>
      </c>
      <c r="D15" s="8"/>
      <c r="E15" s="8"/>
      <c r="F15" s="9"/>
      <c r="G15" s="82">
        <f>'B - 11-30-22'!G35</f>
        <v>-10292.059999999939</v>
      </c>
    </row>
    <row r="16" spans="1:7" x14ac:dyDescent="0.2">
      <c r="B16" s="4" t="s">
        <v>81</v>
      </c>
      <c r="C16" s="8" t="s">
        <v>86</v>
      </c>
      <c r="D16" s="8"/>
      <c r="E16" s="8"/>
      <c r="F16" s="11"/>
      <c r="G16" s="51">
        <f>'C - 05-31-23'!G37</f>
        <v>-807234.47000000009</v>
      </c>
    </row>
    <row r="17" spans="2:7" x14ac:dyDescent="0.2">
      <c r="B17" s="4" t="s">
        <v>87</v>
      </c>
      <c r="C17" s="8" t="s">
        <v>93</v>
      </c>
      <c r="D17" s="8"/>
      <c r="E17" s="8"/>
      <c r="F17" s="11"/>
      <c r="G17" s="51">
        <f>'D - 11-30-23'!G39</f>
        <v>-23630.150000000256</v>
      </c>
    </row>
    <row r="18" spans="2:7" x14ac:dyDescent="0.2">
      <c r="B18" s="4" t="s">
        <v>94</v>
      </c>
      <c r="C18" s="8" t="s">
        <v>99</v>
      </c>
      <c r="D18" s="8"/>
      <c r="E18" s="8"/>
      <c r="F18" s="11"/>
      <c r="G18" s="51">
        <f>'E - 05-31-24'!G41</f>
        <v>680375.22000000009</v>
      </c>
    </row>
    <row r="19" spans="2:7" x14ac:dyDescent="0.2">
      <c r="B19" s="5" t="s">
        <v>100</v>
      </c>
      <c r="C19" s="8" t="s">
        <v>18</v>
      </c>
      <c r="D19" s="8"/>
      <c r="E19" s="8"/>
      <c r="F19" s="11"/>
      <c r="G19" s="12">
        <f>G13+G14+G15+G16+G17+G18</f>
        <v>-331349.41000000015</v>
      </c>
    </row>
    <row r="20" spans="2:7" x14ac:dyDescent="0.2">
      <c r="B20" s="4">
        <v>2</v>
      </c>
      <c r="C20" s="13">
        <v>45474</v>
      </c>
      <c r="D20" s="51">
        <f>1609522-0</f>
        <v>1609522</v>
      </c>
      <c r="E20" s="52">
        <v>2002153.36</v>
      </c>
      <c r="F20" s="14">
        <f t="shared" ref="F20:F27" si="0">D20-E20</f>
        <v>-392631.3600000001</v>
      </c>
      <c r="G20" s="12">
        <f t="shared" ref="G20:G27" si="1">G19+F20</f>
        <v>-723980.77000000025</v>
      </c>
    </row>
    <row r="21" spans="2:7" x14ac:dyDescent="0.2">
      <c r="B21" s="4">
        <v>3</v>
      </c>
      <c r="C21" s="15">
        <v>45505</v>
      </c>
      <c r="D21" s="53">
        <f>1398259-0</f>
        <v>1398259</v>
      </c>
      <c r="E21" s="54">
        <v>1772696.56</v>
      </c>
      <c r="F21" s="16">
        <f t="shared" si="0"/>
        <v>-374437.56000000006</v>
      </c>
      <c r="G21" s="17">
        <f t="shared" si="1"/>
        <v>-1098418.3300000003</v>
      </c>
    </row>
    <row r="22" spans="2:7" x14ac:dyDescent="0.2">
      <c r="B22" s="4">
        <v>4</v>
      </c>
      <c r="C22" s="15">
        <v>45536</v>
      </c>
      <c r="D22" s="53">
        <f>1324788-0</f>
        <v>1324788</v>
      </c>
      <c r="E22" s="54">
        <v>1439969.38</v>
      </c>
      <c r="F22" s="16">
        <f t="shared" si="0"/>
        <v>-115181.37999999989</v>
      </c>
      <c r="G22" s="17">
        <f t="shared" si="1"/>
        <v>-1213599.7100000002</v>
      </c>
    </row>
    <row r="23" spans="2:7" x14ac:dyDescent="0.2">
      <c r="B23" s="4">
        <v>5</v>
      </c>
      <c r="C23" s="15">
        <v>45566</v>
      </c>
      <c r="D23" s="53">
        <f>1059614-1664</f>
        <v>1057950</v>
      </c>
      <c r="E23" s="54">
        <v>1388067.09</v>
      </c>
      <c r="F23" s="16">
        <f t="shared" si="0"/>
        <v>-330117.09000000008</v>
      </c>
      <c r="G23" s="17">
        <f t="shared" si="1"/>
        <v>-1543716.8000000003</v>
      </c>
    </row>
    <row r="24" spans="2:7" x14ac:dyDescent="0.2">
      <c r="B24" s="4">
        <v>6</v>
      </c>
      <c r="C24" s="15">
        <v>45597</v>
      </c>
      <c r="D24" s="53">
        <f>1306769-1775</f>
        <v>1304994</v>
      </c>
      <c r="E24" s="54">
        <v>1260504.76</v>
      </c>
      <c r="F24" s="16">
        <f t="shared" si="0"/>
        <v>44489.239999999991</v>
      </c>
      <c r="G24" s="17">
        <f t="shared" si="1"/>
        <v>-1499227.5600000003</v>
      </c>
    </row>
    <row r="25" spans="2:7" x14ac:dyDescent="0.2">
      <c r="B25" s="4">
        <v>7</v>
      </c>
      <c r="C25" s="15">
        <v>45627</v>
      </c>
      <c r="D25" s="53">
        <f>2134178-2104</f>
        <v>2132074</v>
      </c>
      <c r="E25" s="54">
        <f>1671338.83</f>
        <v>1671338.83</v>
      </c>
      <c r="F25" s="18">
        <f t="shared" si="0"/>
        <v>460735.16999999993</v>
      </c>
      <c r="G25" s="19">
        <f t="shared" si="1"/>
        <v>-1038492.3900000004</v>
      </c>
    </row>
    <row r="26" spans="2:7" x14ac:dyDescent="0.2">
      <c r="B26" s="20" t="s">
        <v>19</v>
      </c>
      <c r="C26" s="13">
        <v>45658</v>
      </c>
      <c r="D26" s="51">
        <f>2781862-1923</f>
        <v>2779939</v>
      </c>
      <c r="E26" s="52">
        <v>2250594.52</v>
      </c>
      <c r="F26" s="14">
        <f t="shared" si="0"/>
        <v>529344.48</v>
      </c>
      <c r="G26" s="12">
        <f t="shared" si="1"/>
        <v>-509147.91000000038</v>
      </c>
    </row>
    <row r="27" spans="2:7" x14ac:dyDescent="0.2">
      <c r="B27" s="21" t="s">
        <v>20</v>
      </c>
      <c r="C27" s="22">
        <v>45689</v>
      </c>
      <c r="D27" s="60">
        <f>1937702-1452</f>
        <v>1936250</v>
      </c>
      <c r="E27" s="61">
        <f>2225660.74</f>
        <v>2225660.7400000002</v>
      </c>
      <c r="F27" s="18">
        <f t="shared" si="0"/>
        <v>-289410.74000000022</v>
      </c>
      <c r="G27" s="19">
        <f t="shared" si="1"/>
        <v>-798558.65000000061</v>
      </c>
    </row>
    <row r="28" spans="2:7" x14ac:dyDescent="0.2">
      <c r="B28" s="5"/>
      <c r="C28" s="23" t="s">
        <v>101</v>
      </c>
      <c r="D28" s="24"/>
      <c r="E28" s="24"/>
      <c r="F28" s="24"/>
      <c r="G28" s="25"/>
    </row>
    <row r="29" spans="2:7" x14ac:dyDescent="0.2">
      <c r="B29" s="2"/>
      <c r="C29" s="1"/>
      <c r="D29" s="1"/>
      <c r="E29" s="1"/>
      <c r="F29" s="1"/>
      <c r="G29" s="12"/>
    </row>
    <row r="30" spans="2:7" x14ac:dyDescent="0.2">
      <c r="B30" s="4"/>
      <c r="C30" s="3"/>
      <c r="D30" s="4" t="s">
        <v>21</v>
      </c>
      <c r="E30" s="4" t="s">
        <v>22</v>
      </c>
      <c r="F30" s="3"/>
      <c r="G30" s="17"/>
    </row>
    <row r="31" spans="2:7" x14ac:dyDescent="0.2">
      <c r="B31" s="4">
        <v>8</v>
      </c>
      <c r="C31" s="3"/>
      <c r="D31" s="4" t="s">
        <v>23</v>
      </c>
      <c r="E31" s="4" t="s">
        <v>24</v>
      </c>
      <c r="F31" s="3"/>
      <c r="G31" s="26" t="s">
        <v>21</v>
      </c>
    </row>
    <row r="32" spans="2:7" x14ac:dyDescent="0.2">
      <c r="B32" s="4"/>
      <c r="C32" s="3"/>
      <c r="D32" s="4" t="s">
        <v>25</v>
      </c>
      <c r="E32" s="4" t="s">
        <v>26</v>
      </c>
      <c r="F32" s="3"/>
      <c r="G32" s="26" t="s">
        <v>27</v>
      </c>
    </row>
    <row r="33" spans="2:7" x14ac:dyDescent="0.2">
      <c r="B33" s="4"/>
      <c r="C33" s="3"/>
      <c r="D33" s="4" t="s">
        <v>28</v>
      </c>
      <c r="E33" s="4" t="s">
        <v>29</v>
      </c>
      <c r="F33" s="3"/>
      <c r="G33" s="26" t="s">
        <v>30</v>
      </c>
    </row>
    <row r="34" spans="2:7" x14ac:dyDescent="0.2">
      <c r="B34" s="5"/>
      <c r="C34" s="3"/>
      <c r="D34" s="4" t="s">
        <v>31</v>
      </c>
      <c r="E34" s="4" t="s">
        <v>32</v>
      </c>
      <c r="F34" s="3"/>
      <c r="G34" s="26" t="s">
        <v>33</v>
      </c>
    </row>
    <row r="35" spans="2:7" x14ac:dyDescent="0.2">
      <c r="B35" s="20" t="s">
        <v>34</v>
      </c>
      <c r="C35" s="1" t="s">
        <v>89</v>
      </c>
      <c r="D35" s="12">
        <f t="shared" ref="D35:D40" si="2">-G13</f>
        <v>-287942</v>
      </c>
      <c r="E35" s="12">
        <f>D70</f>
        <v>287942</v>
      </c>
      <c r="F35" s="1"/>
      <c r="G35" s="12">
        <f t="shared" ref="G35:G40" si="3">D35+E35</f>
        <v>0</v>
      </c>
    </row>
    <row r="36" spans="2:7" x14ac:dyDescent="0.2">
      <c r="B36" s="27" t="s">
        <v>35</v>
      </c>
      <c r="C36" s="3" t="s">
        <v>77</v>
      </c>
      <c r="D36" s="17">
        <f t="shared" si="2"/>
        <v>458509.94999999995</v>
      </c>
      <c r="E36" s="17">
        <v>0</v>
      </c>
      <c r="F36" s="3" t="s">
        <v>102</v>
      </c>
      <c r="G36" s="17">
        <f t="shared" si="3"/>
        <v>458509.94999999995</v>
      </c>
    </row>
    <row r="37" spans="2:7" x14ac:dyDescent="0.2">
      <c r="B37" s="27" t="s">
        <v>78</v>
      </c>
      <c r="C37" s="3" t="s">
        <v>83</v>
      </c>
      <c r="D37" s="17">
        <f t="shared" si="2"/>
        <v>10292.059999999939</v>
      </c>
      <c r="E37" s="17">
        <v>0</v>
      </c>
      <c r="F37" s="3"/>
      <c r="G37" s="17">
        <f t="shared" si="3"/>
        <v>10292.059999999939</v>
      </c>
    </row>
    <row r="38" spans="2:7" x14ac:dyDescent="0.2">
      <c r="B38" s="27" t="s">
        <v>84</v>
      </c>
      <c r="C38" s="3" t="s">
        <v>90</v>
      </c>
      <c r="D38" s="17">
        <f t="shared" si="2"/>
        <v>807234.47000000009</v>
      </c>
      <c r="E38" s="17">
        <v>0</v>
      </c>
      <c r="F38" s="3"/>
      <c r="G38" s="17">
        <f t="shared" si="3"/>
        <v>807234.47000000009</v>
      </c>
    </row>
    <row r="39" spans="2:7" x14ac:dyDescent="0.2">
      <c r="B39" s="27" t="s">
        <v>91</v>
      </c>
      <c r="C39" s="3" t="s">
        <v>96</v>
      </c>
      <c r="D39" s="17">
        <f t="shared" si="2"/>
        <v>23630.150000000256</v>
      </c>
      <c r="E39" s="17">
        <v>0</v>
      </c>
      <c r="F39" s="3"/>
      <c r="G39" s="17">
        <f t="shared" si="3"/>
        <v>23630.150000000256</v>
      </c>
    </row>
    <row r="40" spans="2:7" x14ac:dyDescent="0.2">
      <c r="B40" s="27" t="s">
        <v>97</v>
      </c>
      <c r="C40" s="28" t="s">
        <v>103</v>
      </c>
      <c r="D40" s="19">
        <f t="shared" si="2"/>
        <v>-680375.22000000009</v>
      </c>
      <c r="E40" s="19">
        <v>0</v>
      </c>
      <c r="F40" s="28"/>
      <c r="G40" s="19">
        <f t="shared" si="3"/>
        <v>-680375.22000000009</v>
      </c>
    </row>
    <row r="41" spans="2:7" x14ac:dyDescent="0.2">
      <c r="B41" s="5" t="s">
        <v>104</v>
      </c>
      <c r="C41" s="29"/>
      <c r="D41" s="30"/>
      <c r="E41" s="30"/>
      <c r="F41" s="31" t="s">
        <v>36</v>
      </c>
      <c r="G41" s="19">
        <f>G35+G36+G37+G38+G39+G40</f>
        <v>619291.41000000027</v>
      </c>
    </row>
    <row r="42" spans="2:7" x14ac:dyDescent="0.2">
      <c r="B42" s="32"/>
      <c r="G42" s="33"/>
    </row>
    <row r="43" spans="2:7" x14ac:dyDescent="0.2">
      <c r="B43" s="6">
        <v>9</v>
      </c>
      <c r="C43" s="34" t="s">
        <v>105</v>
      </c>
      <c r="D43" s="8"/>
      <c r="E43" s="8"/>
      <c r="F43" s="9"/>
      <c r="G43" s="35">
        <f>G25+G41</f>
        <v>-419200.9800000001</v>
      </c>
    </row>
    <row r="44" spans="2:7" x14ac:dyDescent="0.2">
      <c r="B44" s="32"/>
      <c r="G44" s="33"/>
    </row>
    <row r="45" spans="2:7" x14ac:dyDescent="0.2">
      <c r="B45" s="6">
        <v>10</v>
      </c>
      <c r="C45" s="34" t="s">
        <v>72</v>
      </c>
      <c r="D45" s="8"/>
      <c r="E45" s="8"/>
      <c r="F45" s="9"/>
      <c r="G45" s="35">
        <f>G43/6</f>
        <v>-69866.830000000016</v>
      </c>
    </row>
    <row r="47" spans="2:7" x14ac:dyDescent="0.2">
      <c r="B47" s="1"/>
      <c r="C47" s="36" t="s">
        <v>37</v>
      </c>
      <c r="D47" s="37"/>
      <c r="E47" s="37"/>
      <c r="F47" s="37"/>
      <c r="G47" s="38"/>
    </row>
    <row r="48" spans="2:7" x14ac:dyDescent="0.2">
      <c r="B48" s="1"/>
      <c r="C48" s="39"/>
      <c r="D48" s="39"/>
      <c r="E48" s="39"/>
      <c r="F48" s="39"/>
      <c r="G48" s="11"/>
    </row>
    <row r="49" spans="2:7" x14ac:dyDescent="0.2">
      <c r="B49" s="4">
        <v>11</v>
      </c>
      <c r="C49" t="s">
        <v>38</v>
      </c>
      <c r="G49" s="41">
        <f>G19</f>
        <v>-331349.41000000015</v>
      </c>
    </row>
    <row r="50" spans="2:7" x14ac:dyDescent="0.2">
      <c r="B50" s="4">
        <v>12</v>
      </c>
      <c r="C50" t="s">
        <v>39</v>
      </c>
      <c r="G50" s="42">
        <f>G41</f>
        <v>619291.41000000027</v>
      </c>
    </row>
    <row r="51" spans="2:7" x14ac:dyDescent="0.2">
      <c r="B51" s="4"/>
      <c r="G51" s="41"/>
    </row>
    <row r="52" spans="2:7" ht="15" thickBot="1" x14ac:dyDescent="0.25">
      <c r="B52" s="4">
        <v>13</v>
      </c>
      <c r="C52" t="s">
        <v>40</v>
      </c>
      <c r="G52" s="43">
        <f>G49+G50</f>
        <v>287942.00000000012</v>
      </c>
    </row>
    <row r="53" spans="2:7" ht="15" thickTop="1" x14ac:dyDescent="0.2">
      <c r="B53" s="4"/>
      <c r="G53" s="41"/>
    </row>
    <row r="54" spans="2:7" x14ac:dyDescent="0.2">
      <c r="B54" s="4">
        <v>14</v>
      </c>
      <c r="C54" t="s">
        <v>41</v>
      </c>
      <c r="G54" s="41">
        <f>G43</f>
        <v>-419200.9800000001</v>
      </c>
    </row>
    <row r="55" spans="2:7" x14ac:dyDescent="0.2">
      <c r="B55" s="4"/>
      <c r="G55" s="41"/>
    </row>
    <row r="56" spans="2:7" x14ac:dyDescent="0.2">
      <c r="B56" s="4">
        <v>15</v>
      </c>
      <c r="C56" t="s">
        <v>42</v>
      </c>
      <c r="G56" s="42">
        <f>SUM(F20:F25)</f>
        <v>-707142.98000000021</v>
      </c>
    </row>
    <row r="57" spans="2:7" x14ac:dyDescent="0.2">
      <c r="B57" s="4"/>
      <c r="G57" s="41"/>
    </row>
    <row r="58" spans="2:7" ht="15" thickBot="1" x14ac:dyDescent="0.25">
      <c r="B58" s="4">
        <v>16</v>
      </c>
      <c r="C58" t="s">
        <v>43</v>
      </c>
      <c r="G58" s="43">
        <f>G54-G56</f>
        <v>287942.00000000012</v>
      </c>
    </row>
    <row r="59" spans="2:7" ht="15" thickTop="1" x14ac:dyDescent="0.2">
      <c r="B59" s="28"/>
      <c r="C59" s="44"/>
      <c r="D59" s="44"/>
      <c r="E59" s="44"/>
      <c r="F59" s="44"/>
      <c r="G59" s="45"/>
    </row>
    <row r="61" spans="2:7" x14ac:dyDescent="0.2">
      <c r="B61" t="s">
        <v>44</v>
      </c>
    </row>
    <row r="62" spans="2:7" x14ac:dyDescent="0.2">
      <c r="B62" s="32"/>
      <c r="C62" s="1"/>
      <c r="D62" s="2" t="s">
        <v>45</v>
      </c>
      <c r="E62" s="27"/>
      <c r="F62" s="32"/>
      <c r="G62" s="32"/>
    </row>
    <row r="63" spans="2:7" x14ac:dyDescent="0.2">
      <c r="B63" s="32"/>
      <c r="C63" s="5" t="s">
        <v>10</v>
      </c>
      <c r="D63" s="5" t="s">
        <v>73</v>
      </c>
      <c r="E63" s="27"/>
      <c r="F63" s="32"/>
      <c r="G63" s="32"/>
    </row>
    <row r="64" spans="2:7" x14ac:dyDescent="0.2">
      <c r="C64" s="13">
        <v>45474</v>
      </c>
      <c r="D64" s="12">
        <v>143972</v>
      </c>
      <c r="E64" s="16"/>
      <c r="F64" s="33"/>
      <c r="G64" s="33"/>
    </row>
    <row r="65" spans="3:7" x14ac:dyDescent="0.2">
      <c r="C65" s="15">
        <v>45505</v>
      </c>
      <c r="D65" s="17">
        <v>143970</v>
      </c>
      <c r="E65" s="16"/>
      <c r="F65" s="33"/>
      <c r="G65" s="33"/>
    </row>
    <row r="66" spans="3:7" x14ac:dyDescent="0.2">
      <c r="C66" s="15">
        <v>45536</v>
      </c>
      <c r="D66" s="17">
        <v>0</v>
      </c>
      <c r="E66" s="16"/>
      <c r="F66" s="33"/>
      <c r="G66" s="33"/>
    </row>
    <row r="67" spans="3:7" x14ac:dyDescent="0.2">
      <c r="C67" s="15">
        <v>45566</v>
      </c>
      <c r="D67" s="17">
        <v>0</v>
      </c>
      <c r="E67" s="16"/>
      <c r="F67" s="33"/>
      <c r="G67" s="33"/>
    </row>
    <row r="68" spans="3:7" x14ac:dyDescent="0.2">
      <c r="C68" s="15">
        <v>45597</v>
      </c>
      <c r="D68" s="17">
        <v>0</v>
      </c>
      <c r="E68" s="16"/>
      <c r="F68" s="33"/>
      <c r="G68" s="33"/>
    </row>
    <row r="69" spans="3:7" x14ac:dyDescent="0.2">
      <c r="C69" s="15">
        <v>45627</v>
      </c>
      <c r="D69" s="19">
        <v>0</v>
      </c>
      <c r="E69" s="16"/>
      <c r="F69" s="33"/>
      <c r="G69" s="33"/>
    </row>
    <row r="70" spans="3:7" x14ac:dyDescent="0.2">
      <c r="C70" s="49" t="s">
        <v>46</v>
      </c>
      <c r="D70" s="35">
        <f>SUM(D64:D69)</f>
        <v>287942</v>
      </c>
      <c r="E70" s="16"/>
      <c r="F70" s="33"/>
      <c r="G70" s="33"/>
    </row>
  </sheetData>
  <mergeCells count="2">
    <mergeCell ref="B4:G5"/>
    <mergeCell ref="C12:G1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Current 05-31-25</vt:lpstr>
      <vt:lpstr>2025-00013 Summary</vt:lpstr>
      <vt:lpstr>A - 05-31-22</vt:lpstr>
      <vt:lpstr>B - 11-30-22</vt:lpstr>
      <vt:lpstr>C - 05-31-23</vt:lpstr>
      <vt:lpstr>D - 11-30-23</vt:lpstr>
      <vt:lpstr>E - 05-31-24</vt:lpstr>
      <vt:lpstr>F - 11-30-24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Isaac Scott</dc:creator>
  <cp:lastModifiedBy>Jacob Watson</cp:lastModifiedBy>
  <dcterms:created xsi:type="dcterms:W3CDTF">2022-06-13T11:58:16Z</dcterms:created>
  <dcterms:modified xsi:type="dcterms:W3CDTF">2025-10-15T15:55:11Z</dcterms:modified>
</cp:coreProperties>
</file>