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266 - 2 yr Review\DR1\To be filed\"/>
    </mc:Choice>
  </mc:AlternateContent>
  <xr:revisionPtr revIDLastSave="0" documentId="13_ncr:1_{EC2C4F56-A9A1-4985-B001-848919235B78}" xr6:coauthVersionLast="47" xr6:coauthVersionMax="47" xr10:uidLastSave="{00000000-0000-0000-0000-000000000000}"/>
  <bookViews>
    <workbookView xWindow="5235" yWindow="5235" windowWidth="38700" windowHeight="15285" xr2:uid="{00000000-000D-0000-FFFF-FFFF00000000}"/>
  </bookViews>
  <sheets>
    <sheet name="Current 05-31-25" sheetId="8" r:id="rId1"/>
    <sheet name="2025-00013 Summary" sheetId="9" r:id="rId2"/>
    <sheet name="A - 05-31-22" sheetId="10" r:id="rId3"/>
    <sheet name="B - 11-30-22" sheetId="11" r:id="rId4"/>
    <sheet name="C - 05-31-23" sheetId="12" r:id="rId5"/>
    <sheet name="D - 11-30-23" sheetId="13" r:id="rId6"/>
    <sheet name="E - 05-31-24" sheetId="14" r:id="rId7"/>
    <sheet name="F - 11-30-24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1" l="1"/>
  <c r="A1" i="12"/>
  <c r="A1" i="13"/>
  <c r="A1" i="14"/>
  <c r="A1" i="15"/>
  <c r="A1" i="10"/>
  <c r="A1" i="9"/>
  <c r="D70" i="15"/>
  <c r="G35" i="15"/>
  <c r="E35" i="15"/>
  <c r="D35" i="15"/>
  <c r="J27" i="15"/>
  <c r="L27" i="15" s="1"/>
  <c r="F27" i="15"/>
  <c r="D27" i="15"/>
  <c r="L26" i="15"/>
  <c r="K26" i="15"/>
  <c r="J26" i="15"/>
  <c r="E26" i="15"/>
  <c r="D26" i="15"/>
  <c r="F26" i="15" s="1"/>
  <c r="K25" i="15"/>
  <c r="L25" i="15" s="1"/>
  <c r="J25" i="15"/>
  <c r="F25" i="15"/>
  <c r="E25" i="15"/>
  <c r="D25" i="15"/>
  <c r="L24" i="15"/>
  <c r="D24" i="15"/>
  <c r="F24" i="15" s="1"/>
  <c r="L23" i="15"/>
  <c r="D23" i="15"/>
  <c r="F23" i="15" s="1"/>
  <c r="K22" i="15"/>
  <c r="L22" i="15" s="1"/>
  <c r="J22" i="15"/>
  <c r="E22" i="15"/>
  <c r="F22" i="15" s="1"/>
  <c r="D22" i="15"/>
  <c r="K21" i="15"/>
  <c r="L21" i="15" s="1"/>
  <c r="E21" i="15"/>
  <c r="D21" i="15"/>
  <c r="F21" i="15" s="1"/>
  <c r="L20" i="15"/>
  <c r="M20" i="15" s="1"/>
  <c r="M21" i="15" s="1"/>
  <c r="F20" i="15"/>
  <c r="D20" i="15"/>
  <c r="D68" i="14"/>
  <c r="E34" i="14" s="1"/>
  <c r="G34" i="14" s="1"/>
  <c r="D34" i="14"/>
  <c r="L26" i="14"/>
  <c r="K26" i="14"/>
  <c r="E26" i="14"/>
  <c r="F26" i="14" s="1"/>
  <c r="D26" i="14"/>
  <c r="L25" i="14"/>
  <c r="F25" i="14"/>
  <c r="D25" i="14"/>
  <c r="L24" i="14"/>
  <c r="D24" i="14"/>
  <c r="F24" i="14" s="1"/>
  <c r="L23" i="14"/>
  <c r="D23" i="14"/>
  <c r="F23" i="14" s="1"/>
  <c r="L22" i="14"/>
  <c r="F22" i="14"/>
  <c r="D22" i="14"/>
  <c r="L21" i="14"/>
  <c r="D21" i="14"/>
  <c r="F21" i="14" s="1"/>
  <c r="L20" i="14"/>
  <c r="F20" i="14"/>
  <c r="D20" i="14"/>
  <c r="M19" i="14"/>
  <c r="M20" i="14" s="1"/>
  <c r="M21" i="14" s="1"/>
  <c r="M22" i="14" s="1"/>
  <c r="M23" i="14" s="1"/>
  <c r="M24" i="14" s="1"/>
  <c r="L19" i="14"/>
  <c r="D19" i="14"/>
  <c r="F19" i="14" s="1"/>
  <c r="D66" i="13"/>
  <c r="E33" i="13"/>
  <c r="D33" i="13"/>
  <c r="G33" i="13" s="1"/>
  <c r="M27" i="13"/>
  <c r="M29" i="13" s="1"/>
  <c r="L25" i="13"/>
  <c r="F25" i="13"/>
  <c r="D25" i="13"/>
  <c r="L24" i="13"/>
  <c r="D24" i="13"/>
  <c r="F24" i="13" s="1"/>
  <c r="L23" i="13"/>
  <c r="D23" i="13"/>
  <c r="F23" i="13" s="1"/>
  <c r="L22" i="13"/>
  <c r="E22" i="13"/>
  <c r="D22" i="13"/>
  <c r="F22" i="13" s="1"/>
  <c r="L21" i="13"/>
  <c r="E21" i="13"/>
  <c r="D21" i="13"/>
  <c r="F21" i="13" s="1"/>
  <c r="L20" i="13"/>
  <c r="E20" i="13"/>
  <c r="D20" i="13"/>
  <c r="F20" i="13" s="1"/>
  <c r="M19" i="13"/>
  <c r="M20" i="13" s="1"/>
  <c r="M21" i="13" s="1"/>
  <c r="M22" i="13" s="1"/>
  <c r="M23" i="13" s="1"/>
  <c r="M24" i="13" s="1"/>
  <c r="M25" i="13" s="1"/>
  <c r="L19" i="13"/>
  <c r="E19" i="13"/>
  <c r="D19" i="13"/>
  <c r="F19" i="13" s="1"/>
  <c r="M18" i="13"/>
  <c r="L18" i="13"/>
  <c r="E18" i="13"/>
  <c r="D18" i="13"/>
  <c r="F18" i="13" s="1"/>
  <c r="D64" i="12"/>
  <c r="E32" i="12" s="1"/>
  <c r="D32" i="12"/>
  <c r="G32" i="12" s="1"/>
  <c r="L24" i="12"/>
  <c r="F24" i="12"/>
  <c r="E24" i="12"/>
  <c r="D24" i="12"/>
  <c r="L23" i="12"/>
  <c r="F23" i="12"/>
  <c r="E23" i="12"/>
  <c r="D23" i="12"/>
  <c r="L22" i="12"/>
  <c r="F22" i="12"/>
  <c r="E22" i="12"/>
  <c r="D22" i="12"/>
  <c r="L21" i="12"/>
  <c r="F21" i="12"/>
  <c r="E21" i="12"/>
  <c r="D21" i="12"/>
  <c r="L20" i="12"/>
  <c r="F20" i="12"/>
  <c r="E20" i="12"/>
  <c r="D20" i="12"/>
  <c r="L19" i="12"/>
  <c r="F19" i="12"/>
  <c r="E19" i="12"/>
  <c r="D19" i="12"/>
  <c r="L18" i="12"/>
  <c r="M18" i="12" s="1"/>
  <c r="M19" i="12" s="1"/>
  <c r="J18" i="12"/>
  <c r="E18" i="12"/>
  <c r="D18" i="12"/>
  <c r="F18" i="12" s="1"/>
  <c r="M17" i="12"/>
  <c r="L17" i="12"/>
  <c r="E17" i="12"/>
  <c r="D17" i="12"/>
  <c r="F17" i="12" s="1"/>
  <c r="D62" i="11"/>
  <c r="E31" i="11"/>
  <c r="D31" i="11"/>
  <c r="G31" i="11" s="1"/>
  <c r="J23" i="11"/>
  <c r="L23" i="11" s="1"/>
  <c r="E23" i="11"/>
  <c r="D23" i="11"/>
  <c r="F23" i="11" s="1"/>
  <c r="L22" i="11"/>
  <c r="E22" i="11"/>
  <c r="D22" i="11"/>
  <c r="F22" i="11" s="1"/>
  <c r="L21" i="11"/>
  <c r="E21" i="11"/>
  <c r="D21" i="11"/>
  <c r="F21" i="11" s="1"/>
  <c r="L20" i="11"/>
  <c r="E20" i="11"/>
  <c r="D20" i="11"/>
  <c r="F20" i="11" s="1"/>
  <c r="L19" i="11"/>
  <c r="E19" i="11"/>
  <c r="D19" i="11"/>
  <c r="F19" i="11" s="1"/>
  <c r="L18" i="11"/>
  <c r="E18" i="11"/>
  <c r="D18" i="11"/>
  <c r="F18" i="11" s="1"/>
  <c r="L17" i="11"/>
  <c r="E17" i="11"/>
  <c r="D17" i="11"/>
  <c r="F17" i="11" s="1"/>
  <c r="K16" i="11"/>
  <c r="J16" i="11"/>
  <c r="L16" i="11" s="1"/>
  <c r="M16" i="11" s="1"/>
  <c r="M17" i="11" s="1"/>
  <c r="M18" i="11" s="1"/>
  <c r="M19" i="11" s="1"/>
  <c r="M20" i="11" s="1"/>
  <c r="M21" i="11" s="1"/>
  <c r="F16" i="11"/>
  <c r="E16" i="11"/>
  <c r="D16" i="11"/>
  <c r="D60" i="10"/>
  <c r="E30" i="10"/>
  <c r="G30" i="10" s="1"/>
  <c r="G31" i="10" s="1"/>
  <c r="G40" i="10" s="1"/>
  <c r="D30" i="10"/>
  <c r="L22" i="10"/>
  <c r="E22" i="10"/>
  <c r="F22" i="10" s="1"/>
  <c r="D22" i="10"/>
  <c r="K21" i="10"/>
  <c r="L21" i="10" s="1"/>
  <c r="J21" i="10"/>
  <c r="E21" i="10"/>
  <c r="D21" i="10"/>
  <c r="F21" i="10" s="1"/>
  <c r="K20" i="10"/>
  <c r="L20" i="10" s="1"/>
  <c r="E20" i="10"/>
  <c r="D20" i="10"/>
  <c r="F20" i="10" s="1"/>
  <c r="L19" i="10"/>
  <c r="E19" i="10"/>
  <c r="D19" i="10"/>
  <c r="F19" i="10" s="1"/>
  <c r="L18" i="10"/>
  <c r="E18" i="10"/>
  <c r="D18" i="10"/>
  <c r="F18" i="10" s="1"/>
  <c r="L17" i="10"/>
  <c r="E17" i="10"/>
  <c r="D17" i="10"/>
  <c r="F17" i="10" s="1"/>
  <c r="L16" i="10"/>
  <c r="E16" i="10"/>
  <c r="D16" i="10"/>
  <c r="F16" i="10" s="1"/>
  <c r="L15" i="10"/>
  <c r="M15" i="10" s="1"/>
  <c r="M16" i="10" s="1"/>
  <c r="M17" i="10" s="1"/>
  <c r="M18" i="10" s="1"/>
  <c r="M19" i="10" s="1"/>
  <c r="M20" i="10" s="1"/>
  <c r="E15" i="10"/>
  <c r="D15" i="10"/>
  <c r="F15" i="10" s="1"/>
  <c r="G14" i="10"/>
  <c r="G15" i="10" s="1"/>
  <c r="K20" i="8"/>
  <c r="K26" i="8"/>
  <c r="E21" i="8"/>
  <c r="J27" i="8"/>
  <c r="D22" i="8"/>
  <c r="K22" i="8"/>
  <c r="K25" i="8"/>
  <c r="E20" i="8"/>
  <c r="K24" i="8"/>
  <c r="E19" i="8"/>
  <c r="E15" i="8"/>
  <c r="K23" i="8"/>
  <c r="E18" i="8"/>
  <c r="E17" i="8"/>
  <c r="E16" i="8"/>
  <c r="J26" i="8"/>
  <c r="D21" i="8"/>
  <c r="J25" i="8"/>
  <c r="D20" i="8"/>
  <c r="J24" i="8"/>
  <c r="D19" i="8"/>
  <c r="J23" i="8"/>
  <c r="D18" i="8"/>
  <c r="D17" i="8"/>
  <c r="J21" i="8"/>
  <c r="J20" i="8"/>
  <c r="D16" i="8"/>
  <c r="D15" i="8"/>
  <c r="G14" i="8"/>
  <c r="D60" i="8"/>
  <c r="E30" i="8" s="1"/>
  <c r="M21" i="10" l="1"/>
  <c r="M22" i="10" s="1"/>
  <c r="M24" i="10"/>
  <c r="M26" i="10" s="1"/>
  <c r="M20" i="12"/>
  <c r="M21" i="12" s="1"/>
  <c r="M22" i="12" s="1"/>
  <c r="G54" i="14"/>
  <c r="G56" i="15"/>
  <c r="M25" i="14"/>
  <c r="M26" i="14" s="1"/>
  <c r="M28" i="14"/>
  <c r="M30" i="14" s="1"/>
  <c r="M22" i="15"/>
  <c r="M23" i="15" s="1"/>
  <c r="M24" i="15" s="1"/>
  <c r="M25" i="15" s="1"/>
  <c r="G50" i="12"/>
  <c r="G48" i="11"/>
  <c r="G16" i="10"/>
  <c r="G17" i="10" s="1"/>
  <c r="G18" i="10" s="1"/>
  <c r="G19" i="10" s="1"/>
  <c r="G20" i="10" s="1"/>
  <c r="M22" i="11"/>
  <c r="M23" i="11" s="1"/>
  <c r="M25" i="11"/>
  <c r="M27" i="11" s="1"/>
  <c r="G46" i="10"/>
  <c r="G52" i="13"/>
  <c r="G39" i="10"/>
  <c r="G42" i="10" s="1"/>
  <c r="L27" i="8"/>
  <c r="L26" i="8"/>
  <c r="L25" i="8"/>
  <c r="L24" i="8"/>
  <c r="L23" i="8"/>
  <c r="L22" i="8"/>
  <c r="L21" i="8"/>
  <c r="L20" i="8"/>
  <c r="M20" i="8" s="1"/>
  <c r="M26" i="12" l="1"/>
  <c r="M28" i="12" s="1"/>
  <c r="M23" i="12"/>
  <c r="M24" i="12" s="1"/>
  <c r="G33" i="10"/>
  <c r="G21" i="10"/>
  <c r="G22" i="10" s="1"/>
  <c r="M29" i="15"/>
  <c r="M31" i="15" s="1"/>
  <c r="M26" i="15"/>
  <c r="M27" i="15" s="1"/>
  <c r="M21" i="8"/>
  <c r="M22" i="8" s="1"/>
  <c r="M23" i="8" s="1"/>
  <c r="M24" i="8" s="1"/>
  <c r="M25" i="8" s="1"/>
  <c r="E8" i="9" l="1"/>
  <c r="G14" i="13"/>
  <c r="G44" i="10"/>
  <c r="G48" i="10" s="1"/>
  <c r="G14" i="14"/>
  <c r="G14" i="15"/>
  <c r="G35" i="10"/>
  <c r="G14" i="12"/>
  <c r="G14" i="11"/>
  <c r="M26" i="8"/>
  <c r="M27" i="8" s="1"/>
  <c r="M29" i="8"/>
  <c r="M31" i="8" s="1"/>
  <c r="F8" i="9" l="1"/>
  <c r="G15" i="11"/>
  <c r="D32" i="11"/>
  <c r="G32" i="11" s="1"/>
  <c r="G33" i="11" s="1"/>
  <c r="G42" i="11" s="1"/>
  <c r="D33" i="12"/>
  <c r="G33" i="12" s="1"/>
  <c r="D36" i="15"/>
  <c r="G36" i="15" s="1"/>
  <c r="D35" i="14"/>
  <c r="G35" i="14" s="1"/>
  <c r="D34" i="13"/>
  <c r="G34" i="13" s="1"/>
  <c r="D30" i="8"/>
  <c r="F22" i="8"/>
  <c r="F21" i="8"/>
  <c r="F20" i="8"/>
  <c r="F19" i="8"/>
  <c r="F18" i="8"/>
  <c r="F17" i="8"/>
  <c r="F16" i="8"/>
  <c r="F15" i="8"/>
  <c r="G41" i="11" l="1"/>
  <c r="G44" i="11" s="1"/>
  <c r="G16" i="11"/>
  <c r="G17" i="11" s="1"/>
  <c r="G18" i="11" s="1"/>
  <c r="G19" i="11" s="1"/>
  <c r="G20" i="11" s="1"/>
  <c r="G21" i="11" s="1"/>
  <c r="G30" i="8"/>
  <c r="G31" i="8" s="1"/>
  <c r="G46" i="8"/>
  <c r="G35" i="11" l="1"/>
  <c r="G22" i="11"/>
  <c r="G23" i="11" s="1"/>
  <c r="G40" i="8"/>
  <c r="E9" i="9" l="1"/>
  <c r="G37" i="11"/>
  <c r="G15" i="12"/>
  <c r="G15" i="14"/>
  <c r="G15" i="15"/>
  <c r="G46" i="11"/>
  <c r="G50" i="11" s="1"/>
  <c r="G15" i="13"/>
  <c r="G39" i="8"/>
  <c r="G42" i="8" s="1"/>
  <c r="G15" i="8"/>
  <c r="G16" i="8" s="1"/>
  <c r="G17" i="8" s="1"/>
  <c r="G18" i="8" s="1"/>
  <c r="G19" i="8" s="1"/>
  <c r="G20" i="8" s="1"/>
  <c r="D35" i="13" l="1"/>
  <c r="G35" i="13" s="1"/>
  <c r="D37" i="15"/>
  <c r="G37" i="15" s="1"/>
  <c r="D36" i="14"/>
  <c r="G36" i="14" s="1"/>
  <c r="D34" i="12"/>
  <c r="G34" i="12" s="1"/>
  <c r="G35" i="12" s="1"/>
  <c r="G44" i="12" s="1"/>
  <c r="G16" i="12"/>
  <c r="F9" i="9"/>
  <c r="G21" i="8"/>
  <c r="G22" i="8" s="1"/>
  <c r="G33" i="8"/>
  <c r="G43" i="12" l="1"/>
  <c r="G46" i="12" s="1"/>
  <c r="G17" i="12"/>
  <c r="G18" i="12" s="1"/>
  <c r="G19" i="12" s="1"/>
  <c r="G20" i="12" s="1"/>
  <c r="G21" i="12" s="1"/>
  <c r="G22" i="12" s="1"/>
  <c r="G35" i="8"/>
  <c r="G44" i="8"/>
  <c r="G48" i="8" s="1"/>
  <c r="G23" i="12" l="1"/>
  <c r="G24" i="12" s="1"/>
  <c r="G37" i="12"/>
  <c r="G39" i="12" l="1"/>
  <c r="G16" i="13"/>
  <c r="G16" i="14"/>
  <c r="G16" i="15"/>
  <c r="G48" i="12"/>
  <c r="G52" i="12" s="1"/>
  <c r="E10" i="9"/>
  <c r="F10" i="9" l="1"/>
  <c r="D38" i="15"/>
  <c r="G38" i="15" s="1"/>
  <c r="D37" i="14"/>
  <c r="G37" i="14" s="1"/>
  <c r="D36" i="13"/>
  <c r="G36" i="13" s="1"/>
  <c r="G37" i="13" s="1"/>
  <c r="G46" i="13" s="1"/>
  <c r="G17" i="13"/>
  <c r="G45" i="13" l="1"/>
  <c r="G48" i="13" s="1"/>
  <c r="G18" i="13"/>
  <c r="G19" i="13" s="1"/>
  <c r="G20" i="13" s="1"/>
  <c r="G21" i="13" s="1"/>
  <c r="G22" i="13" s="1"/>
  <c r="G23" i="13" s="1"/>
  <c r="G24" i="13" l="1"/>
  <c r="G25" i="13" s="1"/>
  <c r="G39" i="13"/>
  <c r="G50" i="13" l="1"/>
  <c r="G54" i="13" s="1"/>
  <c r="G41" i="13"/>
  <c r="G17" i="14"/>
  <c r="G17" i="15"/>
  <c r="E11" i="9"/>
  <c r="F11" i="9" l="1"/>
  <c r="D38" i="14"/>
  <c r="G38" i="14" s="1"/>
  <c r="G39" i="14" s="1"/>
  <c r="G48" i="14" s="1"/>
  <c r="G18" i="14"/>
  <c r="D39" i="15"/>
  <c r="G39" i="15" s="1"/>
  <c r="G19" i="14" l="1"/>
  <c r="G20" i="14" s="1"/>
  <c r="G21" i="14" s="1"/>
  <c r="G22" i="14" s="1"/>
  <c r="G23" i="14" s="1"/>
  <c r="G24" i="14" s="1"/>
  <c r="G47" i="14"/>
  <c r="G50" i="14" s="1"/>
  <c r="G41" i="14" l="1"/>
  <c r="G25" i="14"/>
  <c r="G26" i="14" s="1"/>
  <c r="G52" i="14" l="1"/>
  <c r="G56" i="14" s="1"/>
  <c r="G18" i="15"/>
  <c r="G43" i="14"/>
  <c r="E12" i="9"/>
  <c r="F12" i="9" l="1"/>
  <c r="D40" i="15"/>
  <c r="G40" i="15" s="1"/>
  <c r="G41" i="15" s="1"/>
  <c r="G50" i="15" s="1"/>
  <c r="G19" i="15"/>
  <c r="G20" i="15" l="1"/>
  <c r="G21" i="15" s="1"/>
  <c r="G22" i="15" s="1"/>
  <c r="G23" i="15" s="1"/>
  <c r="G24" i="15" s="1"/>
  <c r="G25" i="15" s="1"/>
  <c r="G49" i="15"/>
  <c r="G52" i="15" s="1"/>
  <c r="G43" i="15" l="1"/>
  <c r="G26" i="15"/>
  <c r="G27" i="15" s="1"/>
  <c r="G54" i="15" l="1"/>
  <c r="G58" i="15" s="1"/>
  <c r="E13" i="9"/>
  <c r="G45" i="15"/>
  <c r="F13" i="9" l="1"/>
  <c r="E15" i="9"/>
  <c r="E22" i="9" l="1"/>
  <c r="F15" i="9"/>
  <c r="E2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Bickham</author>
  </authors>
  <commentList>
    <comment ref="K22" authorId="0" shapeId="0" xr:uid="{BC3418C6-D7CF-49F9-8508-02B7267AA6DE}">
      <text>
        <r>
          <rPr>
            <b/>
            <sz val="9"/>
            <color indexed="81"/>
            <rFont val="Tahoma"/>
            <family val="2"/>
          </rPr>
          <t>Ken Bickham:</t>
        </r>
        <r>
          <rPr>
            <sz val="9"/>
            <color indexed="81"/>
            <rFont val="Tahoma"/>
            <family val="2"/>
          </rPr>
          <t xml:space="preserve">
Sub Adj - Weiland (Jan/Feb srchrg amts) of ($14,056)</t>
        </r>
      </text>
    </comment>
  </commentList>
</comments>
</file>

<file path=xl/sharedStrings.xml><?xml version="1.0" encoding="utf-8"?>
<sst xmlns="http://schemas.openxmlformats.org/spreadsheetml/2006/main" count="622" uniqueCount="111">
  <si>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</si>
  <si>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</si>
  <si>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</si>
  <si>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</si>
  <si>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</si>
  <si>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</si>
  <si>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</si>
  <si>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</si>
  <si>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</si>
  <si>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</si>
  <si>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</si>
  <si>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</si>
  <si>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</si>
  <si>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</si>
  <si>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</si>
  <si>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</si>
  <si>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</si>
  <si>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</si>
  <si>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</si>
  <si>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</si>
  <si>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</si>
  <si>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</si>
  <si>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</si>
  <si>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</si>
  <si>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</si>
  <si>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</si>
  <si>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</si>
  <si>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</si>
  <si>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</si>
  <si>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</si>
  <si>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</si>
  <si>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</si>
  <si>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</si>
  <si>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</si>
  <si>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</si>
  <si>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</si>
  <si>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</si>
  <si>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</si>
  <si>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</si>
  <si>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</si>
  <si>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</si>
  <si>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</si>
  <si>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</si>
  <si>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</si>
  <si>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</si>
  <si>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</si>
  <si>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</si>
  <si>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Cumulative six month (Over)/Under-Recovery [Cumulative net of remaining Case amortizations (Ln 7&amp;8b)]</t>
  </si>
  <si>
    <t>(1)</t>
  </si>
  <si>
    <t>Cumulative 6-month (Over)/Under Recovery</t>
  </si>
  <si>
    <t>Monthly Recovery (per month for six months)</t>
  </si>
  <si>
    <t>Shelby - Calculation of (Over)/Under Recovery</t>
  </si>
  <si>
    <t>Shelby - Calculation of (Over)/Under Recovery - Direct Surcharge Pass-Throughs</t>
  </si>
  <si>
    <t>Rate B</t>
  </si>
  <si>
    <t>From Case No. 2025-00013 (Over)/Under-Recovery</t>
  </si>
  <si>
    <t>Less Adjustment for Order amounts remaining to be amortized at end of review period June 2025</t>
  </si>
  <si>
    <t>From Case No. 2025-00013 Recovery</t>
  </si>
  <si>
    <t>Monthly recovery (per month for six months)</t>
  </si>
  <si>
    <t>2025-00013</t>
  </si>
  <si>
    <t>Rate E</t>
  </si>
  <si>
    <t>Staff DR1 Response 2 - Shelby Surcharge Summary.xlsx</t>
  </si>
  <si>
    <t>Shelby</t>
  </si>
  <si>
    <t>Net (Over)/Under-Recovery of Environmental Surcharge</t>
  </si>
  <si>
    <t>Amount</t>
  </si>
  <si>
    <t>From:</t>
  </si>
  <si>
    <t xml:space="preserve">  Tab "A - 05-31-22", Line No. 9</t>
  </si>
  <si>
    <t xml:space="preserve">  Tab "B - 11-30-22", Line No. 9</t>
  </si>
  <si>
    <t xml:space="preserve">  Tab "C - 05-31-23", Line No. 9</t>
  </si>
  <si>
    <t xml:space="preserve">  Tab "D - 11-30-23", Line No. 9</t>
  </si>
  <si>
    <t xml:space="preserve">  Tab "E - 05-31-24", Line No. 9</t>
  </si>
  <si>
    <t xml:space="preserve">  Tab "F - 11-30-24", Line No. 9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</si>
  <si>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</si>
  <si>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</si>
  <si>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</si>
  <si>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</si>
  <si>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From Case No. 2022-00141 (Over)/Under-Recovery</t>
  </si>
  <si>
    <t>Less Adjustment for Order amounts remaining to be amortized at end of review period June 2022</t>
  </si>
  <si>
    <t>Case No. 2022-00141 Recovery</t>
  </si>
  <si>
    <t>Monthly recovery (per month for six months</t>
  </si>
  <si>
    <t>2022-00141</t>
  </si>
  <si>
    <t>From Tab "A - 05-31-22" (Over)/Under-Recovery</t>
  </si>
  <si>
    <t>1c</t>
  </si>
  <si>
    <t>Less Adjustment for Order amounts remaining to be amortized at end of review period December 2022</t>
  </si>
  <si>
    <t>From Tab "A - 05-31-22" Recovery</t>
  </si>
  <si>
    <t>8c</t>
  </si>
  <si>
    <t>Cumulative six month (Over)/Under-Recovery [Cumulative net of remaining Case amortizations (Ln 7&amp;8c)]</t>
  </si>
  <si>
    <t>From Tab "B - 11-30-22" (Over)/Under-Recovery</t>
  </si>
  <si>
    <t>1d</t>
  </si>
  <si>
    <t>Less Adjustment for Order amounts remaining to be amortized at end of review period June 2023</t>
  </si>
  <si>
    <t>From Tab "B - 11-30-22" Recovery</t>
  </si>
  <si>
    <t>8d</t>
  </si>
  <si>
    <t>Cumulative six month (Over)/Under-Recovery [Cumulative net of remaining Case amortizations (Ln 7&amp;8d)]</t>
  </si>
  <si>
    <t>From Tab "C - 05-31-23" (Over)/Under-Recovery</t>
  </si>
  <si>
    <t>1e</t>
  </si>
  <si>
    <t>Less Adjustment for Order amounts remaining to be amortized at end of review period December 2023</t>
  </si>
  <si>
    <t>From Case No. 2022-00141 Recovery</t>
  </si>
  <si>
    <t>From Tab "C - 05-31-23" Recovery</t>
  </si>
  <si>
    <t>8e</t>
  </si>
  <si>
    <t>Cumulative six month (Over)/Under-Recovery [Cumulative net of remaining Case amortizations (Ln 7&amp;8e)]</t>
  </si>
  <si>
    <t>From Tab "D - 11-30-23" (Over)/Under-Recovery</t>
  </si>
  <si>
    <t>1f</t>
  </si>
  <si>
    <t>Less Adjustment for Order amounts remaining to be amortized at end of review period June 2024</t>
  </si>
  <si>
    <t>From Tab "D - 11-30-23" Recovery</t>
  </si>
  <si>
    <t>8f</t>
  </si>
  <si>
    <t>Cumulative six month (Over)/Under-Recovery [Cumulative net of remaining Case amortizations (Ln 7&amp;8f)]</t>
  </si>
  <si>
    <t>From Tab "E - 05-31-24" (Over)/Under-Recovery</t>
  </si>
  <si>
    <t>1g</t>
  </si>
  <si>
    <t>Less Adjustment for Order amounts remaining to be amortized at end of review period December 2024</t>
  </si>
  <si>
    <t>From Tab "E - 05-31-24" Recovery</t>
  </si>
  <si>
    <t>8g</t>
  </si>
  <si>
    <t>Cumulative six month (Over)/Under-Recovery [Cumulative net of remaining Case amortizations (Ln 7&amp;8g)]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</si>
</sst>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</cellStyleXfs>
  <cellXfs count="140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2" fillId="0" borderId="0" xfId="1"/>
    <xf numFmtId="0" fontId="4" fillId="0" borderId="7" xfId="1" applyFont="1" applyBorder="1"/>
    <xf numFmtId="0" fontId="4" fillId="0" borderId="7" xfId="1" applyFont="1" applyBorder="1" applyAlignment="1">
      <alignment horizontal="center"/>
    </xf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49" fontId="4" fillId="0" borderId="10" xfId="1" applyNumberFormat="1" applyFont="1" applyBorder="1" applyAlignment="1">
      <alignment horizontal="center"/>
    </xf>
    <xf numFmtId="17" fontId="5" fillId="0" borderId="7" xfId="2" applyNumberFormat="1" applyFont="1" applyFill="1" applyBorder="1"/>
    <xf numFmtId="5" fontId="4" fillId="3" borderId="8" xfId="3" applyNumberFormat="1" applyFont="1" applyFill="1" applyBorder="1" applyAlignment="1">
      <alignment horizontal="right"/>
    </xf>
    <xf numFmtId="5" fontId="4" fillId="0" borderId="7" xfId="1" applyNumberFormat="1" applyFont="1" applyBorder="1"/>
    <xf numFmtId="5" fontId="4" fillId="0" borderId="8" xfId="1" applyNumberFormat="1" applyFont="1" applyBorder="1"/>
    <xf numFmtId="17" fontId="5" fillId="0" borderId="8" xfId="2" applyNumberFormat="1" applyFont="1" applyFill="1" applyBorder="1"/>
    <xf numFmtId="17" fontId="5" fillId="0" borderId="9" xfId="2" applyNumberFormat="1" applyFont="1" applyFill="1" applyBorder="1"/>
    <xf numFmtId="5" fontId="4" fillId="0" borderId="9" xfId="1" applyNumberFormat="1" applyFont="1" applyBorder="1"/>
    <xf numFmtId="0" fontId="4" fillId="0" borderId="0" xfId="1" applyFont="1"/>
    <xf numFmtId="0" fontId="4" fillId="0" borderId="11" xfId="1" applyFont="1" applyBorder="1"/>
    <xf numFmtId="0" fontId="4" fillId="0" borderId="12" xfId="1" applyFont="1" applyBorder="1"/>
    <xf numFmtId="0" fontId="4" fillId="0" borderId="13" xfId="1" applyFont="1" applyBorder="1"/>
    <xf numFmtId="5" fontId="4" fillId="0" borderId="10" xfId="1" applyNumberFormat="1" applyFont="1" applyBorder="1"/>
    <xf numFmtId="5" fontId="4" fillId="0" borderId="0" xfId="1" applyNumberFormat="1" applyFont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1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5" fontId="4" fillId="3" borderId="8" xfId="1" applyNumberFormat="1" applyFont="1" applyFill="1" applyBorder="1"/>
    <xf numFmtId="5" fontId="4" fillId="3" borderId="7" xfId="1" applyNumberFormat="1" applyFont="1" applyFill="1" applyBorder="1"/>
    <xf numFmtId="5" fontId="4" fillId="3" borderId="0" xfId="3" applyNumberFormat="1" applyFont="1" applyFill="1" applyBorder="1" applyAlignment="1">
      <alignment horizontal="right"/>
    </xf>
    <xf numFmtId="5" fontId="0" fillId="3" borderId="2" xfId="0" applyNumberFormat="1" applyFill="1" applyBorder="1"/>
    <xf numFmtId="5" fontId="5" fillId="3" borderId="9" xfId="1" applyNumberFormat="1" applyFont="1" applyFill="1" applyBorder="1"/>
    <xf numFmtId="5" fontId="0" fillId="3" borderId="9" xfId="0" applyNumberFormat="1" applyFill="1" applyBorder="1"/>
    <xf numFmtId="5" fontId="4" fillId="3" borderId="9" xfId="1" applyNumberFormat="1" applyFont="1" applyFill="1" applyBorder="1"/>
    <xf numFmtId="5" fontId="5" fillId="3" borderId="7" xfId="1" applyNumberFormat="1" applyFont="1" applyFill="1" applyBorder="1"/>
    <xf numFmtId="5" fontId="5" fillId="3" borderId="0" xfId="3" applyNumberFormat="1" applyFont="1" applyFill="1" applyBorder="1" applyAlignment="1">
      <alignment horizontal="right"/>
    </xf>
    <xf numFmtId="5" fontId="0" fillId="3" borderId="5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" fillId="0" borderId="2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right"/>
    </xf>
    <xf numFmtId="6" fontId="0" fillId="0" borderId="18" xfId="0" applyNumberFormat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1" applyFont="1"/>
    <xf numFmtId="17" fontId="5" fillId="0" borderId="7" xfId="2" applyNumberFormat="1" applyFont="1" applyBorder="1"/>
    <xf numFmtId="17" fontId="5" fillId="0" borderId="8" xfId="2" applyNumberFormat="1" applyFont="1" applyBorder="1"/>
    <xf numFmtId="5" fontId="9" fillId="3" borderId="14" xfId="0" applyNumberFormat="1" applyFont="1" applyFill="1" applyBorder="1"/>
    <xf numFmtId="17" fontId="5" fillId="0" borderId="9" xfId="2" applyNumberFormat="1" applyFont="1" applyBorder="1"/>
    <xf numFmtId="5" fontId="9" fillId="3" borderId="9" xfId="1" applyNumberFormat="1" applyFont="1" applyFill="1" applyBorder="1"/>
    <xf numFmtId="5" fontId="9" fillId="3" borderId="2" xfId="0" applyNumberFormat="1" applyFont="1" applyFill="1" applyBorder="1"/>
    <xf numFmtId="5" fontId="9" fillId="3" borderId="7" xfId="1" applyNumberFormat="1" applyFont="1" applyFill="1" applyBorder="1"/>
    <xf numFmtId="5" fontId="0" fillId="3" borderId="10" xfId="0" applyNumberFormat="1" applyFill="1" applyBorder="1"/>
    <xf numFmtId="5" fontId="9" fillId="3" borderId="0" xfId="3" applyNumberFormat="1" applyFont="1" applyFill="1" applyBorder="1" applyAlignment="1">
      <alignment horizontal="right"/>
    </xf>
    <xf numFmtId="5" fontId="5" fillId="3" borderId="14" xfId="0" applyNumberFormat="1" applyFont="1" applyFill="1" applyBorder="1"/>
    <xf numFmtId="0" fontId="0" fillId="0" borderId="15" xfId="0" applyBorder="1"/>
    <xf numFmtId="0" fontId="0" fillId="0" borderId="2" xfId="0" applyBorder="1"/>
    <xf numFmtId="5" fontId="0" fillId="0" borderId="3" xfId="0" applyNumberFormat="1" applyBorder="1"/>
    <xf numFmtId="5" fontId="0" fillId="0" borderId="4" xfId="0" applyNumberFormat="1" applyBorder="1"/>
    <xf numFmtId="0" fontId="0" fillId="0" borderId="14" xfId="0" applyBorder="1"/>
    <xf numFmtId="0" fontId="0" fillId="0" borderId="5" xfId="0" applyBorder="1"/>
    <xf numFmtId="5" fontId="0" fillId="0" borderId="1" xfId="0" applyNumberFormat="1" applyBorder="1"/>
    <xf numFmtId="5" fontId="0" fillId="4" borderId="5" xfId="0" applyNumberFormat="1" applyFill="1" applyBorder="1"/>
    <xf numFmtId="5" fontId="5" fillId="4" borderId="9" xfId="1" applyNumberFormat="1" applyFont="1" applyFill="1" applyBorder="1"/>
    <xf numFmtId="5" fontId="4" fillId="4" borderId="0" xfId="3" applyNumberFormat="1" applyFont="1" applyFill="1" applyBorder="1" applyAlignment="1">
      <alignment horizontal="right"/>
    </xf>
    <xf numFmtId="5" fontId="0" fillId="5" borderId="2" xfId="0" applyNumberFormat="1" applyFill="1" applyBorder="1"/>
    <xf numFmtId="5" fontId="5" fillId="5" borderId="7" xfId="1" applyNumberFormat="1" applyFont="1" applyFill="1" applyBorder="1"/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0"/>
  <sheetViews>
    <sheetView tabSelected="1" workbookViewId="0"/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60</v>
      </c>
    </row>
    <row r="4" spans="1:13" ht="14.25" customHeight="1" x14ac:dyDescent="0.2">
      <c r="B4" s="91" t="s">
        <v>51</v>
      </c>
      <c r="C4" s="92"/>
      <c r="D4" s="92"/>
      <c r="E4" s="92"/>
      <c r="F4" s="92"/>
      <c r="G4" s="93"/>
      <c r="I4" s="100" t="s">
        <v>52</v>
      </c>
      <c r="J4" s="101"/>
      <c r="K4" s="101"/>
      <c r="L4" s="101"/>
      <c r="M4" s="102"/>
    </row>
    <row r="5" spans="1:13" ht="14.25" customHeight="1" x14ac:dyDescent="0.2">
      <c r="B5" s="94"/>
      <c r="C5" s="95"/>
      <c r="D5" s="95"/>
      <c r="E5" s="95"/>
      <c r="F5" s="95"/>
      <c r="G5" s="96"/>
      <c r="I5" s="103"/>
      <c r="J5" s="104"/>
      <c r="K5" s="104"/>
      <c r="L5" s="104"/>
      <c r="M5" s="105"/>
    </row>
    <row r="6" spans="1:13" ht="15.75" x14ac:dyDescent="0.25">
      <c r="C6" s="79" t="s">
        <v>59</v>
      </c>
      <c r="I6" s="56"/>
      <c r="J6" s="56"/>
      <c r="K6" s="56"/>
      <c r="L6" s="56"/>
      <c r="M6" s="56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x14ac:dyDescent="0.2">
      <c r="A12" s="80"/>
      <c r="B12" s="2">
        <v>1</v>
      </c>
      <c r="C12" s="97" t="s">
        <v>15</v>
      </c>
      <c r="D12" s="98"/>
      <c r="E12" s="98"/>
      <c r="F12" s="98"/>
      <c r="G12" s="99"/>
      <c r="H12" s="80"/>
    </row>
    <row r="13" spans="1:13" ht="15.75" x14ac:dyDescent="0.25">
      <c r="A13" s="32"/>
      <c r="B13" s="2" t="s">
        <v>16</v>
      </c>
      <c r="C13" s="8" t="s">
        <v>54</v>
      </c>
      <c r="D13" s="8"/>
      <c r="E13" s="8"/>
      <c r="F13" s="9"/>
      <c r="G13" s="10">
        <v>84852</v>
      </c>
      <c r="H13" s="32"/>
      <c r="I13" s="79" t="s">
        <v>53</v>
      </c>
      <c r="J13" s="56"/>
      <c r="K13" s="56"/>
      <c r="L13" s="56"/>
      <c r="M13" s="56"/>
    </row>
    <row r="14" spans="1:13" ht="15" x14ac:dyDescent="0.2">
      <c r="B14" s="5" t="s">
        <v>17</v>
      </c>
      <c r="C14" s="8" t="s">
        <v>18</v>
      </c>
      <c r="D14" s="8"/>
      <c r="E14" s="8"/>
      <c r="F14" s="11"/>
      <c r="G14" s="12">
        <f>G13</f>
        <v>84852</v>
      </c>
      <c r="I14" s="56"/>
      <c r="J14" s="56"/>
      <c r="K14" s="56"/>
      <c r="L14" s="56"/>
      <c r="M14" s="56"/>
    </row>
    <row r="15" spans="1:13" x14ac:dyDescent="0.2">
      <c r="B15" s="4">
        <v>2</v>
      </c>
      <c r="C15" s="13">
        <v>45658</v>
      </c>
      <c r="D15" s="51">
        <f>698939-629</f>
        <v>698310</v>
      </c>
      <c r="E15" s="84">
        <f>711280.53</f>
        <v>711280.53</v>
      </c>
      <c r="F15" s="14">
        <f t="shared" ref="F15:F22" si="0">D15-E15</f>
        <v>-12970.530000000028</v>
      </c>
      <c r="G15" s="12">
        <f t="shared" ref="G15:G22" si="1">G14+F15</f>
        <v>71881.469999999972</v>
      </c>
      <c r="I15" s="57"/>
      <c r="J15" s="57"/>
      <c r="K15" s="58" t="s">
        <v>0</v>
      </c>
      <c r="L15" s="57"/>
      <c r="M15" s="57"/>
    </row>
    <row r="16" spans="1:13" x14ac:dyDescent="0.2">
      <c r="B16" s="4">
        <v>3</v>
      </c>
      <c r="C16" s="15">
        <v>45689</v>
      </c>
      <c r="D16" s="52">
        <f>498158-476</f>
        <v>497682</v>
      </c>
      <c r="E16" s="53">
        <f>556300.29</f>
        <v>556300.29</v>
      </c>
      <c r="F16" s="16">
        <f t="shared" si="0"/>
        <v>-58618.290000000037</v>
      </c>
      <c r="G16" s="17">
        <f t="shared" si="1"/>
        <v>13263.179999999935</v>
      </c>
      <c r="I16" s="59"/>
      <c r="J16" s="60" t="s">
        <v>1</v>
      </c>
      <c r="K16" s="60" t="s">
        <v>2</v>
      </c>
      <c r="L16" s="59"/>
      <c r="M16" s="59"/>
    </row>
    <row r="17" spans="2:13" x14ac:dyDescent="0.2">
      <c r="B17" s="4">
        <v>4</v>
      </c>
      <c r="C17" s="15">
        <v>45717</v>
      </c>
      <c r="D17" s="52">
        <f>198968-271</f>
        <v>198697</v>
      </c>
      <c r="E17" s="53">
        <f>276547.21</f>
        <v>276547.21000000002</v>
      </c>
      <c r="F17" s="16">
        <f t="shared" si="0"/>
        <v>-77850.210000000021</v>
      </c>
      <c r="G17" s="17">
        <f t="shared" si="1"/>
        <v>-64587.030000000086</v>
      </c>
      <c r="I17" s="59"/>
      <c r="J17" s="60" t="s">
        <v>3</v>
      </c>
      <c r="K17" s="60" t="s">
        <v>4</v>
      </c>
      <c r="L17" s="60" t="s">
        <v>5</v>
      </c>
      <c r="M17" s="60" t="s">
        <v>6</v>
      </c>
    </row>
    <row r="18" spans="2:13" x14ac:dyDescent="0.2">
      <c r="B18" s="4">
        <v>5</v>
      </c>
      <c r="C18" s="15">
        <v>45748</v>
      </c>
      <c r="D18" s="52">
        <f>214517-375</f>
        <v>214142</v>
      </c>
      <c r="E18" s="53">
        <f>113157.48</f>
        <v>113157.48</v>
      </c>
      <c r="F18" s="16">
        <f t="shared" si="0"/>
        <v>100984.52</v>
      </c>
      <c r="G18" s="17">
        <f t="shared" si="1"/>
        <v>36397.489999999918</v>
      </c>
      <c r="I18" s="61"/>
      <c r="J18" s="61" t="s">
        <v>7</v>
      </c>
      <c r="K18" s="61" t="s">
        <v>7</v>
      </c>
      <c r="L18" s="61" t="s">
        <v>8</v>
      </c>
      <c r="M18" s="61" t="s">
        <v>8</v>
      </c>
    </row>
    <row r="19" spans="2:13" x14ac:dyDescent="0.2">
      <c r="B19" s="4">
        <v>6</v>
      </c>
      <c r="C19" s="15">
        <v>45778</v>
      </c>
      <c r="D19" s="52">
        <f>280893-563</f>
        <v>280330</v>
      </c>
      <c r="E19" s="53">
        <f>257346.53</f>
        <v>257346.53</v>
      </c>
      <c r="F19" s="16">
        <f t="shared" si="0"/>
        <v>22983.47</v>
      </c>
      <c r="G19" s="17">
        <f t="shared" si="1"/>
        <v>59380.959999999919</v>
      </c>
      <c r="I19" s="62" t="s">
        <v>10</v>
      </c>
      <c r="J19" s="63" t="s">
        <v>48</v>
      </c>
      <c r="K19" s="63" t="s">
        <v>11</v>
      </c>
      <c r="L19" s="63" t="s">
        <v>12</v>
      </c>
      <c r="M19" s="63" t="s">
        <v>13</v>
      </c>
    </row>
    <row r="20" spans="2:13" x14ac:dyDescent="0.2">
      <c r="B20" s="4">
        <v>7</v>
      </c>
      <c r="C20" s="15">
        <v>45809</v>
      </c>
      <c r="D20" s="52">
        <f>431689-662</f>
        <v>431027</v>
      </c>
      <c r="E20" s="53">
        <f>473329.57</f>
        <v>473329.57</v>
      </c>
      <c r="F20" s="18">
        <f t="shared" si="0"/>
        <v>-42302.570000000007</v>
      </c>
      <c r="G20" s="19">
        <f t="shared" si="1"/>
        <v>17078.389999999912</v>
      </c>
      <c r="I20" s="64">
        <v>45658</v>
      </c>
      <c r="J20" s="65">
        <f>160364</f>
        <v>160364</v>
      </c>
      <c r="K20" s="89">
        <f>160364</f>
        <v>160364</v>
      </c>
      <c r="L20" s="66">
        <f t="shared" ref="L20:L27" si="2">J20-K20</f>
        <v>0</v>
      </c>
      <c r="M20" s="67">
        <f>L20</f>
        <v>0</v>
      </c>
    </row>
    <row r="21" spans="2:13" x14ac:dyDescent="0.2">
      <c r="B21" s="20" t="s">
        <v>19</v>
      </c>
      <c r="C21" s="13">
        <v>45839</v>
      </c>
      <c r="D21" s="51">
        <f>589913-0</f>
        <v>589913</v>
      </c>
      <c r="E21" s="84">
        <f>564497.39</f>
        <v>564497.39</v>
      </c>
      <c r="F21" s="14">
        <f t="shared" si="0"/>
        <v>25415.609999999986</v>
      </c>
      <c r="G21" s="12">
        <f t="shared" si="1"/>
        <v>42493.999999999898</v>
      </c>
      <c r="I21" s="68">
        <v>45689</v>
      </c>
      <c r="J21" s="65">
        <f>143574</f>
        <v>143574</v>
      </c>
      <c r="K21" s="83">
        <v>143574</v>
      </c>
      <c r="L21" s="67">
        <f t="shared" si="2"/>
        <v>0</v>
      </c>
      <c r="M21" s="67">
        <f>M20+L21</f>
        <v>0</v>
      </c>
    </row>
    <row r="22" spans="2:13" x14ac:dyDescent="0.2">
      <c r="B22" s="21" t="s">
        <v>20</v>
      </c>
      <c r="C22" s="22">
        <v>45870</v>
      </c>
      <c r="D22" s="86">
        <f>468611-0</f>
        <v>468611</v>
      </c>
      <c r="E22" s="90">
        <v>596317.4</v>
      </c>
      <c r="F22" s="18">
        <f t="shared" si="0"/>
        <v>-127706.40000000002</v>
      </c>
      <c r="G22" s="19">
        <f t="shared" si="1"/>
        <v>-85212.400000000125</v>
      </c>
      <c r="I22" s="68">
        <v>45717</v>
      </c>
      <c r="J22" s="65">
        <v>58943</v>
      </c>
      <c r="K22" s="65">
        <f>72999-14056</f>
        <v>58943</v>
      </c>
      <c r="L22" s="67">
        <f t="shared" si="2"/>
        <v>0</v>
      </c>
      <c r="M22" s="67">
        <f t="shared" ref="M22:M25" si="3">M21+L22</f>
        <v>0</v>
      </c>
    </row>
    <row r="23" spans="2:13" x14ac:dyDescent="0.2">
      <c r="B23" s="5"/>
      <c r="C23" s="23" t="s">
        <v>55</v>
      </c>
      <c r="D23" s="24"/>
      <c r="E23" s="24"/>
      <c r="F23" s="24"/>
      <c r="G23" s="25"/>
      <c r="I23" s="68">
        <v>45748</v>
      </c>
      <c r="J23" s="65">
        <f>92838</f>
        <v>92838</v>
      </c>
      <c r="K23" s="65">
        <f>92838</f>
        <v>92838</v>
      </c>
      <c r="L23" s="67">
        <f t="shared" si="2"/>
        <v>0</v>
      </c>
      <c r="M23" s="67">
        <f t="shared" si="3"/>
        <v>0</v>
      </c>
    </row>
    <row r="24" spans="2:13" x14ac:dyDescent="0.2">
      <c r="B24" s="2"/>
      <c r="C24" s="1"/>
      <c r="D24" s="1"/>
      <c r="E24" s="1"/>
      <c r="F24" s="1"/>
      <c r="G24" s="12"/>
      <c r="I24" s="68">
        <v>45778</v>
      </c>
      <c r="J24" s="65">
        <f>132445</f>
        <v>132445</v>
      </c>
      <c r="K24" s="81">
        <f>132445</f>
        <v>132445</v>
      </c>
      <c r="L24" s="67">
        <f t="shared" si="2"/>
        <v>0</v>
      </c>
      <c r="M24" s="67">
        <f>M23+L24</f>
        <v>0</v>
      </c>
    </row>
    <row r="25" spans="2:13" x14ac:dyDescent="0.2">
      <c r="B25" s="4"/>
      <c r="C25" s="3"/>
      <c r="D25" s="4" t="s">
        <v>21</v>
      </c>
      <c r="E25" s="4" t="s">
        <v>22</v>
      </c>
      <c r="F25" s="3"/>
      <c r="G25" s="17"/>
      <c r="I25" s="69">
        <v>45809</v>
      </c>
      <c r="J25" s="81">
        <f>153614</f>
        <v>153614</v>
      </c>
      <c r="K25" s="85">
        <f>153614</f>
        <v>153614</v>
      </c>
      <c r="L25" s="70">
        <f t="shared" si="2"/>
        <v>0</v>
      </c>
      <c r="M25" s="70">
        <f t="shared" si="3"/>
        <v>0</v>
      </c>
    </row>
    <row r="26" spans="2:13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  <c r="I26" s="68">
        <v>45839</v>
      </c>
      <c r="J26" s="82">
        <f>189345</f>
        <v>189345</v>
      </c>
      <c r="K26" s="88">
        <f>189345</f>
        <v>189345</v>
      </c>
      <c r="L26" s="67">
        <f t="shared" si="2"/>
        <v>0</v>
      </c>
      <c r="M26" s="67">
        <f>M25+L26</f>
        <v>0</v>
      </c>
    </row>
    <row r="27" spans="2:13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  <c r="I27" s="69">
        <v>45870</v>
      </c>
      <c r="J27" s="87">
        <f>163616</f>
        <v>163616</v>
      </c>
      <c r="K27" s="87">
        <v>163616</v>
      </c>
      <c r="L27" s="70">
        <f t="shared" si="2"/>
        <v>0</v>
      </c>
      <c r="M27" s="70">
        <f>M26+L27</f>
        <v>0</v>
      </c>
    </row>
    <row r="28" spans="2:13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  <c r="I28" s="71"/>
      <c r="J28" s="71"/>
      <c r="K28" s="71"/>
      <c r="L28" s="71"/>
      <c r="M28" s="71"/>
    </row>
    <row r="29" spans="2:13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  <c r="I29" s="72" t="s">
        <v>49</v>
      </c>
      <c r="J29" s="73"/>
      <c r="K29" s="73"/>
      <c r="L29" s="74"/>
      <c r="M29" s="75">
        <f>M25</f>
        <v>0</v>
      </c>
    </row>
    <row r="30" spans="2:13" x14ac:dyDescent="0.2">
      <c r="B30" s="20" t="s">
        <v>34</v>
      </c>
      <c r="C30" s="54" t="s">
        <v>56</v>
      </c>
      <c r="D30" s="35">
        <f>-G13</f>
        <v>-84852</v>
      </c>
      <c r="E30" s="35">
        <f>D60</f>
        <v>0</v>
      </c>
      <c r="F30" s="54"/>
      <c r="G30" s="35">
        <f t="shared" ref="G30" si="4">D30+E30</f>
        <v>-84852</v>
      </c>
      <c r="I30" s="71"/>
      <c r="J30" s="71"/>
      <c r="K30" s="71"/>
      <c r="L30" s="71"/>
      <c r="M30" s="76"/>
    </row>
    <row r="31" spans="2:13" x14ac:dyDescent="0.2">
      <c r="B31" s="5" t="s">
        <v>35</v>
      </c>
      <c r="C31" s="29"/>
      <c r="D31" s="30"/>
      <c r="E31" s="30"/>
      <c r="F31" s="31" t="s">
        <v>36</v>
      </c>
      <c r="G31" s="19">
        <f>G30</f>
        <v>-84852</v>
      </c>
      <c r="I31" s="72" t="s">
        <v>50</v>
      </c>
      <c r="J31" s="73"/>
      <c r="K31" s="73"/>
      <c r="L31" s="74"/>
      <c r="M31" s="75">
        <f>M29/6</f>
        <v>0</v>
      </c>
    </row>
    <row r="32" spans="2:13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-67773.610000000088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57</v>
      </c>
      <c r="D35" s="8"/>
      <c r="E35" s="8"/>
      <c r="F35" s="9"/>
      <c r="G35" s="35">
        <f>G33/6</f>
        <v>-11295.601666666682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s="40" t="s">
        <v>38</v>
      </c>
      <c r="D39" s="40"/>
      <c r="E39" s="40"/>
      <c r="F39" s="40"/>
      <c r="G39" s="41">
        <f>G14</f>
        <v>84852</v>
      </c>
    </row>
    <row r="40" spans="2:7" x14ac:dyDescent="0.2">
      <c r="B40" s="4">
        <v>12</v>
      </c>
      <c r="C40" s="40" t="s">
        <v>39</v>
      </c>
      <c r="D40" s="40"/>
      <c r="E40" s="40"/>
      <c r="F40" s="40"/>
      <c r="G40" s="42">
        <f>G31</f>
        <v>-84852</v>
      </c>
    </row>
    <row r="41" spans="2:7" x14ac:dyDescent="0.2">
      <c r="B41" s="4"/>
      <c r="C41" s="40"/>
      <c r="D41" s="40"/>
      <c r="E41" s="40"/>
      <c r="F41" s="40"/>
      <c r="G41" s="41"/>
    </row>
    <row r="42" spans="2:7" ht="15" thickBot="1" x14ac:dyDescent="0.25">
      <c r="B42" s="4">
        <v>13</v>
      </c>
      <c r="C42" s="40" t="s">
        <v>40</v>
      </c>
      <c r="D42" s="40"/>
      <c r="E42" s="40"/>
      <c r="F42" s="40"/>
      <c r="G42" s="43">
        <f>G39+G40</f>
        <v>0</v>
      </c>
    </row>
    <row r="43" spans="2:7" ht="15" thickTop="1" x14ac:dyDescent="0.2">
      <c r="B43" s="4"/>
      <c r="C43" s="40"/>
      <c r="D43" s="40"/>
      <c r="E43" s="40"/>
      <c r="F43" s="40"/>
      <c r="G43" s="41"/>
    </row>
    <row r="44" spans="2:7" x14ac:dyDescent="0.2">
      <c r="B44" s="4">
        <v>14</v>
      </c>
      <c r="C44" s="40" t="s">
        <v>41</v>
      </c>
      <c r="D44" s="40"/>
      <c r="E44" s="40"/>
      <c r="F44" s="40"/>
      <c r="G44" s="41">
        <f>G33</f>
        <v>-67773.610000000088</v>
      </c>
    </row>
    <row r="45" spans="2:7" x14ac:dyDescent="0.2">
      <c r="B45" s="4"/>
      <c r="C45" s="40"/>
      <c r="D45" s="40"/>
      <c r="E45" s="40"/>
      <c r="F45" s="40"/>
      <c r="G45" s="41"/>
    </row>
    <row r="46" spans="2:7" x14ac:dyDescent="0.2">
      <c r="B46" s="4">
        <v>15</v>
      </c>
      <c r="C46" s="40" t="s">
        <v>42</v>
      </c>
      <c r="D46" s="40"/>
      <c r="E46" s="40"/>
      <c r="F46" s="40"/>
      <c r="G46" s="42">
        <f>SUM(F15:F20)</f>
        <v>-67773.610000000088</v>
      </c>
    </row>
    <row r="47" spans="2:7" x14ac:dyDescent="0.2">
      <c r="B47" s="4"/>
      <c r="C47" s="40"/>
      <c r="D47" s="40"/>
      <c r="E47" s="40"/>
      <c r="F47" s="40"/>
      <c r="G47" s="41"/>
    </row>
    <row r="48" spans="2:7" ht="15" thickBot="1" x14ac:dyDescent="0.25">
      <c r="B48" s="4">
        <v>16</v>
      </c>
      <c r="C48" s="40" t="s">
        <v>43</v>
      </c>
      <c r="D48" s="40"/>
      <c r="E48" s="40"/>
      <c r="F48" s="40"/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77"/>
      <c r="G52" s="77"/>
    </row>
    <row r="53" spans="2:7" x14ac:dyDescent="0.2">
      <c r="B53" s="32"/>
      <c r="C53" s="5" t="s">
        <v>10</v>
      </c>
      <c r="D53" s="5" t="s">
        <v>58</v>
      </c>
      <c r="E53" s="27"/>
      <c r="F53" s="77"/>
      <c r="G53" s="77"/>
    </row>
    <row r="54" spans="2:7" x14ac:dyDescent="0.2">
      <c r="C54" s="13">
        <v>45658</v>
      </c>
      <c r="D54" s="46">
        <v>0</v>
      </c>
      <c r="E54" s="78"/>
      <c r="F54" s="55"/>
      <c r="G54" s="55"/>
    </row>
    <row r="55" spans="2:7" x14ac:dyDescent="0.2">
      <c r="C55" s="15">
        <v>45689</v>
      </c>
      <c r="D55" s="47">
        <v>0</v>
      </c>
      <c r="E55" s="78"/>
      <c r="F55" s="55"/>
      <c r="G55" s="55"/>
    </row>
    <row r="56" spans="2:7" x14ac:dyDescent="0.2">
      <c r="C56" s="15">
        <v>45717</v>
      </c>
      <c r="D56" s="47">
        <v>0</v>
      </c>
      <c r="E56" s="78"/>
      <c r="F56" s="55"/>
      <c r="G56" s="55"/>
    </row>
    <row r="57" spans="2:7" x14ac:dyDescent="0.2">
      <c r="C57" s="15">
        <v>45748</v>
      </c>
      <c r="D57" s="47">
        <v>0</v>
      </c>
      <c r="E57" s="78"/>
      <c r="F57" s="55"/>
      <c r="G57" s="55"/>
    </row>
    <row r="58" spans="2:7" x14ac:dyDescent="0.2">
      <c r="C58" s="15">
        <v>45778</v>
      </c>
      <c r="D58" s="47">
        <v>0</v>
      </c>
      <c r="E58" s="78"/>
      <c r="F58" s="55"/>
      <c r="G58" s="55"/>
    </row>
    <row r="59" spans="2:7" x14ac:dyDescent="0.2">
      <c r="C59" s="15">
        <v>45809</v>
      </c>
      <c r="D59" s="48">
        <v>0</v>
      </c>
      <c r="E59" s="78"/>
      <c r="F59" s="55"/>
      <c r="G59" s="55"/>
    </row>
    <row r="60" spans="2:7" x14ac:dyDescent="0.2">
      <c r="C60" s="49" t="s">
        <v>46</v>
      </c>
      <c r="D60" s="35">
        <f>SUM(D54:D59)</f>
        <v>0</v>
      </c>
      <c r="E60" s="16"/>
      <c r="F60" s="55"/>
      <c r="G60" s="55"/>
    </row>
  </sheetData>
  <mergeCells count="3">
    <mergeCell ref="B4:G5"/>
    <mergeCell ref="C12:G12"/>
    <mergeCell ref="I4:M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2E030-3180-4679-9A56-8D9AAF32E4AC}">
  <dimension ref="A1:F25"/>
  <sheetViews>
    <sheetView workbookViewId="0">
      <selection activeCell="A2" sqref="A2"/>
    </sheetView>
  </sheetViews>
  <sheetFormatPr defaultColWidth="15.625" defaultRowHeight="14.25" x14ac:dyDescent="0.2"/>
  <sheetData>
    <row r="1" spans="1:6" x14ac:dyDescent="0.2">
      <c r="A1" t="str">
        <f>'Current 05-31-25'!$A$1</f>
        <v>Staff DR1 Response 2 - Shelby Surcharge Summary.xlsx</v>
      </c>
    </row>
    <row r="3" spans="1:6" ht="15" x14ac:dyDescent="0.25">
      <c r="C3" s="106" t="s">
        <v>61</v>
      </c>
      <c r="D3" s="106"/>
      <c r="E3" s="106"/>
    </row>
    <row r="4" spans="1:6" ht="15" x14ac:dyDescent="0.25">
      <c r="B4" s="106" t="s">
        <v>62</v>
      </c>
      <c r="C4" s="106"/>
      <c r="D4" s="106"/>
      <c r="E4" s="106"/>
      <c r="F4" s="106"/>
    </row>
    <row r="6" spans="1:6" ht="15" thickBot="1" x14ac:dyDescent="0.25">
      <c r="E6" s="107" t="s">
        <v>63</v>
      </c>
    </row>
    <row r="7" spans="1:6" x14ac:dyDescent="0.2">
      <c r="B7" t="s">
        <v>64</v>
      </c>
    </row>
    <row r="8" spans="1:6" x14ac:dyDescent="0.2">
      <c r="B8" t="s">
        <v>65</v>
      </c>
      <c r="E8" s="108">
        <f>'A - 05-31-22'!G33</f>
        <v>130670.82999999996</v>
      </c>
      <c r="F8" s="109" t="str">
        <f>IF(E8&gt;0,"Under-Recovery","Over-Recovery")</f>
        <v>Under-Recovery</v>
      </c>
    </row>
    <row r="9" spans="1:6" x14ac:dyDescent="0.2">
      <c r="B9" t="s">
        <v>66</v>
      </c>
      <c r="E9" s="108">
        <f>'B - 11-30-22'!G35</f>
        <v>194499.80000000016</v>
      </c>
      <c r="F9" s="109" t="str">
        <f t="shared" ref="F9:F13" si="0">IF(E9&gt;0,"Under-Recovery","Over-Recovery")</f>
        <v>Under-Recovery</v>
      </c>
    </row>
    <row r="10" spans="1:6" x14ac:dyDescent="0.2">
      <c r="B10" t="s">
        <v>67</v>
      </c>
      <c r="E10" s="108">
        <f>'C - 05-31-23'!G37</f>
        <v>-45508.470000000088</v>
      </c>
      <c r="F10" s="109" t="str">
        <f t="shared" si="0"/>
        <v>Over-Recovery</v>
      </c>
    </row>
    <row r="11" spans="1:6" x14ac:dyDescent="0.2">
      <c r="B11" t="s">
        <v>68</v>
      </c>
      <c r="E11" s="108">
        <f>'D - 11-30-23'!G39</f>
        <v>157.42999999981839</v>
      </c>
      <c r="F11" s="109" t="str">
        <f t="shared" si="0"/>
        <v>Under-Recovery</v>
      </c>
    </row>
    <row r="12" spans="1:6" x14ac:dyDescent="0.2">
      <c r="B12" t="s">
        <v>69</v>
      </c>
      <c r="E12" s="108">
        <f>'E - 05-31-24'!G41</f>
        <v>261407.05000000005</v>
      </c>
      <c r="F12" s="109" t="str">
        <f t="shared" si="0"/>
        <v>Under-Recovery</v>
      </c>
    </row>
    <row r="13" spans="1:6" x14ac:dyDescent="0.2">
      <c r="B13" t="s">
        <v>70</v>
      </c>
      <c r="E13" s="108">
        <f>'F - 11-30-24'!G43</f>
        <v>-456374.44</v>
      </c>
      <c r="F13" s="109" t="str">
        <f t="shared" si="0"/>
        <v>Over-Recovery</v>
      </c>
    </row>
    <row r="14" spans="1:6" x14ac:dyDescent="0.2">
      <c r="E14" s="108"/>
    </row>
    <row r="15" spans="1:6" ht="15" thickBot="1" x14ac:dyDescent="0.25">
      <c r="B15" t="s">
        <v>71</v>
      </c>
      <c r="E15" s="110">
        <f>SUM(E8:E13)</f>
        <v>84852.199999999895</v>
      </c>
      <c r="F15" s="109" t="str">
        <f>IF(E15&gt;0,"Under-Recovery","Over-Recovery")</f>
        <v>Under-Recovery</v>
      </c>
    </row>
    <row r="16" spans="1:6" ht="15" thickTop="1" x14ac:dyDescent="0.2"/>
    <row r="20" spans="2:6" ht="15" x14ac:dyDescent="0.25">
      <c r="B20" s="106" t="s">
        <v>72</v>
      </c>
      <c r="C20" s="106"/>
      <c r="D20" s="106"/>
      <c r="E20" s="106"/>
      <c r="F20" s="106"/>
    </row>
    <row r="22" spans="2:6" x14ac:dyDescent="0.2">
      <c r="B22" t="s">
        <v>73</v>
      </c>
      <c r="E22" s="108">
        <f>ROUND(E15/6,0)</f>
        <v>14142</v>
      </c>
    </row>
    <row r="23" spans="2:6" x14ac:dyDescent="0.2">
      <c r="E23" s="108"/>
    </row>
    <row r="24" spans="2:6" x14ac:dyDescent="0.2">
      <c r="B24" t="s">
        <v>74</v>
      </c>
      <c r="E24" s="108">
        <f>ROUND(E15/12,0)</f>
        <v>7071</v>
      </c>
    </row>
    <row r="25" spans="2:6" x14ac:dyDescent="0.2">
      <c r="E25" s="108"/>
    </row>
  </sheetData>
  <mergeCells count="3">
    <mergeCell ref="C3:E3"/>
    <mergeCell ref="B4:F4"/>
    <mergeCell ref="B20:F2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27992-D00C-47C7-868A-80D9D61BC375}">
  <dimension ref="A1:M6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Shelby Surcharge Summary.xlsx</v>
      </c>
    </row>
    <row r="4" spans="1:13" ht="14.25" customHeight="1" x14ac:dyDescent="0.2">
      <c r="B4" s="111" t="s">
        <v>51</v>
      </c>
      <c r="C4" s="112"/>
      <c r="D4" s="112"/>
      <c r="E4" s="112"/>
      <c r="F4" s="112"/>
      <c r="G4" s="113"/>
      <c r="I4" s="100" t="s">
        <v>52</v>
      </c>
      <c r="J4" s="101"/>
      <c r="K4" s="101"/>
      <c r="L4" s="101"/>
      <c r="M4" s="102"/>
    </row>
    <row r="5" spans="1:13" ht="14.25" customHeight="1" x14ac:dyDescent="0.2">
      <c r="B5" s="114"/>
      <c r="C5" s="115"/>
      <c r="D5" s="115"/>
      <c r="E5" s="115"/>
      <c r="F5" s="115"/>
      <c r="G5" s="116"/>
      <c r="I5" s="103"/>
      <c r="J5" s="104"/>
      <c r="K5" s="104"/>
      <c r="L5" s="104"/>
      <c r="M5" s="105"/>
    </row>
    <row r="6" spans="1:13" ht="15" x14ac:dyDescent="0.2">
      <c r="I6" s="56"/>
      <c r="J6" s="56"/>
      <c r="K6" s="56"/>
      <c r="L6" s="56"/>
      <c r="M6" s="56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ht="15.75" x14ac:dyDescent="0.25">
      <c r="B8" s="3"/>
      <c r="C8" s="3"/>
      <c r="D8" s="4" t="s">
        <v>1</v>
      </c>
      <c r="E8" s="4" t="s">
        <v>2</v>
      </c>
      <c r="F8" s="3"/>
      <c r="G8" s="3"/>
      <c r="I8" s="117" t="s">
        <v>53</v>
      </c>
      <c r="J8" s="56"/>
      <c r="K8" s="56"/>
      <c r="L8" s="56"/>
      <c r="M8" s="56"/>
    </row>
    <row r="9" spans="1:13" ht="15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  <c r="I9" s="56"/>
      <c r="J9" s="56"/>
      <c r="K9" s="56"/>
      <c r="L9" s="56"/>
      <c r="M9" s="56"/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57"/>
      <c r="J10" s="57"/>
      <c r="K10" s="58" t="s">
        <v>0</v>
      </c>
      <c r="L10" s="57"/>
      <c r="M10" s="57"/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9"/>
      <c r="J11" s="60" t="s">
        <v>1</v>
      </c>
      <c r="K11" s="60" t="s">
        <v>2</v>
      </c>
      <c r="L11" s="59"/>
      <c r="M11" s="59"/>
    </row>
    <row r="12" spans="1:13" x14ac:dyDescent="0.2">
      <c r="B12" s="2">
        <v>1</v>
      </c>
      <c r="C12" s="97" t="s">
        <v>15</v>
      </c>
      <c r="D12" s="98"/>
      <c r="E12" s="98"/>
      <c r="F12" s="98"/>
      <c r="G12" s="99"/>
      <c r="I12" s="59"/>
      <c r="J12" s="60" t="s">
        <v>3</v>
      </c>
      <c r="K12" s="60" t="s">
        <v>4</v>
      </c>
      <c r="L12" s="60" t="s">
        <v>5</v>
      </c>
      <c r="M12" s="60" t="s">
        <v>6</v>
      </c>
    </row>
    <row r="13" spans="1:13" x14ac:dyDescent="0.2">
      <c r="B13" s="2" t="s">
        <v>16</v>
      </c>
      <c r="C13" s="8" t="s">
        <v>75</v>
      </c>
      <c r="D13" s="8"/>
      <c r="E13" s="8"/>
      <c r="F13" s="9"/>
      <c r="G13" s="35">
        <v>768192</v>
      </c>
      <c r="I13" s="61"/>
      <c r="J13" s="61" t="s">
        <v>7</v>
      </c>
      <c r="K13" s="61" t="s">
        <v>7</v>
      </c>
      <c r="L13" s="61" t="s">
        <v>8</v>
      </c>
      <c r="M13" s="61" t="s">
        <v>8</v>
      </c>
    </row>
    <row r="14" spans="1:13" x14ac:dyDescent="0.2">
      <c r="B14" s="5" t="s">
        <v>17</v>
      </c>
      <c r="C14" s="8" t="s">
        <v>18</v>
      </c>
      <c r="D14" s="8"/>
      <c r="E14" s="8"/>
      <c r="F14" s="11"/>
      <c r="G14" s="12">
        <f>G13</f>
        <v>768192</v>
      </c>
      <c r="I14" s="62" t="s">
        <v>10</v>
      </c>
      <c r="J14" s="63" t="s">
        <v>48</v>
      </c>
      <c r="K14" s="63" t="s">
        <v>11</v>
      </c>
      <c r="L14" s="63" t="s">
        <v>12</v>
      </c>
      <c r="M14" s="63" t="s">
        <v>13</v>
      </c>
    </row>
    <row r="15" spans="1:13" x14ac:dyDescent="0.2">
      <c r="B15" s="4">
        <v>2</v>
      </c>
      <c r="C15" s="13">
        <v>44562</v>
      </c>
      <c r="D15" s="51">
        <f>395754-379</f>
        <v>395375</v>
      </c>
      <c r="E15" s="84">
        <f>577518.04-97809</f>
        <v>479709.04000000004</v>
      </c>
      <c r="F15" s="14">
        <f t="shared" ref="F15:F22" si="0">D15-E15</f>
        <v>-84334.040000000037</v>
      </c>
      <c r="G15" s="12">
        <f t="shared" ref="G15:G22" si="1">G14+F15</f>
        <v>683857.96</v>
      </c>
      <c r="I15" s="118">
        <v>44562</v>
      </c>
      <c r="J15" s="65">
        <v>97809</v>
      </c>
      <c r="K15" s="83">
        <v>97809</v>
      </c>
      <c r="L15" s="66">
        <f t="shared" ref="L15:L22" si="2">J15-K15</f>
        <v>0</v>
      </c>
      <c r="M15" s="67">
        <f>L15</f>
        <v>0</v>
      </c>
    </row>
    <row r="16" spans="1:13" x14ac:dyDescent="0.2">
      <c r="B16" s="4">
        <v>3</v>
      </c>
      <c r="C16" s="15">
        <v>44593</v>
      </c>
      <c r="D16" s="52">
        <f>331884-198</f>
        <v>331686</v>
      </c>
      <c r="E16" s="53">
        <f>329028.46-89753</f>
        <v>239275.46000000002</v>
      </c>
      <c r="F16" s="16">
        <f t="shared" si="0"/>
        <v>92410.539999999979</v>
      </c>
      <c r="G16" s="17">
        <f t="shared" si="1"/>
        <v>776268.5</v>
      </c>
      <c r="I16" s="119">
        <v>44593</v>
      </c>
      <c r="J16" s="65">
        <v>89753</v>
      </c>
      <c r="K16" s="83">
        <v>89753</v>
      </c>
      <c r="L16" s="67">
        <f t="shared" si="2"/>
        <v>0</v>
      </c>
      <c r="M16" s="67">
        <f>M15+L16</f>
        <v>0</v>
      </c>
    </row>
    <row r="17" spans="2:13" x14ac:dyDescent="0.2">
      <c r="B17" s="4">
        <v>4</v>
      </c>
      <c r="C17" s="15">
        <v>44621</v>
      </c>
      <c r="D17" s="52">
        <f>215962-288</f>
        <v>215674</v>
      </c>
      <c r="E17" s="53">
        <f>323137.64-78119</f>
        <v>245018.64</v>
      </c>
      <c r="F17" s="16">
        <f t="shared" si="0"/>
        <v>-29344.640000000014</v>
      </c>
      <c r="G17" s="17">
        <f t="shared" si="1"/>
        <v>746923.86</v>
      </c>
      <c r="I17" s="119">
        <v>44621</v>
      </c>
      <c r="J17" s="65">
        <v>78119</v>
      </c>
      <c r="K17" s="65">
        <v>78119</v>
      </c>
      <c r="L17" s="67">
        <f t="shared" si="2"/>
        <v>0</v>
      </c>
      <c r="M17" s="67">
        <f t="shared" ref="M17:M20" si="3">M16+L17</f>
        <v>0</v>
      </c>
    </row>
    <row r="18" spans="2:13" x14ac:dyDescent="0.2">
      <c r="B18" s="4">
        <v>5</v>
      </c>
      <c r="C18" s="15">
        <v>44652</v>
      </c>
      <c r="D18" s="52">
        <f>260389-424</f>
        <v>259965</v>
      </c>
      <c r="E18" s="53">
        <f>264373.78-105378</f>
        <v>158995.78000000003</v>
      </c>
      <c r="F18" s="16">
        <f t="shared" si="0"/>
        <v>100969.21999999997</v>
      </c>
      <c r="G18" s="17">
        <f t="shared" si="1"/>
        <v>847893.08</v>
      </c>
      <c r="I18" s="119">
        <v>44652</v>
      </c>
      <c r="J18" s="65">
        <v>105378</v>
      </c>
      <c r="K18" s="65">
        <v>105378</v>
      </c>
      <c r="L18" s="67">
        <f t="shared" si="2"/>
        <v>0</v>
      </c>
      <c r="M18" s="67">
        <f t="shared" si="3"/>
        <v>0</v>
      </c>
    </row>
    <row r="19" spans="2:13" x14ac:dyDescent="0.2">
      <c r="B19" s="4">
        <v>6</v>
      </c>
      <c r="C19" s="15">
        <v>44682</v>
      </c>
      <c r="D19" s="52">
        <f>288105-451</f>
        <v>287654</v>
      </c>
      <c r="E19" s="53">
        <f>411089.39-118776</f>
        <v>292313.39</v>
      </c>
      <c r="F19" s="16">
        <f t="shared" si="0"/>
        <v>-4659.390000000014</v>
      </c>
      <c r="G19" s="17">
        <f t="shared" si="1"/>
        <v>843233.69</v>
      </c>
      <c r="I19" s="119">
        <v>44682</v>
      </c>
      <c r="J19" s="65">
        <v>118776</v>
      </c>
      <c r="K19" s="81">
        <v>118776</v>
      </c>
      <c r="L19" s="67">
        <f t="shared" si="2"/>
        <v>0</v>
      </c>
      <c r="M19" s="67">
        <f>M18+L19</f>
        <v>0</v>
      </c>
    </row>
    <row r="20" spans="2:13" x14ac:dyDescent="0.2">
      <c r="B20" s="4">
        <v>7</v>
      </c>
      <c r="C20" s="15">
        <v>44713</v>
      </c>
      <c r="D20" s="52">
        <f>396424-48</f>
        <v>396376</v>
      </c>
      <c r="E20" s="120">
        <f>482051.86+(-141967+662)</f>
        <v>340746.86</v>
      </c>
      <c r="F20" s="18">
        <f t="shared" si="0"/>
        <v>55629.140000000014</v>
      </c>
      <c r="G20" s="19">
        <f t="shared" si="1"/>
        <v>898862.83</v>
      </c>
      <c r="I20" s="121">
        <v>44713</v>
      </c>
      <c r="J20" s="81">
        <v>141305</v>
      </c>
      <c r="K20" s="122">
        <f>141967-662</f>
        <v>141305</v>
      </c>
      <c r="L20" s="70">
        <f t="shared" si="2"/>
        <v>0</v>
      </c>
      <c r="M20" s="70">
        <f t="shared" si="3"/>
        <v>0</v>
      </c>
    </row>
    <row r="21" spans="2:13" x14ac:dyDescent="0.2">
      <c r="B21" s="20" t="s">
        <v>19</v>
      </c>
      <c r="C21" s="13">
        <v>44743</v>
      </c>
      <c r="D21" s="51">
        <f>457896-489</f>
        <v>457407</v>
      </c>
      <c r="E21" s="123">
        <f>560683.31+(-154860-662)</f>
        <v>405161.31000000006</v>
      </c>
      <c r="F21" s="14">
        <f t="shared" si="0"/>
        <v>52245.689999999944</v>
      </c>
      <c r="G21" s="12">
        <f t="shared" si="1"/>
        <v>951108.5199999999</v>
      </c>
      <c r="I21" s="119">
        <v>44743</v>
      </c>
      <c r="J21" s="82">
        <f>155522</f>
        <v>155522</v>
      </c>
      <c r="K21" s="124">
        <f>154860+662</f>
        <v>155522</v>
      </c>
      <c r="L21" s="67">
        <f t="shared" si="2"/>
        <v>0</v>
      </c>
      <c r="M21" s="67">
        <f>M20+L21</f>
        <v>0</v>
      </c>
    </row>
    <row r="22" spans="2:13" x14ac:dyDescent="0.2">
      <c r="B22" s="21" t="s">
        <v>20</v>
      </c>
      <c r="C22" s="22">
        <v>44774</v>
      </c>
      <c r="D22" s="86">
        <f>347195-43</f>
        <v>347152</v>
      </c>
      <c r="E22" s="90">
        <f>468701.5-126325</f>
        <v>342376.5</v>
      </c>
      <c r="F22" s="18">
        <f t="shared" si="0"/>
        <v>4775.5</v>
      </c>
      <c r="G22" s="19">
        <f t="shared" si="1"/>
        <v>955884.0199999999</v>
      </c>
      <c r="I22" s="121">
        <v>44774</v>
      </c>
      <c r="J22" s="87">
        <v>126325</v>
      </c>
      <c r="K22" s="87">
        <v>126325</v>
      </c>
      <c r="L22" s="70">
        <f t="shared" si="2"/>
        <v>0</v>
      </c>
      <c r="M22" s="70">
        <f>M21+L22</f>
        <v>0</v>
      </c>
    </row>
    <row r="23" spans="2:13" x14ac:dyDescent="0.2">
      <c r="B23" s="5"/>
      <c r="C23" s="23" t="s">
        <v>76</v>
      </c>
      <c r="D23" s="24"/>
      <c r="E23" s="24"/>
      <c r="F23" s="24"/>
      <c r="G23" s="25"/>
      <c r="I23" s="71"/>
      <c r="J23" s="71"/>
      <c r="K23" s="71"/>
      <c r="L23" s="71"/>
      <c r="M23" s="71"/>
    </row>
    <row r="24" spans="2:13" x14ac:dyDescent="0.2">
      <c r="B24" s="2"/>
      <c r="C24" s="1"/>
      <c r="D24" s="1"/>
      <c r="E24" s="1"/>
      <c r="F24" s="1"/>
      <c r="G24" s="12"/>
      <c r="I24" s="72" t="s">
        <v>49</v>
      </c>
      <c r="J24" s="73"/>
      <c r="K24" s="73"/>
      <c r="L24" s="74"/>
      <c r="M24" s="75">
        <f>M20</f>
        <v>0</v>
      </c>
    </row>
    <row r="25" spans="2:13" x14ac:dyDescent="0.2">
      <c r="B25" s="4"/>
      <c r="C25" s="3"/>
      <c r="D25" s="4" t="s">
        <v>21</v>
      </c>
      <c r="E25" s="4" t="s">
        <v>22</v>
      </c>
      <c r="F25" s="3"/>
      <c r="G25" s="17"/>
      <c r="I25" s="71"/>
      <c r="J25" s="71"/>
      <c r="K25" s="71"/>
      <c r="L25" s="71"/>
      <c r="M25" s="76"/>
    </row>
    <row r="26" spans="2:13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  <c r="I26" s="72" t="s">
        <v>50</v>
      </c>
      <c r="J26" s="73"/>
      <c r="K26" s="73"/>
      <c r="L26" s="74"/>
      <c r="M26" s="75">
        <f>M24/6</f>
        <v>0</v>
      </c>
    </row>
    <row r="27" spans="2:13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13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13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13" x14ac:dyDescent="0.2">
      <c r="B30" s="2" t="s">
        <v>34</v>
      </c>
      <c r="C30" s="54" t="s">
        <v>77</v>
      </c>
      <c r="D30" s="35">
        <f>-G13</f>
        <v>-768192</v>
      </c>
      <c r="E30" s="35">
        <f>D60</f>
        <v>0</v>
      </c>
      <c r="F30" s="54"/>
      <c r="G30" s="35">
        <f>D30+E30</f>
        <v>-768192</v>
      </c>
    </row>
    <row r="31" spans="2:13" x14ac:dyDescent="0.2">
      <c r="B31" s="5" t="s">
        <v>35</v>
      </c>
      <c r="C31" s="29"/>
      <c r="D31" s="30"/>
      <c r="E31" s="30"/>
      <c r="F31" s="31" t="s">
        <v>36</v>
      </c>
      <c r="G31" s="19">
        <f>G30</f>
        <v>-768192</v>
      </c>
    </row>
    <row r="32" spans="2:13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130670.82999999996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78</v>
      </c>
      <c r="D35" s="8"/>
      <c r="E35" s="8"/>
      <c r="F35" s="9"/>
      <c r="G35" s="35">
        <f>G33/6</f>
        <v>21778.471666666661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t="s">
        <v>38</v>
      </c>
      <c r="G39" s="41">
        <f>G14</f>
        <v>768192</v>
      </c>
    </row>
    <row r="40" spans="2:7" x14ac:dyDescent="0.2">
      <c r="B40" s="4">
        <v>12</v>
      </c>
      <c r="C40" t="s">
        <v>39</v>
      </c>
      <c r="G40" s="42">
        <f>G31</f>
        <v>-768192</v>
      </c>
    </row>
    <row r="41" spans="2:7" x14ac:dyDescent="0.2">
      <c r="B41" s="4"/>
      <c r="G41" s="41"/>
    </row>
    <row r="42" spans="2:7" ht="15" thickBot="1" x14ac:dyDescent="0.25">
      <c r="B42" s="4">
        <v>13</v>
      </c>
      <c r="C42" t="s">
        <v>40</v>
      </c>
      <c r="G42" s="43">
        <f>G39+G40</f>
        <v>0</v>
      </c>
    </row>
    <row r="43" spans="2:7" ht="15" thickTop="1" x14ac:dyDescent="0.2">
      <c r="B43" s="4"/>
      <c r="G43" s="41"/>
    </row>
    <row r="44" spans="2:7" x14ac:dyDescent="0.2">
      <c r="B44" s="4">
        <v>14</v>
      </c>
      <c r="C44" t="s">
        <v>41</v>
      </c>
      <c r="G44" s="41">
        <f>G33</f>
        <v>130670.82999999996</v>
      </c>
    </row>
    <row r="45" spans="2:7" x14ac:dyDescent="0.2">
      <c r="B45" s="4"/>
      <c r="G45" s="41"/>
    </row>
    <row r="46" spans="2:7" x14ac:dyDescent="0.2">
      <c r="B46" s="4">
        <v>15</v>
      </c>
      <c r="C46" t="s">
        <v>42</v>
      </c>
      <c r="G46" s="42">
        <f>SUM(F15:F20)</f>
        <v>130670.8299999999</v>
      </c>
    </row>
    <row r="47" spans="2:7" x14ac:dyDescent="0.2">
      <c r="B47" s="4"/>
      <c r="G47" s="41"/>
    </row>
    <row r="48" spans="2:7" ht="15" thickBot="1" x14ac:dyDescent="0.25">
      <c r="B48" s="4">
        <v>16</v>
      </c>
      <c r="C48" t="s">
        <v>43</v>
      </c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32"/>
      <c r="G52" s="32"/>
    </row>
    <row r="53" spans="2:7" x14ac:dyDescent="0.2">
      <c r="B53" s="32"/>
      <c r="C53" s="5" t="s">
        <v>10</v>
      </c>
      <c r="D53" s="5" t="s">
        <v>79</v>
      </c>
      <c r="E53" s="27"/>
      <c r="F53" s="32"/>
      <c r="G53" s="32"/>
    </row>
    <row r="54" spans="2:7" x14ac:dyDescent="0.2">
      <c r="C54" s="13">
        <v>44562</v>
      </c>
      <c r="D54" s="12">
        <v>0</v>
      </c>
      <c r="E54" s="16"/>
      <c r="F54" s="33"/>
      <c r="G54" s="33"/>
    </row>
    <row r="55" spans="2:7" x14ac:dyDescent="0.2">
      <c r="C55" s="15">
        <v>44593</v>
      </c>
      <c r="D55" s="17">
        <v>0</v>
      </c>
      <c r="E55" s="16"/>
      <c r="F55" s="33"/>
      <c r="G55" s="33"/>
    </row>
    <row r="56" spans="2:7" x14ac:dyDescent="0.2">
      <c r="C56" s="15">
        <v>44621</v>
      </c>
      <c r="D56" s="17">
        <v>0</v>
      </c>
      <c r="E56" s="16"/>
      <c r="F56" s="33"/>
      <c r="G56" s="33"/>
    </row>
    <row r="57" spans="2:7" x14ac:dyDescent="0.2">
      <c r="C57" s="15">
        <v>44652</v>
      </c>
      <c r="D57" s="17">
        <v>0</v>
      </c>
      <c r="E57" s="16"/>
      <c r="F57" s="33"/>
      <c r="G57" s="33"/>
    </row>
    <row r="58" spans="2:7" x14ac:dyDescent="0.2">
      <c r="C58" s="15">
        <v>44682</v>
      </c>
      <c r="D58" s="17">
        <v>0</v>
      </c>
      <c r="E58" s="16"/>
      <c r="F58" s="33"/>
      <c r="G58" s="33"/>
    </row>
    <row r="59" spans="2:7" x14ac:dyDescent="0.2">
      <c r="C59" s="15">
        <v>44713</v>
      </c>
      <c r="D59" s="19">
        <v>0</v>
      </c>
      <c r="E59" s="16"/>
      <c r="F59" s="33"/>
      <c r="G59" s="33"/>
    </row>
    <row r="60" spans="2:7" x14ac:dyDescent="0.2">
      <c r="C60" s="49" t="s">
        <v>46</v>
      </c>
      <c r="D60" s="35">
        <f>SUM(D54:D59)</f>
        <v>0</v>
      </c>
      <c r="E60" s="16"/>
      <c r="F60" s="33"/>
      <c r="G60" s="33"/>
    </row>
  </sheetData>
  <mergeCells count="3">
    <mergeCell ref="B4:G5"/>
    <mergeCell ref="I4:M5"/>
    <mergeCell ref="C12:G1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B58A9-A4CA-4848-8803-6D707AA2F450}">
  <dimension ref="A1:M62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Shelby Surcharge Summary.xlsx</v>
      </c>
    </row>
    <row r="4" spans="1:13" ht="14.25" customHeight="1" x14ac:dyDescent="0.2">
      <c r="B4" s="111" t="s">
        <v>51</v>
      </c>
      <c r="C4" s="112"/>
      <c r="D4" s="112"/>
      <c r="E4" s="112"/>
      <c r="F4" s="112"/>
      <c r="G4" s="113"/>
      <c r="I4" s="100" t="s">
        <v>52</v>
      </c>
      <c r="J4" s="101"/>
      <c r="K4" s="101"/>
      <c r="L4" s="101"/>
      <c r="M4" s="102"/>
    </row>
    <row r="5" spans="1:13" ht="14.25" customHeight="1" x14ac:dyDescent="0.2">
      <c r="B5" s="114"/>
      <c r="C5" s="115"/>
      <c r="D5" s="115"/>
      <c r="E5" s="115"/>
      <c r="F5" s="115"/>
      <c r="G5" s="116"/>
      <c r="I5" s="103"/>
      <c r="J5" s="104"/>
      <c r="K5" s="104"/>
      <c r="L5" s="104"/>
      <c r="M5" s="105"/>
    </row>
    <row r="6" spans="1:13" ht="15" x14ac:dyDescent="0.2">
      <c r="I6" s="56"/>
      <c r="J6" s="56"/>
      <c r="K6" s="56"/>
      <c r="L6" s="56"/>
      <c r="M6" s="56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ht="15.75" x14ac:dyDescent="0.25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  <c r="I9" s="117" t="s">
        <v>53</v>
      </c>
      <c r="J9" s="56"/>
      <c r="K9" s="56"/>
      <c r="L9" s="56"/>
      <c r="M9" s="56"/>
    </row>
    <row r="10" spans="1:13" ht="15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56"/>
      <c r="J10" s="56"/>
      <c r="K10" s="56"/>
      <c r="L10" s="56"/>
      <c r="M10" s="56"/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7"/>
      <c r="J11" s="57"/>
      <c r="K11" s="58" t="s">
        <v>0</v>
      </c>
      <c r="L11" s="57"/>
      <c r="M11" s="57"/>
    </row>
    <row r="12" spans="1:13" x14ac:dyDescent="0.2">
      <c r="B12" s="2">
        <v>1</v>
      </c>
      <c r="C12" s="97" t="s">
        <v>15</v>
      </c>
      <c r="D12" s="98"/>
      <c r="E12" s="98"/>
      <c r="F12" s="98"/>
      <c r="G12" s="99"/>
      <c r="I12" s="59"/>
      <c r="J12" s="60" t="s">
        <v>1</v>
      </c>
      <c r="K12" s="60" t="s">
        <v>2</v>
      </c>
      <c r="L12" s="59"/>
      <c r="M12" s="59"/>
    </row>
    <row r="13" spans="1:13" x14ac:dyDescent="0.2">
      <c r="B13" s="2" t="s">
        <v>16</v>
      </c>
      <c r="C13" s="8" t="s">
        <v>75</v>
      </c>
      <c r="D13" s="8"/>
      <c r="E13" s="8"/>
      <c r="F13" s="9"/>
      <c r="G13" s="35">
        <v>768192</v>
      </c>
      <c r="I13" s="59"/>
      <c r="J13" s="60" t="s">
        <v>3</v>
      </c>
      <c r="K13" s="60" t="s">
        <v>4</v>
      </c>
      <c r="L13" s="60" t="s">
        <v>5</v>
      </c>
      <c r="M13" s="60" t="s">
        <v>6</v>
      </c>
    </row>
    <row r="14" spans="1:13" x14ac:dyDescent="0.2">
      <c r="B14" s="4" t="s">
        <v>17</v>
      </c>
      <c r="C14" s="8" t="s">
        <v>80</v>
      </c>
      <c r="D14" s="8"/>
      <c r="E14" s="8"/>
      <c r="F14" s="9"/>
      <c r="G14" s="125">
        <f>'A - 05-31-22'!G33</f>
        <v>130670.82999999996</v>
      </c>
      <c r="I14" s="61"/>
      <c r="J14" s="61" t="s">
        <v>7</v>
      </c>
      <c r="K14" s="61" t="s">
        <v>7</v>
      </c>
      <c r="L14" s="61" t="s">
        <v>8</v>
      </c>
      <c r="M14" s="61" t="s">
        <v>8</v>
      </c>
    </row>
    <row r="15" spans="1:13" x14ac:dyDescent="0.2">
      <c r="B15" s="5" t="s">
        <v>81</v>
      </c>
      <c r="C15" s="8" t="s">
        <v>18</v>
      </c>
      <c r="D15" s="8"/>
      <c r="E15" s="8"/>
      <c r="F15" s="11"/>
      <c r="G15" s="12">
        <f>G13+G14</f>
        <v>898862.83</v>
      </c>
      <c r="I15" s="62" t="s">
        <v>10</v>
      </c>
      <c r="J15" s="63" t="s">
        <v>48</v>
      </c>
      <c r="K15" s="63" t="s">
        <v>11</v>
      </c>
      <c r="L15" s="63" t="s">
        <v>12</v>
      </c>
      <c r="M15" s="63" t="s">
        <v>13</v>
      </c>
    </row>
    <row r="16" spans="1:13" x14ac:dyDescent="0.2">
      <c r="B16" s="4">
        <v>2</v>
      </c>
      <c r="C16" s="13">
        <v>44743</v>
      </c>
      <c r="D16" s="51">
        <f>457896-489</f>
        <v>457407</v>
      </c>
      <c r="E16" s="123">
        <f>560683.31+(-154860-662)</f>
        <v>405161.31000000006</v>
      </c>
      <c r="F16" s="14">
        <f t="shared" ref="F16:F23" si="0">D16-E16</f>
        <v>52245.689999999944</v>
      </c>
      <c r="G16" s="12">
        <f t="shared" ref="G16:G23" si="1">G15+F16</f>
        <v>951108.5199999999</v>
      </c>
      <c r="I16" s="118">
        <v>44743</v>
      </c>
      <c r="J16" s="65">
        <f>155522</f>
        <v>155522</v>
      </c>
      <c r="K16" s="126">
        <f>154860+662</f>
        <v>155522</v>
      </c>
      <c r="L16" s="66">
        <f t="shared" ref="L16:L23" si="2">J16-K16</f>
        <v>0</v>
      </c>
      <c r="M16" s="67">
        <f>L16</f>
        <v>0</v>
      </c>
    </row>
    <row r="17" spans="2:13" x14ac:dyDescent="0.2">
      <c r="B17" s="4">
        <v>3</v>
      </c>
      <c r="C17" s="15">
        <v>44774</v>
      </c>
      <c r="D17" s="52">
        <f>347195-43</f>
        <v>347152</v>
      </c>
      <c r="E17" s="53">
        <f>468701.5-126325</f>
        <v>342376.5</v>
      </c>
      <c r="F17" s="16">
        <f t="shared" si="0"/>
        <v>4775.5</v>
      </c>
      <c r="G17" s="17">
        <f t="shared" si="1"/>
        <v>955884.0199999999</v>
      </c>
      <c r="I17" s="119">
        <v>44774</v>
      </c>
      <c r="J17" s="65">
        <v>126325</v>
      </c>
      <c r="K17" s="83">
        <v>126325</v>
      </c>
      <c r="L17" s="67">
        <f t="shared" si="2"/>
        <v>0</v>
      </c>
      <c r="M17" s="67">
        <f>M16+L17</f>
        <v>0</v>
      </c>
    </row>
    <row r="18" spans="2:13" x14ac:dyDescent="0.2">
      <c r="B18" s="4">
        <v>4</v>
      </c>
      <c r="C18" s="15">
        <v>44805</v>
      </c>
      <c r="D18" s="52">
        <f>245422-0</f>
        <v>245422</v>
      </c>
      <c r="E18" s="53">
        <f>333712.58-93691</f>
        <v>240021.58000000002</v>
      </c>
      <c r="F18" s="16">
        <f t="shared" si="0"/>
        <v>5400.4199999999837</v>
      </c>
      <c r="G18" s="17">
        <f t="shared" si="1"/>
        <v>961284.44</v>
      </c>
      <c r="I18" s="119">
        <v>44805</v>
      </c>
      <c r="J18" s="65">
        <v>93691</v>
      </c>
      <c r="K18" s="65">
        <v>93691</v>
      </c>
      <c r="L18" s="67">
        <f t="shared" si="2"/>
        <v>0</v>
      </c>
      <c r="M18" s="67">
        <f t="shared" ref="M18:M21" si="3">M17+L18</f>
        <v>0</v>
      </c>
    </row>
    <row r="19" spans="2:13" x14ac:dyDescent="0.2">
      <c r="B19" s="4">
        <v>5</v>
      </c>
      <c r="C19" s="15">
        <v>44835</v>
      </c>
      <c r="D19" s="52">
        <f>263736-371</f>
        <v>263365</v>
      </c>
      <c r="E19" s="53">
        <f>281294.44-110398</f>
        <v>170896.44</v>
      </c>
      <c r="F19" s="16">
        <f t="shared" si="0"/>
        <v>92468.56</v>
      </c>
      <c r="G19" s="17">
        <f t="shared" si="1"/>
        <v>1053753</v>
      </c>
      <c r="I19" s="119">
        <v>44835</v>
      </c>
      <c r="J19" s="65">
        <v>110398</v>
      </c>
      <c r="K19" s="65">
        <v>110398</v>
      </c>
      <c r="L19" s="67">
        <f t="shared" si="2"/>
        <v>0</v>
      </c>
      <c r="M19" s="67">
        <f t="shared" si="3"/>
        <v>0</v>
      </c>
    </row>
    <row r="20" spans="2:13" x14ac:dyDescent="0.2">
      <c r="B20" s="4">
        <v>6</v>
      </c>
      <c r="C20" s="15">
        <v>44866</v>
      </c>
      <c r="D20" s="52">
        <f>335303-415</f>
        <v>334888</v>
      </c>
      <c r="E20" s="53">
        <f>487931.93-111753</f>
        <v>376178.93</v>
      </c>
      <c r="F20" s="16">
        <f t="shared" si="0"/>
        <v>-41290.929999999993</v>
      </c>
      <c r="G20" s="17">
        <f t="shared" si="1"/>
        <v>1012462.0700000001</v>
      </c>
      <c r="I20" s="119">
        <v>44866</v>
      </c>
      <c r="J20" s="65">
        <v>111753</v>
      </c>
      <c r="K20" s="81">
        <v>111753</v>
      </c>
      <c r="L20" s="67">
        <f t="shared" si="2"/>
        <v>0</v>
      </c>
      <c r="M20" s="67">
        <f>M19+L20</f>
        <v>0</v>
      </c>
    </row>
    <row r="21" spans="2:13" x14ac:dyDescent="0.2">
      <c r="B21" s="4">
        <v>7</v>
      </c>
      <c r="C21" s="15">
        <v>44896</v>
      </c>
      <c r="D21" s="52">
        <f>506320-443</f>
        <v>505877</v>
      </c>
      <c r="E21" s="127">
        <f>542862.44-117886</f>
        <v>424976.43999999994</v>
      </c>
      <c r="F21" s="18">
        <f t="shared" si="0"/>
        <v>80900.560000000056</v>
      </c>
      <c r="G21" s="19">
        <f t="shared" si="1"/>
        <v>1093362.6300000001</v>
      </c>
      <c r="I21" s="121">
        <v>44896</v>
      </c>
      <c r="J21" s="81">
        <v>117886</v>
      </c>
      <c r="K21" s="85">
        <v>117886</v>
      </c>
      <c r="L21" s="70">
        <f t="shared" si="2"/>
        <v>0</v>
      </c>
      <c r="M21" s="70">
        <f t="shared" si="3"/>
        <v>0</v>
      </c>
    </row>
    <row r="22" spans="2:13" x14ac:dyDescent="0.2">
      <c r="B22" s="20" t="s">
        <v>19</v>
      </c>
      <c r="C22" s="13">
        <v>44927</v>
      </c>
      <c r="D22" s="51">
        <f>394147-385</f>
        <v>393762</v>
      </c>
      <c r="E22" s="84">
        <f>544141.07-117504</f>
        <v>426637.06999999995</v>
      </c>
      <c r="F22" s="14">
        <f t="shared" si="0"/>
        <v>-32875.069999999949</v>
      </c>
      <c r="G22" s="12">
        <f t="shared" si="1"/>
        <v>1060487.56</v>
      </c>
      <c r="I22" s="119">
        <v>44927</v>
      </c>
      <c r="J22" s="82">
        <v>117504</v>
      </c>
      <c r="K22" s="88">
        <v>117504</v>
      </c>
      <c r="L22" s="67">
        <f t="shared" si="2"/>
        <v>0</v>
      </c>
      <c r="M22" s="67">
        <f>M21+L22</f>
        <v>0</v>
      </c>
    </row>
    <row r="23" spans="2:13" x14ac:dyDescent="0.2">
      <c r="B23" s="21" t="s">
        <v>20</v>
      </c>
      <c r="C23" s="22">
        <v>44958</v>
      </c>
      <c r="D23" s="86">
        <f>202470-258</f>
        <v>202212</v>
      </c>
      <c r="E23" s="90">
        <f>381081.11-63569</f>
        <v>317512.11</v>
      </c>
      <c r="F23" s="18">
        <f t="shared" si="0"/>
        <v>-115300.10999999999</v>
      </c>
      <c r="G23" s="19">
        <f t="shared" si="1"/>
        <v>945187.45000000007</v>
      </c>
      <c r="I23" s="121">
        <v>44958</v>
      </c>
      <c r="J23" s="87">
        <f>63569</f>
        <v>63569</v>
      </c>
      <c r="K23" s="87">
        <v>63569</v>
      </c>
      <c r="L23" s="70">
        <f t="shared" si="2"/>
        <v>0</v>
      </c>
      <c r="M23" s="70">
        <f>M22+L23</f>
        <v>0</v>
      </c>
    </row>
    <row r="24" spans="2:13" x14ac:dyDescent="0.2">
      <c r="B24" s="5"/>
      <c r="C24" s="23" t="s">
        <v>82</v>
      </c>
      <c r="D24" s="24"/>
      <c r="E24" s="24"/>
      <c r="F24" s="24"/>
      <c r="G24" s="25"/>
      <c r="I24" s="71"/>
      <c r="J24" s="71"/>
      <c r="K24" s="71"/>
      <c r="L24" s="71"/>
      <c r="M24" s="71"/>
    </row>
    <row r="25" spans="2:13" x14ac:dyDescent="0.2">
      <c r="B25" s="2"/>
      <c r="C25" s="1"/>
      <c r="D25" s="1"/>
      <c r="E25" s="1"/>
      <c r="F25" s="1"/>
      <c r="G25" s="12"/>
      <c r="I25" s="72" t="s">
        <v>49</v>
      </c>
      <c r="J25" s="73"/>
      <c r="K25" s="73"/>
      <c r="L25" s="74"/>
      <c r="M25" s="75">
        <f>M21</f>
        <v>0</v>
      </c>
    </row>
    <row r="26" spans="2:13" x14ac:dyDescent="0.2">
      <c r="B26" s="4"/>
      <c r="C26" s="3"/>
      <c r="D26" s="4" t="s">
        <v>21</v>
      </c>
      <c r="E26" s="4" t="s">
        <v>22</v>
      </c>
      <c r="F26" s="3"/>
      <c r="G26" s="17"/>
      <c r="I26" s="71"/>
      <c r="J26" s="71"/>
      <c r="K26" s="71"/>
      <c r="L26" s="71"/>
      <c r="M26" s="76"/>
    </row>
    <row r="27" spans="2:13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  <c r="I27" s="72" t="s">
        <v>50</v>
      </c>
      <c r="J27" s="73"/>
      <c r="K27" s="73"/>
      <c r="L27" s="74"/>
      <c r="M27" s="75">
        <f>M25/6</f>
        <v>0</v>
      </c>
    </row>
    <row r="28" spans="2:13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13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13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13" x14ac:dyDescent="0.2">
      <c r="B31" s="20" t="s">
        <v>34</v>
      </c>
      <c r="C31" s="1" t="s">
        <v>77</v>
      </c>
      <c r="D31" s="12">
        <f>-G13</f>
        <v>-768192</v>
      </c>
      <c r="E31" s="12">
        <f>D62</f>
        <v>0</v>
      </c>
      <c r="F31" s="1"/>
      <c r="G31" s="12">
        <f>D31+E31</f>
        <v>-768192</v>
      </c>
    </row>
    <row r="32" spans="2:13" x14ac:dyDescent="0.2">
      <c r="B32" s="27" t="s">
        <v>35</v>
      </c>
      <c r="C32" s="28" t="s">
        <v>83</v>
      </c>
      <c r="D32" s="19">
        <f>-G14</f>
        <v>-130670.82999999996</v>
      </c>
      <c r="E32" s="19">
        <v>0</v>
      </c>
      <c r="F32" s="28"/>
      <c r="G32" s="19">
        <f>D32+E32</f>
        <v>-130670.82999999996</v>
      </c>
    </row>
    <row r="33" spans="2:7" x14ac:dyDescent="0.2">
      <c r="B33" s="5" t="s">
        <v>84</v>
      </c>
      <c r="C33" s="29"/>
      <c r="D33" s="30"/>
      <c r="E33" s="30"/>
      <c r="F33" s="31" t="s">
        <v>36</v>
      </c>
      <c r="G33" s="19">
        <f>G31+G32</f>
        <v>-898862.83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85</v>
      </c>
      <c r="D35" s="8"/>
      <c r="E35" s="8"/>
      <c r="F35" s="9"/>
      <c r="G35" s="35">
        <f>G21+G33</f>
        <v>194499.80000000016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78</v>
      </c>
      <c r="D37" s="8"/>
      <c r="E37" s="8"/>
      <c r="F37" s="9"/>
      <c r="G37" s="35">
        <f>G35/6</f>
        <v>32416.63333333336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t="s">
        <v>38</v>
      </c>
      <c r="G41" s="41">
        <f>G15</f>
        <v>898862.83</v>
      </c>
    </row>
    <row r="42" spans="2:7" x14ac:dyDescent="0.2">
      <c r="B42" s="4">
        <v>12</v>
      </c>
      <c r="C42" t="s">
        <v>39</v>
      </c>
      <c r="G42" s="42">
        <f>G33</f>
        <v>-898862.83</v>
      </c>
    </row>
    <row r="43" spans="2:7" x14ac:dyDescent="0.2">
      <c r="B43" s="4"/>
      <c r="G43" s="41"/>
    </row>
    <row r="44" spans="2:7" ht="15" thickBot="1" x14ac:dyDescent="0.25">
      <c r="B44" s="4">
        <v>13</v>
      </c>
      <c r="C44" t="s">
        <v>40</v>
      </c>
      <c r="G44" s="43">
        <f>G41+G42</f>
        <v>0</v>
      </c>
    </row>
    <row r="45" spans="2:7" ht="15" thickTop="1" x14ac:dyDescent="0.2">
      <c r="B45" s="4"/>
      <c r="G45" s="41"/>
    </row>
    <row r="46" spans="2:7" x14ac:dyDescent="0.2">
      <c r="B46" s="4">
        <v>14</v>
      </c>
      <c r="C46" t="s">
        <v>41</v>
      </c>
      <c r="G46" s="41">
        <f>G35</f>
        <v>194499.80000000016</v>
      </c>
    </row>
    <row r="47" spans="2:7" x14ac:dyDescent="0.2">
      <c r="B47" s="4"/>
      <c r="G47" s="41"/>
    </row>
    <row r="48" spans="2:7" x14ac:dyDescent="0.2">
      <c r="B48" s="4">
        <v>15</v>
      </c>
      <c r="C48" t="s">
        <v>42</v>
      </c>
      <c r="G48" s="42">
        <f>SUM(F16:F21)</f>
        <v>194499.8</v>
      </c>
    </row>
    <row r="49" spans="2:7" x14ac:dyDescent="0.2">
      <c r="B49" s="4"/>
      <c r="G49" s="41"/>
    </row>
    <row r="50" spans="2:7" ht="15" thickBot="1" x14ac:dyDescent="0.25">
      <c r="B50" s="4">
        <v>16</v>
      </c>
      <c r="C50" t="s">
        <v>43</v>
      </c>
      <c r="G50" s="43">
        <f>G46-G48</f>
        <v>0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32"/>
      <c r="G54" s="32"/>
    </row>
    <row r="55" spans="2:7" x14ac:dyDescent="0.2">
      <c r="B55" s="32"/>
      <c r="C55" s="5" t="s">
        <v>10</v>
      </c>
      <c r="D55" s="5" t="s">
        <v>79</v>
      </c>
      <c r="E55" s="27"/>
      <c r="F55" s="32"/>
      <c r="G55" s="32"/>
    </row>
    <row r="56" spans="2:7" x14ac:dyDescent="0.2">
      <c r="C56" s="13">
        <v>44743</v>
      </c>
      <c r="D56" s="12">
        <v>0</v>
      </c>
      <c r="E56" s="16"/>
      <c r="F56" s="33"/>
      <c r="G56" s="33"/>
    </row>
    <row r="57" spans="2:7" x14ac:dyDescent="0.2">
      <c r="C57" s="15">
        <v>44774</v>
      </c>
      <c r="D57" s="17">
        <v>0</v>
      </c>
      <c r="E57" s="16"/>
      <c r="F57" s="33"/>
      <c r="G57" s="33"/>
    </row>
    <row r="58" spans="2:7" x14ac:dyDescent="0.2">
      <c r="C58" s="15">
        <v>44805</v>
      </c>
      <c r="D58" s="17">
        <v>0</v>
      </c>
      <c r="E58" s="16"/>
      <c r="F58" s="33"/>
      <c r="G58" s="33"/>
    </row>
    <row r="59" spans="2:7" x14ac:dyDescent="0.2">
      <c r="C59" s="15">
        <v>44835</v>
      </c>
      <c r="D59" s="17">
        <v>0</v>
      </c>
      <c r="E59" s="16"/>
      <c r="F59" s="33"/>
      <c r="G59" s="33"/>
    </row>
    <row r="60" spans="2:7" x14ac:dyDescent="0.2">
      <c r="C60" s="15">
        <v>44866</v>
      </c>
      <c r="D60" s="17">
        <v>0</v>
      </c>
      <c r="E60" s="16"/>
      <c r="F60" s="33"/>
      <c r="G60" s="33"/>
    </row>
    <row r="61" spans="2:7" x14ac:dyDescent="0.2">
      <c r="C61" s="15">
        <v>44896</v>
      </c>
      <c r="D61" s="19">
        <v>0</v>
      </c>
      <c r="E61" s="16"/>
      <c r="F61" s="33"/>
      <c r="G61" s="33"/>
    </row>
    <row r="62" spans="2:7" x14ac:dyDescent="0.2">
      <c r="C62" s="49" t="s">
        <v>46</v>
      </c>
      <c r="D62" s="35">
        <f>SUM(D56:D61)</f>
        <v>0</v>
      </c>
      <c r="E62" s="16"/>
      <c r="F62" s="33"/>
      <c r="G62" s="33"/>
    </row>
  </sheetData>
  <mergeCells count="3">
    <mergeCell ref="B4:G5"/>
    <mergeCell ref="I4:M5"/>
    <mergeCell ref="C12:G1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FEDF6-FDD5-4D5D-842A-137DF5B56B12}">
  <dimension ref="A1:M64"/>
  <sheetViews>
    <sheetView workbookViewId="0">
      <selection activeCell="A2" sqref="A2"/>
    </sheetView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Shelby Surcharge Summary.xlsx</v>
      </c>
    </row>
    <row r="4" spans="1:13" ht="14.25" customHeight="1" x14ac:dyDescent="0.2">
      <c r="B4" s="111" t="s">
        <v>51</v>
      </c>
      <c r="C4" s="112"/>
      <c r="D4" s="112"/>
      <c r="E4" s="112"/>
      <c r="F4" s="112"/>
      <c r="G4" s="113"/>
      <c r="I4" s="100" t="s">
        <v>52</v>
      </c>
      <c r="J4" s="101"/>
      <c r="K4" s="101"/>
      <c r="L4" s="101"/>
      <c r="M4" s="102"/>
    </row>
    <row r="5" spans="1:13" ht="14.25" customHeight="1" x14ac:dyDescent="0.2">
      <c r="B5" s="114"/>
      <c r="C5" s="115"/>
      <c r="D5" s="115"/>
      <c r="E5" s="115"/>
      <c r="F5" s="115"/>
      <c r="G5" s="116"/>
      <c r="I5" s="103"/>
      <c r="J5" s="104"/>
      <c r="K5" s="104"/>
      <c r="L5" s="104"/>
      <c r="M5" s="105"/>
    </row>
    <row r="6" spans="1:13" ht="15" x14ac:dyDescent="0.2">
      <c r="I6" s="56"/>
      <c r="J6" s="56"/>
      <c r="K6" s="56"/>
      <c r="L6" s="56"/>
      <c r="M6" s="56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ht="15.75" x14ac:dyDescent="0.25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117" t="s">
        <v>53</v>
      </c>
      <c r="J10" s="56"/>
      <c r="K10" s="56"/>
      <c r="L10" s="56"/>
      <c r="M10" s="56"/>
    </row>
    <row r="11" spans="1:13" ht="15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6"/>
      <c r="J11" s="56"/>
      <c r="K11" s="56"/>
      <c r="L11" s="56"/>
      <c r="M11" s="56"/>
    </row>
    <row r="12" spans="1:13" x14ac:dyDescent="0.2">
      <c r="B12" s="2">
        <v>1</v>
      </c>
      <c r="C12" s="97" t="s">
        <v>15</v>
      </c>
      <c r="D12" s="98"/>
      <c r="E12" s="98"/>
      <c r="F12" s="98"/>
      <c r="G12" s="99"/>
      <c r="I12" s="57"/>
      <c r="J12" s="57"/>
      <c r="K12" s="58" t="s">
        <v>0</v>
      </c>
      <c r="L12" s="57"/>
      <c r="M12" s="57"/>
    </row>
    <row r="13" spans="1:13" x14ac:dyDescent="0.2">
      <c r="B13" s="2" t="s">
        <v>16</v>
      </c>
      <c r="C13" s="8" t="s">
        <v>75</v>
      </c>
      <c r="D13" s="8"/>
      <c r="E13" s="8"/>
      <c r="F13" s="9"/>
      <c r="G13" s="35">
        <v>768192</v>
      </c>
      <c r="I13" s="59"/>
      <c r="J13" s="60" t="s">
        <v>1</v>
      </c>
      <c r="K13" s="60" t="s">
        <v>2</v>
      </c>
      <c r="L13" s="59"/>
      <c r="M13" s="59"/>
    </row>
    <row r="14" spans="1:13" x14ac:dyDescent="0.2">
      <c r="B14" s="4" t="s">
        <v>17</v>
      </c>
      <c r="C14" s="8" t="s">
        <v>80</v>
      </c>
      <c r="D14" s="8"/>
      <c r="E14" s="8"/>
      <c r="F14" s="9"/>
      <c r="G14" s="125">
        <f>'A - 05-31-22'!G33</f>
        <v>130670.82999999996</v>
      </c>
      <c r="I14" s="59"/>
      <c r="J14" s="60" t="s">
        <v>3</v>
      </c>
      <c r="K14" s="60" t="s">
        <v>4</v>
      </c>
      <c r="L14" s="60" t="s">
        <v>5</v>
      </c>
      <c r="M14" s="60" t="s">
        <v>6</v>
      </c>
    </row>
    <row r="15" spans="1:13" x14ac:dyDescent="0.2">
      <c r="B15" s="4" t="s">
        <v>81</v>
      </c>
      <c r="C15" s="8" t="s">
        <v>86</v>
      </c>
      <c r="D15" s="8"/>
      <c r="E15" s="8"/>
      <c r="F15" s="9"/>
      <c r="G15" s="125">
        <f>'B - 11-30-22'!G35</f>
        <v>194499.80000000016</v>
      </c>
      <c r="I15" s="61"/>
      <c r="J15" s="61" t="s">
        <v>7</v>
      </c>
      <c r="K15" s="61" t="s">
        <v>7</v>
      </c>
      <c r="L15" s="61" t="s">
        <v>8</v>
      </c>
      <c r="M15" s="61" t="s">
        <v>8</v>
      </c>
    </row>
    <row r="16" spans="1:13" x14ac:dyDescent="0.2">
      <c r="B16" s="5" t="s">
        <v>87</v>
      </c>
      <c r="C16" s="8" t="s">
        <v>18</v>
      </c>
      <c r="D16" s="8"/>
      <c r="E16" s="8"/>
      <c r="F16" s="11"/>
      <c r="G16" s="12">
        <f>G13+G14+G15</f>
        <v>1093362.6300000001</v>
      </c>
      <c r="I16" s="62" t="s">
        <v>10</v>
      </c>
      <c r="J16" s="63" t="s">
        <v>48</v>
      </c>
      <c r="K16" s="63" t="s">
        <v>11</v>
      </c>
      <c r="L16" s="63" t="s">
        <v>12</v>
      </c>
      <c r="M16" s="63" t="s">
        <v>13</v>
      </c>
    </row>
    <row r="17" spans="2:13" x14ac:dyDescent="0.2">
      <c r="B17" s="4">
        <v>2</v>
      </c>
      <c r="C17" s="13">
        <v>44927</v>
      </c>
      <c r="D17" s="51">
        <f>394147-385</f>
        <v>393762</v>
      </c>
      <c r="E17" s="84">
        <f>544141.07-117504</f>
        <v>426637.06999999995</v>
      </c>
      <c r="F17" s="14">
        <f t="shared" ref="F17:F24" si="0">D17-E17</f>
        <v>-32875.069999999949</v>
      </c>
      <c r="G17" s="12">
        <f t="shared" ref="G17:G24" si="1">G16+F17</f>
        <v>1060487.56</v>
      </c>
      <c r="I17" s="118">
        <v>44927</v>
      </c>
      <c r="J17" s="65">
        <v>117504</v>
      </c>
      <c r="K17" s="89">
        <v>117504</v>
      </c>
      <c r="L17" s="66">
        <f t="shared" ref="L17:L24" si="2">J17-K17</f>
        <v>0</v>
      </c>
      <c r="M17" s="67">
        <f>L17</f>
        <v>0</v>
      </c>
    </row>
    <row r="18" spans="2:13" x14ac:dyDescent="0.2">
      <c r="B18" s="4">
        <v>3</v>
      </c>
      <c r="C18" s="15">
        <v>44958</v>
      </c>
      <c r="D18" s="52">
        <f>202470-258</f>
        <v>202212</v>
      </c>
      <c r="E18" s="53">
        <f>381081.11-63569</f>
        <v>317512.11</v>
      </c>
      <c r="F18" s="16">
        <f t="shared" si="0"/>
        <v>-115300.10999999999</v>
      </c>
      <c r="G18" s="17">
        <f t="shared" si="1"/>
        <v>945187.45000000007</v>
      </c>
      <c r="I18" s="119">
        <v>44958</v>
      </c>
      <c r="J18" s="65">
        <f>63569</f>
        <v>63569</v>
      </c>
      <c r="K18" s="83">
        <v>63569</v>
      </c>
      <c r="L18" s="67">
        <f t="shared" si="2"/>
        <v>0</v>
      </c>
      <c r="M18" s="67">
        <f>M17+L18</f>
        <v>0</v>
      </c>
    </row>
    <row r="19" spans="2:13" x14ac:dyDescent="0.2">
      <c r="B19" s="4">
        <v>4</v>
      </c>
      <c r="C19" s="15">
        <v>44986</v>
      </c>
      <c r="D19" s="52">
        <f>256178-332</f>
        <v>255846</v>
      </c>
      <c r="E19" s="53">
        <f>257185.59-86758</f>
        <v>170427.59</v>
      </c>
      <c r="F19" s="16">
        <f t="shared" si="0"/>
        <v>85418.41</v>
      </c>
      <c r="G19" s="17">
        <f t="shared" si="1"/>
        <v>1030605.8600000001</v>
      </c>
      <c r="I19" s="119">
        <v>44986</v>
      </c>
      <c r="J19" s="65">
        <v>86758</v>
      </c>
      <c r="K19" s="65">
        <v>86758</v>
      </c>
      <c r="L19" s="67">
        <f t="shared" si="2"/>
        <v>0</v>
      </c>
      <c r="M19" s="67">
        <f t="shared" ref="M19:M22" si="3">M18+L19</f>
        <v>0</v>
      </c>
    </row>
    <row r="20" spans="2:13" x14ac:dyDescent="0.2">
      <c r="B20" s="4">
        <v>5</v>
      </c>
      <c r="C20" s="15">
        <v>45017</v>
      </c>
      <c r="D20" s="52">
        <f>273522-454</f>
        <v>273068</v>
      </c>
      <c r="E20" s="53">
        <f>346235.28-114218</f>
        <v>232017.28000000003</v>
      </c>
      <c r="F20" s="16">
        <f t="shared" si="0"/>
        <v>41050.719999999972</v>
      </c>
      <c r="G20" s="17">
        <f t="shared" si="1"/>
        <v>1071656.58</v>
      </c>
      <c r="I20" s="119">
        <v>45017</v>
      </c>
      <c r="J20" s="65">
        <v>114218</v>
      </c>
      <c r="K20" s="65">
        <v>114218</v>
      </c>
      <c r="L20" s="67">
        <f t="shared" si="2"/>
        <v>0</v>
      </c>
      <c r="M20" s="67">
        <f t="shared" si="3"/>
        <v>0</v>
      </c>
    </row>
    <row r="21" spans="2:13" x14ac:dyDescent="0.2">
      <c r="B21" s="4">
        <v>6</v>
      </c>
      <c r="C21" s="15">
        <v>45047</v>
      </c>
      <c r="D21" s="52">
        <f>282781-443</f>
        <v>282338</v>
      </c>
      <c r="E21" s="53">
        <f>437036.52-123951</f>
        <v>313085.52</v>
      </c>
      <c r="F21" s="16">
        <f t="shared" si="0"/>
        <v>-30747.520000000019</v>
      </c>
      <c r="G21" s="17">
        <f t="shared" si="1"/>
        <v>1040909.06</v>
      </c>
      <c r="I21" s="119">
        <v>45047</v>
      </c>
      <c r="J21" s="65">
        <v>123951</v>
      </c>
      <c r="K21" s="81">
        <v>123951</v>
      </c>
      <c r="L21" s="67">
        <f t="shared" si="2"/>
        <v>0</v>
      </c>
      <c r="M21" s="67">
        <f>M20+L21</f>
        <v>0</v>
      </c>
    </row>
    <row r="22" spans="2:13" x14ac:dyDescent="0.2">
      <c r="B22" s="4">
        <v>7</v>
      </c>
      <c r="C22" s="15">
        <v>45078</v>
      </c>
      <c r="D22" s="52">
        <f>329095-527</f>
        <v>328568</v>
      </c>
      <c r="E22" s="53">
        <f>450147.9-128525</f>
        <v>321622.90000000002</v>
      </c>
      <c r="F22" s="18">
        <f t="shared" si="0"/>
        <v>6945.0999999999767</v>
      </c>
      <c r="G22" s="19">
        <f t="shared" si="1"/>
        <v>1047854.16</v>
      </c>
      <c r="I22" s="121">
        <v>45078</v>
      </c>
      <c r="J22" s="81">
        <v>128525</v>
      </c>
      <c r="K22" s="85">
        <v>128525</v>
      </c>
      <c r="L22" s="70">
        <f t="shared" si="2"/>
        <v>0</v>
      </c>
      <c r="M22" s="70">
        <f t="shared" si="3"/>
        <v>0</v>
      </c>
    </row>
    <row r="23" spans="2:13" x14ac:dyDescent="0.2">
      <c r="B23" s="20" t="s">
        <v>19</v>
      </c>
      <c r="C23" s="13">
        <v>45108</v>
      </c>
      <c r="D23" s="51">
        <f>431889-547</f>
        <v>431342</v>
      </c>
      <c r="E23" s="84">
        <f>575144.89-144323</f>
        <v>430821.89</v>
      </c>
      <c r="F23" s="14">
        <f t="shared" si="0"/>
        <v>520.10999999998603</v>
      </c>
      <c r="G23" s="12">
        <f t="shared" si="1"/>
        <v>1048374.27</v>
      </c>
      <c r="I23" s="119">
        <v>45108</v>
      </c>
      <c r="J23" s="82">
        <v>144323</v>
      </c>
      <c r="K23" s="88">
        <v>144323</v>
      </c>
      <c r="L23" s="67">
        <f t="shared" si="2"/>
        <v>0</v>
      </c>
      <c r="M23" s="67">
        <f>M22+L23</f>
        <v>0</v>
      </c>
    </row>
    <row r="24" spans="2:13" x14ac:dyDescent="0.2">
      <c r="B24" s="21" t="s">
        <v>20</v>
      </c>
      <c r="C24" s="22">
        <v>45139</v>
      </c>
      <c r="D24" s="86">
        <f>446016-0</f>
        <v>446016</v>
      </c>
      <c r="E24" s="90">
        <f>573164.18-161575</f>
        <v>411589.18000000005</v>
      </c>
      <c r="F24" s="18">
        <f t="shared" si="0"/>
        <v>34426.819999999949</v>
      </c>
      <c r="G24" s="19">
        <f t="shared" si="1"/>
        <v>1082801.0899999999</v>
      </c>
      <c r="I24" s="121">
        <v>45139</v>
      </c>
      <c r="J24" s="87">
        <v>161575</v>
      </c>
      <c r="K24" s="87">
        <v>161575</v>
      </c>
      <c r="L24" s="70">
        <f t="shared" si="2"/>
        <v>0</v>
      </c>
      <c r="M24" s="70">
        <f>M23+L24</f>
        <v>0</v>
      </c>
    </row>
    <row r="25" spans="2:13" x14ac:dyDescent="0.2">
      <c r="B25" s="5"/>
      <c r="C25" s="23" t="s">
        <v>88</v>
      </c>
      <c r="D25" s="24"/>
      <c r="E25" s="24"/>
      <c r="F25" s="24"/>
      <c r="G25" s="25"/>
      <c r="I25" s="71"/>
      <c r="J25" s="71"/>
      <c r="K25" s="71"/>
      <c r="L25" s="71"/>
      <c r="M25" s="71"/>
    </row>
    <row r="26" spans="2:13" x14ac:dyDescent="0.2">
      <c r="B26" s="2"/>
      <c r="C26" s="1"/>
      <c r="D26" s="1"/>
      <c r="E26" s="1"/>
      <c r="F26" s="1"/>
      <c r="G26" s="12"/>
      <c r="I26" s="72" t="s">
        <v>49</v>
      </c>
      <c r="J26" s="73"/>
      <c r="K26" s="73"/>
      <c r="L26" s="74"/>
      <c r="M26" s="75">
        <f>M22</f>
        <v>0</v>
      </c>
    </row>
    <row r="27" spans="2:13" x14ac:dyDescent="0.2">
      <c r="B27" s="4"/>
      <c r="C27" s="3"/>
      <c r="D27" s="4" t="s">
        <v>21</v>
      </c>
      <c r="E27" s="4" t="s">
        <v>22</v>
      </c>
      <c r="F27" s="3"/>
      <c r="G27" s="17"/>
      <c r="I27" s="71"/>
      <c r="J27" s="71"/>
      <c r="K27" s="71"/>
      <c r="L27" s="71"/>
      <c r="M27" s="76"/>
    </row>
    <row r="28" spans="2:13" x14ac:dyDescent="0.2">
      <c r="B28" s="4">
        <v>8</v>
      </c>
      <c r="C28" s="3"/>
      <c r="D28" s="4" t="s">
        <v>23</v>
      </c>
      <c r="E28" s="4" t="s">
        <v>24</v>
      </c>
      <c r="F28" s="3"/>
      <c r="G28" s="26" t="s">
        <v>21</v>
      </c>
      <c r="I28" s="72" t="s">
        <v>50</v>
      </c>
      <c r="J28" s="73"/>
      <c r="K28" s="73"/>
      <c r="L28" s="74"/>
      <c r="M28" s="75">
        <f>M26/6</f>
        <v>0</v>
      </c>
    </row>
    <row r="29" spans="2:13" x14ac:dyDescent="0.2">
      <c r="B29" s="4"/>
      <c r="C29" s="3"/>
      <c r="D29" s="4" t="s">
        <v>25</v>
      </c>
      <c r="E29" s="4" t="s">
        <v>26</v>
      </c>
      <c r="F29" s="3"/>
      <c r="G29" s="26" t="s">
        <v>27</v>
      </c>
    </row>
    <row r="30" spans="2:13" x14ac:dyDescent="0.2">
      <c r="B30" s="4"/>
      <c r="C30" s="3"/>
      <c r="D30" s="4" t="s">
        <v>28</v>
      </c>
      <c r="E30" s="4" t="s">
        <v>29</v>
      </c>
      <c r="F30" s="3"/>
      <c r="G30" s="26" t="s">
        <v>30</v>
      </c>
    </row>
    <row r="31" spans="2:13" x14ac:dyDescent="0.2">
      <c r="B31" s="5"/>
      <c r="C31" s="3"/>
      <c r="D31" s="4" t="s">
        <v>31</v>
      </c>
      <c r="E31" s="4" t="s">
        <v>32</v>
      </c>
      <c r="F31" s="3"/>
      <c r="G31" s="26" t="s">
        <v>33</v>
      </c>
    </row>
    <row r="32" spans="2:13" x14ac:dyDescent="0.2">
      <c r="B32" s="20" t="s">
        <v>34</v>
      </c>
      <c r="C32" s="1" t="s">
        <v>77</v>
      </c>
      <c r="D32" s="12">
        <f>-G13</f>
        <v>-768192</v>
      </c>
      <c r="E32" s="12">
        <f>D64</f>
        <v>0</v>
      </c>
      <c r="F32" s="1"/>
      <c r="G32" s="12">
        <f t="shared" ref="G32:G34" si="4">D32+E32</f>
        <v>-768192</v>
      </c>
    </row>
    <row r="33" spans="2:7" x14ac:dyDescent="0.2">
      <c r="B33" s="27" t="s">
        <v>35</v>
      </c>
      <c r="C33" s="128" t="s">
        <v>83</v>
      </c>
      <c r="D33" s="17">
        <f>-G14</f>
        <v>-130670.82999999996</v>
      </c>
      <c r="E33" s="17">
        <v>0</v>
      </c>
      <c r="F33" s="3"/>
      <c r="G33" s="17">
        <f t="shared" si="4"/>
        <v>-130670.82999999996</v>
      </c>
    </row>
    <row r="34" spans="2:7" x14ac:dyDescent="0.2">
      <c r="B34" s="27" t="s">
        <v>84</v>
      </c>
      <c r="C34" s="45" t="s">
        <v>89</v>
      </c>
      <c r="D34" s="19">
        <f>-G15</f>
        <v>-194499.80000000016</v>
      </c>
      <c r="E34" s="19">
        <v>0</v>
      </c>
      <c r="F34" s="28"/>
      <c r="G34" s="19">
        <f t="shared" si="4"/>
        <v>-194499.80000000016</v>
      </c>
    </row>
    <row r="35" spans="2:7" x14ac:dyDescent="0.2">
      <c r="B35" s="5" t="s">
        <v>90</v>
      </c>
      <c r="C35" s="29"/>
      <c r="D35" s="30"/>
      <c r="E35" s="30"/>
      <c r="F35" s="31" t="s">
        <v>36</v>
      </c>
      <c r="G35" s="19">
        <f>G32+G33+G34</f>
        <v>-1093362.6300000001</v>
      </c>
    </row>
    <row r="36" spans="2:7" x14ac:dyDescent="0.2">
      <c r="B36" s="32"/>
      <c r="G36" s="33"/>
    </row>
    <row r="37" spans="2:7" x14ac:dyDescent="0.2">
      <c r="B37" s="6">
        <v>9</v>
      </c>
      <c r="C37" s="34" t="s">
        <v>91</v>
      </c>
      <c r="D37" s="8"/>
      <c r="E37" s="8"/>
      <c r="F37" s="9"/>
      <c r="G37" s="35">
        <f>G22+G35</f>
        <v>-45508.470000000088</v>
      </c>
    </row>
    <row r="38" spans="2:7" x14ac:dyDescent="0.2">
      <c r="B38" s="32"/>
      <c r="G38" s="33"/>
    </row>
    <row r="39" spans="2:7" x14ac:dyDescent="0.2">
      <c r="B39" s="6">
        <v>10</v>
      </c>
      <c r="C39" s="34" t="s">
        <v>78</v>
      </c>
      <c r="D39" s="8"/>
      <c r="E39" s="8"/>
      <c r="F39" s="9"/>
      <c r="G39" s="35">
        <f>G37/6</f>
        <v>-7584.7450000000144</v>
      </c>
    </row>
    <row r="41" spans="2:7" x14ac:dyDescent="0.2">
      <c r="B41" s="1"/>
      <c r="C41" s="36" t="s">
        <v>37</v>
      </c>
      <c r="D41" s="37"/>
      <c r="E41" s="37"/>
      <c r="F41" s="37"/>
      <c r="G41" s="38"/>
    </row>
    <row r="42" spans="2:7" x14ac:dyDescent="0.2">
      <c r="B42" s="1"/>
      <c r="C42" s="39"/>
      <c r="D42" s="39"/>
      <c r="E42" s="39"/>
      <c r="F42" s="39"/>
      <c r="G42" s="11"/>
    </row>
    <row r="43" spans="2:7" x14ac:dyDescent="0.2">
      <c r="B43" s="4">
        <v>11</v>
      </c>
      <c r="C43" t="s">
        <v>38</v>
      </c>
      <c r="G43" s="41">
        <f>G16</f>
        <v>1093362.6300000001</v>
      </c>
    </row>
    <row r="44" spans="2:7" x14ac:dyDescent="0.2">
      <c r="B44" s="4">
        <v>12</v>
      </c>
      <c r="C44" t="s">
        <v>39</v>
      </c>
      <c r="G44" s="42">
        <f>G35</f>
        <v>-1093362.6300000001</v>
      </c>
    </row>
    <row r="45" spans="2:7" x14ac:dyDescent="0.2">
      <c r="B45" s="4"/>
      <c r="G45" s="41"/>
    </row>
    <row r="46" spans="2:7" ht="15" thickBot="1" x14ac:dyDescent="0.25">
      <c r="B46" s="4">
        <v>13</v>
      </c>
      <c r="C46" t="s">
        <v>40</v>
      </c>
      <c r="G46" s="43">
        <f>G43+G44</f>
        <v>0</v>
      </c>
    </row>
    <row r="47" spans="2:7" ht="15" thickTop="1" x14ac:dyDescent="0.2">
      <c r="B47" s="4"/>
      <c r="G47" s="41"/>
    </row>
    <row r="48" spans="2:7" x14ac:dyDescent="0.2">
      <c r="B48" s="4">
        <v>14</v>
      </c>
      <c r="C48" t="s">
        <v>41</v>
      </c>
      <c r="G48" s="41">
        <f>G37</f>
        <v>-45508.470000000088</v>
      </c>
    </row>
    <row r="49" spans="2:7" x14ac:dyDescent="0.2">
      <c r="B49" s="4"/>
      <c r="G49" s="41"/>
    </row>
    <row r="50" spans="2:7" x14ac:dyDescent="0.2">
      <c r="B50" s="4">
        <v>15</v>
      </c>
      <c r="C50" t="s">
        <v>42</v>
      </c>
      <c r="G50" s="42">
        <f>SUM(F17:F22)</f>
        <v>-45508.47</v>
      </c>
    </row>
    <row r="51" spans="2:7" x14ac:dyDescent="0.2">
      <c r="B51" s="4"/>
      <c r="G51" s="41"/>
    </row>
    <row r="52" spans="2:7" ht="15" thickBot="1" x14ac:dyDescent="0.25">
      <c r="B52" s="4">
        <v>16</v>
      </c>
      <c r="C52" t="s">
        <v>43</v>
      </c>
      <c r="G52" s="43">
        <f>G48-G50</f>
        <v>-8.7311491370201111E-11</v>
      </c>
    </row>
    <row r="53" spans="2:7" ht="15" thickTop="1" x14ac:dyDescent="0.2">
      <c r="B53" s="28"/>
      <c r="C53" s="44"/>
      <c r="D53" s="44"/>
      <c r="E53" s="44"/>
      <c r="F53" s="44"/>
      <c r="G53" s="45"/>
    </row>
    <row r="55" spans="2:7" x14ac:dyDescent="0.2">
      <c r="B55" t="s">
        <v>44</v>
      </c>
    </row>
    <row r="56" spans="2:7" x14ac:dyDescent="0.2">
      <c r="B56" s="32"/>
      <c r="C56" s="1"/>
      <c r="D56" s="2" t="s">
        <v>45</v>
      </c>
      <c r="E56" s="27"/>
      <c r="F56" s="32"/>
      <c r="G56" s="32"/>
    </row>
    <row r="57" spans="2:7" x14ac:dyDescent="0.2">
      <c r="B57" s="32"/>
      <c r="C57" s="5" t="s">
        <v>10</v>
      </c>
      <c r="D57" s="5" t="s">
        <v>79</v>
      </c>
      <c r="E57" s="27"/>
      <c r="F57" s="32"/>
      <c r="G57" s="32"/>
    </row>
    <row r="58" spans="2:7" x14ac:dyDescent="0.2">
      <c r="C58" s="13">
        <v>44927</v>
      </c>
      <c r="D58" s="12">
        <v>0</v>
      </c>
      <c r="E58" s="16"/>
      <c r="F58" s="33"/>
      <c r="G58" s="33"/>
    </row>
    <row r="59" spans="2:7" x14ac:dyDescent="0.2">
      <c r="C59" s="15">
        <v>44958</v>
      </c>
      <c r="D59" s="17">
        <v>0</v>
      </c>
      <c r="E59" s="16"/>
      <c r="F59" s="33"/>
      <c r="G59" s="33"/>
    </row>
    <row r="60" spans="2:7" x14ac:dyDescent="0.2">
      <c r="C60" s="15">
        <v>44986</v>
      </c>
      <c r="D60" s="17">
        <v>0</v>
      </c>
      <c r="E60" s="16"/>
      <c r="F60" s="33"/>
      <c r="G60" s="33"/>
    </row>
    <row r="61" spans="2:7" x14ac:dyDescent="0.2">
      <c r="C61" s="15">
        <v>45017</v>
      </c>
      <c r="D61" s="17">
        <v>0</v>
      </c>
      <c r="E61" s="16"/>
      <c r="F61" s="33"/>
      <c r="G61" s="33"/>
    </row>
    <row r="62" spans="2:7" x14ac:dyDescent="0.2">
      <c r="C62" s="15">
        <v>45047</v>
      </c>
      <c r="D62" s="17">
        <v>0</v>
      </c>
      <c r="E62" s="16"/>
      <c r="F62" s="33"/>
      <c r="G62" s="33"/>
    </row>
    <row r="63" spans="2:7" x14ac:dyDescent="0.2">
      <c r="C63" s="15">
        <v>45078</v>
      </c>
      <c r="D63" s="19">
        <v>0</v>
      </c>
      <c r="E63" s="16"/>
      <c r="F63" s="33"/>
      <c r="G63" s="33"/>
    </row>
    <row r="64" spans="2:7" x14ac:dyDescent="0.2">
      <c r="C64" s="49" t="s">
        <v>46</v>
      </c>
      <c r="D64" s="35">
        <f>SUM(D58:D63)</f>
        <v>0</v>
      </c>
      <c r="E64" s="16"/>
      <c r="F64" s="33"/>
      <c r="G64" s="33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D8510-14F9-4D27-8953-ADF5F7E15F11}">
  <dimension ref="A1:M66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Shelby Surcharge Summary.xlsx</v>
      </c>
    </row>
    <row r="4" spans="1:13" ht="14.25" customHeight="1" x14ac:dyDescent="0.2">
      <c r="B4" s="111" t="s">
        <v>51</v>
      </c>
      <c r="C4" s="112"/>
      <c r="D4" s="112"/>
      <c r="E4" s="112"/>
      <c r="F4" s="112"/>
      <c r="G4" s="113"/>
      <c r="I4" s="100" t="s">
        <v>52</v>
      </c>
      <c r="J4" s="101"/>
      <c r="K4" s="101"/>
      <c r="L4" s="101"/>
      <c r="M4" s="102"/>
    </row>
    <row r="5" spans="1:13" ht="14.25" customHeight="1" x14ac:dyDescent="0.2">
      <c r="B5" s="114"/>
      <c r="C5" s="115"/>
      <c r="D5" s="115"/>
      <c r="E5" s="115"/>
      <c r="F5" s="115"/>
      <c r="G5" s="116"/>
      <c r="I5" s="103"/>
      <c r="J5" s="104"/>
      <c r="K5" s="104"/>
      <c r="L5" s="104"/>
      <c r="M5" s="105"/>
    </row>
    <row r="6" spans="1:13" ht="15" x14ac:dyDescent="0.2">
      <c r="I6" s="56"/>
      <c r="J6" s="56"/>
      <c r="K6" s="56"/>
      <c r="L6" s="56"/>
      <c r="M6" s="56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ht="15.75" x14ac:dyDescent="0.25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117" t="s">
        <v>53</v>
      </c>
      <c r="J11" s="56"/>
      <c r="K11" s="56"/>
      <c r="L11" s="56"/>
      <c r="M11" s="56"/>
    </row>
    <row r="12" spans="1:13" ht="15" x14ac:dyDescent="0.2">
      <c r="B12" s="2">
        <v>1</v>
      </c>
      <c r="C12" s="97" t="s">
        <v>15</v>
      </c>
      <c r="D12" s="98"/>
      <c r="E12" s="98"/>
      <c r="F12" s="98"/>
      <c r="G12" s="99"/>
      <c r="I12" s="56"/>
      <c r="J12" s="56"/>
      <c r="K12" s="56"/>
      <c r="L12" s="56"/>
      <c r="M12" s="56"/>
    </row>
    <row r="13" spans="1:13" x14ac:dyDescent="0.2">
      <c r="B13" s="2" t="s">
        <v>16</v>
      </c>
      <c r="C13" s="8" t="s">
        <v>75</v>
      </c>
      <c r="D13" s="8"/>
      <c r="E13" s="8"/>
      <c r="F13" s="9"/>
      <c r="G13" s="35">
        <v>768192</v>
      </c>
      <c r="I13" s="57"/>
      <c r="J13" s="57"/>
      <c r="K13" s="58" t="s">
        <v>0</v>
      </c>
      <c r="L13" s="57"/>
      <c r="M13" s="57"/>
    </row>
    <row r="14" spans="1:13" x14ac:dyDescent="0.2">
      <c r="B14" s="4" t="s">
        <v>17</v>
      </c>
      <c r="C14" s="8" t="s">
        <v>80</v>
      </c>
      <c r="D14" s="8"/>
      <c r="E14" s="8"/>
      <c r="F14" s="9"/>
      <c r="G14" s="125">
        <f>'A - 05-31-22'!G33</f>
        <v>130670.82999999996</v>
      </c>
      <c r="I14" s="59"/>
      <c r="J14" s="60" t="s">
        <v>1</v>
      </c>
      <c r="K14" s="60" t="s">
        <v>2</v>
      </c>
      <c r="L14" s="59"/>
      <c r="M14" s="59"/>
    </row>
    <row r="15" spans="1:13" x14ac:dyDescent="0.2">
      <c r="B15" s="4" t="s">
        <v>81</v>
      </c>
      <c r="C15" s="8" t="s">
        <v>86</v>
      </c>
      <c r="D15" s="8"/>
      <c r="E15" s="8"/>
      <c r="F15" s="9"/>
      <c r="G15" s="125">
        <f>'B - 11-30-22'!G35</f>
        <v>194499.80000000016</v>
      </c>
      <c r="I15" s="59"/>
      <c r="J15" s="60" t="s">
        <v>3</v>
      </c>
      <c r="K15" s="60" t="s">
        <v>4</v>
      </c>
      <c r="L15" s="60" t="s">
        <v>5</v>
      </c>
      <c r="M15" s="60" t="s">
        <v>6</v>
      </c>
    </row>
    <row r="16" spans="1:13" x14ac:dyDescent="0.2">
      <c r="B16" s="4" t="s">
        <v>87</v>
      </c>
      <c r="C16" s="8" t="s">
        <v>92</v>
      </c>
      <c r="D16" s="8"/>
      <c r="E16" s="8"/>
      <c r="F16" s="11"/>
      <c r="G16" s="51">
        <f>'C - 05-31-23'!G37</f>
        <v>-45508.470000000088</v>
      </c>
      <c r="I16" s="61"/>
      <c r="J16" s="61" t="s">
        <v>7</v>
      </c>
      <c r="K16" s="61" t="s">
        <v>7</v>
      </c>
      <c r="L16" s="61" t="s">
        <v>8</v>
      </c>
      <c r="M16" s="61" t="s">
        <v>8</v>
      </c>
    </row>
    <row r="17" spans="2:13" x14ac:dyDescent="0.2">
      <c r="B17" s="5" t="s">
        <v>93</v>
      </c>
      <c r="C17" s="8" t="s">
        <v>18</v>
      </c>
      <c r="D17" s="8"/>
      <c r="E17" s="8"/>
      <c r="F17" s="11"/>
      <c r="G17" s="12">
        <f>G13+G14+G15+G16</f>
        <v>1047854.16</v>
      </c>
      <c r="I17" s="62" t="s">
        <v>10</v>
      </c>
      <c r="J17" s="63" t="s">
        <v>48</v>
      </c>
      <c r="K17" s="63" t="s">
        <v>11</v>
      </c>
      <c r="L17" s="63" t="s">
        <v>12</v>
      </c>
      <c r="M17" s="63" t="s">
        <v>13</v>
      </c>
    </row>
    <row r="18" spans="2:13" x14ac:dyDescent="0.2">
      <c r="B18" s="4">
        <v>2</v>
      </c>
      <c r="C18" s="13">
        <v>45108</v>
      </c>
      <c r="D18" s="51">
        <f>431889-547</f>
        <v>431342</v>
      </c>
      <c r="E18" s="84">
        <f>575144.89-144323</f>
        <v>430821.89</v>
      </c>
      <c r="F18" s="14">
        <f t="shared" ref="F18:F25" si="0">D18-E18</f>
        <v>520.10999999998603</v>
      </c>
      <c r="G18" s="12">
        <f t="shared" ref="G18:G25" si="1">G17+F18</f>
        <v>1048374.27</v>
      </c>
      <c r="I18" s="118">
        <v>45108</v>
      </c>
      <c r="J18" s="65">
        <v>144323</v>
      </c>
      <c r="K18" s="89">
        <v>144323</v>
      </c>
      <c r="L18" s="66">
        <f t="shared" ref="L18:L25" si="2">J18-K18</f>
        <v>0</v>
      </c>
      <c r="M18" s="67">
        <f>L18</f>
        <v>0</v>
      </c>
    </row>
    <row r="19" spans="2:13" x14ac:dyDescent="0.2">
      <c r="B19" s="4">
        <v>3</v>
      </c>
      <c r="C19" s="15">
        <v>45139</v>
      </c>
      <c r="D19" s="52">
        <f>446016-0</f>
        <v>446016</v>
      </c>
      <c r="E19" s="53">
        <f>573164.18-161575</f>
        <v>411589.18000000005</v>
      </c>
      <c r="F19" s="16">
        <f t="shared" si="0"/>
        <v>34426.819999999949</v>
      </c>
      <c r="G19" s="17">
        <f t="shared" si="1"/>
        <v>1082801.0899999999</v>
      </c>
      <c r="I19" s="119">
        <v>45139</v>
      </c>
      <c r="J19" s="65">
        <v>161575</v>
      </c>
      <c r="K19" s="83">
        <v>161575</v>
      </c>
      <c r="L19" s="67">
        <f t="shared" si="2"/>
        <v>0</v>
      </c>
      <c r="M19" s="67">
        <f>M18+L19</f>
        <v>0</v>
      </c>
    </row>
    <row r="20" spans="2:13" x14ac:dyDescent="0.2">
      <c r="B20" s="4">
        <v>4</v>
      </c>
      <c r="C20" s="15">
        <v>45170</v>
      </c>
      <c r="D20" s="52">
        <f>294214-0</f>
        <v>294214</v>
      </c>
      <c r="E20" s="53">
        <f>353926.5</f>
        <v>353926.5</v>
      </c>
      <c r="F20" s="16">
        <f t="shared" si="0"/>
        <v>-59712.5</v>
      </c>
      <c r="G20" s="17">
        <f t="shared" si="1"/>
        <v>1023088.5899999999</v>
      </c>
      <c r="I20" s="119">
        <v>45170</v>
      </c>
      <c r="J20" s="65">
        <v>115672</v>
      </c>
      <c r="K20" s="65">
        <v>115672</v>
      </c>
      <c r="L20" s="67">
        <f t="shared" si="2"/>
        <v>0</v>
      </c>
      <c r="M20" s="67">
        <f t="shared" ref="M20:M23" si="3">M19+L20</f>
        <v>0</v>
      </c>
    </row>
    <row r="21" spans="2:13" x14ac:dyDescent="0.2">
      <c r="B21" s="4">
        <v>5</v>
      </c>
      <c r="C21" s="15">
        <v>45200</v>
      </c>
      <c r="D21" s="52">
        <f>258027-422</f>
        <v>257605</v>
      </c>
      <c r="E21" s="53">
        <f>225583.5</f>
        <v>225583.5</v>
      </c>
      <c r="F21" s="16">
        <f t="shared" si="0"/>
        <v>32021.5</v>
      </c>
      <c r="G21" s="17">
        <f t="shared" si="1"/>
        <v>1055110.0899999999</v>
      </c>
      <c r="I21" s="119">
        <v>45200</v>
      </c>
      <c r="J21" s="65">
        <v>109154</v>
      </c>
      <c r="K21" s="65">
        <v>109154</v>
      </c>
      <c r="L21" s="67">
        <f t="shared" si="2"/>
        <v>0</v>
      </c>
      <c r="M21" s="67">
        <f t="shared" si="3"/>
        <v>0</v>
      </c>
    </row>
    <row r="22" spans="2:13" x14ac:dyDescent="0.2">
      <c r="B22" s="4">
        <v>6</v>
      </c>
      <c r="C22" s="15">
        <v>45231</v>
      </c>
      <c r="D22" s="52">
        <f>355812-508</f>
        <v>355304</v>
      </c>
      <c r="E22" s="53">
        <f>301314.32</f>
        <v>301314.32</v>
      </c>
      <c r="F22" s="16">
        <f t="shared" si="0"/>
        <v>53989.679999999993</v>
      </c>
      <c r="G22" s="17">
        <f t="shared" si="1"/>
        <v>1109099.7699999998</v>
      </c>
      <c r="I22" s="119">
        <v>45231</v>
      </c>
      <c r="J22" s="65">
        <v>114593</v>
      </c>
      <c r="K22" s="81">
        <v>114593</v>
      </c>
      <c r="L22" s="67">
        <f t="shared" si="2"/>
        <v>0</v>
      </c>
      <c r="M22" s="67">
        <f>M21+L22</f>
        <v>0</v>
      </c>
    </row>
    <row r="23" spans="2:13" x14ac:dyDescent="0.2">
      <c r="B23" s="4">
        <v>7</v>
      </c>
      <c r="C23" s="15">
        <v>45261</v>
      </c>
      <c r="D23" s="52">
        <f>405779-523</f>
        <v>405256</v>
      </c>
      <c r="E23" s="53">
        <v>466344.18</v>
      </c>
      <c r="F23" s="18">
        <f t="shared" si="0"/>
        <v>-61088.179999999993</v>
      </c>
      <c r="G23" s="19">
        <f t="shared" si="1"/>
        <v>1048011.5899999999</v>
      </c>
      <c r="I23" s="121">
        <v>45261</v>
      </c>
      <c r="J23" s="81">
        <v>116127</v>
      </c>
      <c r="K23" s="85">
        <v>116127</v>
      </c>
      <c r="L23" s="70">
        <f t="shared" si="2"/>
        <v>0</v>
      </c>
      <c r="M23" s="70">
        <f t="shared" si="3"/>
        <v>0</v>
      </c>
    </row>
    <row r="24" spans="2:13" x14ac:dyDescent="0.2">
      <c r="B24" s="20" t="s">
        <v>19</v>
      </c>
      <c r="C24" s="13">
        <v>45292</v>
      </c>
      <c r="D24" s="51">
        <f>510851-486</f>
        <v>510365</v>
      </c>
      <c r="E24" s="84">
        <v>534201.92000000004</v>
      </c>
      <c r="F24" s="14">
        <f t="shared" si="0"/>
        <v>-23836.920000000042</v>
      </c>
      <c r="G24" s="12">
        <f t="shared" si="1"/>
        <v>1024174.6699999998</v>
      </c>
      <c r="I24" s="119">
        <v>45292</v>
      </c>
      <c r="J24" s="82">
        <v>116313</v>
      </c>
      <c r="K24" s="88">
        <v>116313</v>
      </c>
      <c r="L24" s="67">
        <f t="shared" si="2"/>
        <v>0</v>
      </c>
      <c r="M24" s="67">
        <f>M23+L24</f>
        <v>0</v>
      </c>
    </row>
    <row r="25" spans="2:13" x14ac:dyDescent="0.2">
      <c r="B25" s="21" t="s">
        <v>20</v>
      </c>
      <c r="C25" s="22">
        <v>45323</v>
      </c>
      <c r="D25" s="86">
        <f>359631-452</f>
        <v>359179</v>
      </c>
      <c r="E25" s="90">
        <v>351105.85</v>
      </c>
      <c r="F25" s="18">
        <f t="shared" si="0"/>
        <v>8073.1500000000233</v>
      </c>
      <c r="G25" s="19">
        <f t="shared" si="1"/>
        <v>1032247.8199999998</v>
      </c>
      <c r="I25" s="121">
        <v>45323</v>
      </c>
      <c r="J25" s="87">
        <v>109763</v>
      </c>
      <c r="K25" s="87">
        <v>109763</v>
      </c>
      <c r="L25" s="70">
        <f t="shared" si="2"/>
        <v>0</v>
      </c>
      <c r="M25" s="70">
        <f>M24+L25</f>
        <v>0</v>
      </c>
    </row>
    <row r="26" spans="2:13" x14ac:dyDescent="0.2">
      <c r="B26" s="5"/>
      <c r="C26" s="23" t="s">
        <v>94</v>
      </c>
      <c r="D26" s="24"/>
      <c r="E26" s="24"/>
      <c r="F26" s="24"/>
      <c r="G26" s="25"/>
      <c r="I26" s="71"/>
      <c r="J26" s="71"/>
      <c r="K26" s="71"/>
      <c r="L26" s="71"/>
      <c r="M26" s="71"/>
    </row>
    <row r="27" spans="2:13" x14ac:dyDescent="0.2">
      <c r="B27" s="2"/>
      <c r="C27" s="1"/>
      <c r="D27" s="1"/>
      <c r="E27" s="1"/>
      <c r="F27" s="1"/>
      <c r="G27" s="12"/>
      <c r="I27" s="72" t="s">
        <v>49</v>
      </c>
      <c r="J27" s="73"/>
      <c r="K27" s="73"/>
      <c r="L27" s="74"/>
      <c r="M27" s="75">
        <f>M23</f>
        <v>0</v>
      </c>
    </row>
    <row r="28" spans="2:13" x14ac:dyDescent="0.2">
      <c r="B28" s="4"/>
      <c r="C28" s="3"/>
      <c r="D28" s="4" t="s">
        <v>21</v>
      </c>
      <c r="E28" s="4" t="s">
        <v>22</v>
      </c>
      <c r="F28" s="3"/>
      <c r="G28" s="17"/>
      <c r="I28" s="71"/>
      <c r="J28" s="71"/>
      <c r="K28" s="71"/>
      <c r="L28" s="71"/>
      <c r="M28" s="76"/>
    </row>
    <row r="29" spans="2:13" x14ac:dyDescent="0.2">
      <c r="B29" s="4">
        <v>8</v>
      </c>
      <c r="C29" s="3"/>
      <c r="D29" s="4" t="s">
        <v>23</v>
      </c>
      <c r="E29" s="4" t="s">
        <v>24</v>
      </c>
      <c r="F29" s="3"/>
      <c r="G29" s="26" t="s">
        <v>21</v>
      </c>
      <c r="I29" s="72" t="s">
        <v>50</v>
      </c>
      <c r="J29" s="73"/>
      <c r="K29" s="73"/>
      <c r="L29" s="74"/>
      <c r="M29" s="75">
        <f>M27/6</f>
        <v>0</v>
      </c>
    </row>
    <row r="30" spans="2:13" x14ac:dyDescent="0.2">
      <c r="B30" s="4"/>
      <c r="C30" s="3"/>
      <c r="D30" s="4" t="s">
        <v>25</v>
      </c>
      <c r="E30" s="4" t="s">
        <v>26</v>
      </c>
      <c r="F30" s="3"/>
      <c r="G30" s="26" t="s">
        <v>27</v>
      </c>
    </row>
    <row r="31" spans="2:13" x14ac:dyDescent="0.2">
      <c r="B31" s="4"/>
      <c r="C31" s="3"/>
      <c r="D31" s="4" t="s">
        <v>28</v>
      </c>
      <c r="E31" s="4" t="s">
        <v>29</v>
      </c>
      <c r="F31" s="3"/>
      <c r="G31" s="26" t="s">
        <v>30</v>
      </c>
    </row>
    <row r="32" spans="2:13" x14ac:dyDescent="0.2">
      <c r="B32" s="5"/>
      <c r="C32" s="3"/>
      <c r="D32" s="4" t="s">
        <v>31</v>
      </c>
      <c r="E32" s="4" t="s">
        <v>32</v>
      </c>
      <c r="F32" s="3"/>
      <c r="G32" s="26" t="s">
        <v>33</v>
      </c>
    </row>
    <row r="33" spans="2:7" x14ac:dyDescent="0.2">
      <c r="B33" s="20" t="s">
        <v>34</v>
      </c>
      <c r="C33" s="129" t="s">
        <v>95</v>
      </c>
      <c r="D33" s="130">
        <f>-G13</f>
        <v>-768192</v>
      </c>
      <c r="E33" s="130">
        <f>D66</f>
        <v>0</v>
      </c>
      <c r="F33" s="39"/>
      <c r="G33" s="131">
        <f t="shared" ref="G33:G36" si="4">D33+E33</f>
        <v>-768192</v>
      </c>
    </row>
    <row r="34" spans="2:7" x14ac:dyDescent="0.2">
      <c r="B34" s="27" t="s">
        <v>35</v>
      </c>
      <c r="C34" s="132" t="s">
        <v>83</v>
      </c>
      <c r="D34" s="33">
        <f>-G14</f>
        <v>-130670.82999999996</v>
      </c>
      <c r="E34" s="33">
        <v>0</v>
      </c>
      <c r="G34" s="41">
        <f t="shared" si="4"/>
        <v>-130670.82999999996</v>
      </c>
    </row>
    <row r="35" spans="2:7" x14ac:dyDescent="0.2">
      <c r="B35" s="27" t="s">
        <v>84</v>
      </c>
      <c r="C35" s="132" t="s">
        <v>89</v>
      </c>
      <c r="D35" s="33">
        <f>-G15</f>
        <v>-194499.80000000016</v>
      </c>
      <c r="E35" s="33">
        <v>0</v>
      </c>
      <c r="G35" s="41">
        <f t="shared" si="4"/>
        <v>-194499.80000000016</v>
      </c>
    </row>
    <row r="36" spans="2:7" x14ac:dyDescent="0.2">
      <c r="B36" s="27" t="s">
        <v>90</v>
      </c>
      <c r="C36" s="133" t="s">
        <v>96</v>
      </c>
      <c r="D36" s="134">
        <f>-G16</f>
        <v>45508.470000000088</v>
      </c>
      <c r="E36" s="134">
        <v>0</v>
      </c>
      <c r="F36" s="44"/>
      <c r="G36" s="42">
        <f t="shared" si="4"/>
        <v>45508.470000000088</v>
      </c>
    </row>
    <row r="37" spans="2:7" x14ac:dyDescent="0.2">
      <c r="B37" s="5" t="s">
        <v>97</v>
      </c>
      <c r="C37" s="29"/>
      <c r="D37" s="30"/>
      <c r="E37" s="30"/>
      <c r="F37" s="31" t="s">
        <v>36</v>
      </c>
      <c r="G37" s="19">
        <f>G33+G34+G35+G36</f>
        <v>-1047854.16</v>
      </c>
    </row>
    <row r="38" spans="2:7" x14ac:dyDescent="0.2">
      <c r="B38" s="32"/>
      <c r="G38" s="33"/>
    </row>
    <row r="39" spans="2:7" x14ac:dyDescent="0.2">
      <c r="B39" s="6">
        <v>9</v>
      </c>
      <c r="C39" s="34" t="s">
        <v>98</v>
      </c>
      <c r="D39" s="8"/>
      <c r="E39" s="8"/>
      <c r="F39" s="9"/>
      <c r="G39" s="35">
        <f>G23+G37</f>
        <v>157.42999999981839</v>
      </c>
    </row>
    <row r="40" spans="2:7" x14ac:dyDescent="0.2">
      <c r="B40" s="32"/>
      <c r="G40" s="33"/>
    </row>
    <row r="41" spans="2:7" x14ac:dyDescent="0.2">
      <c r="B41" s="6">
        <v>10</v>
      </c>
      <c r="C41" s="34" t="s">
        <v>78</v>
      </c>
      <c r="D41" s="8"/>
      <c r="E41" s="8"/>
      <c r="F41" s="9"/>
      <c r="G41" s="35">
        <f>G39/6</f>
        <v>26.238333333303064</v>
      </c>
    </row>
    <row r="43" spans="2:7" x14ac:dyDescent="0.2">
      <c r="B43" s="1"/>
      <c r="C43" s="36" t="s">
        <v>37</v>
      </c>
      <c r="D43" s="37"/>
      <c r="E43" s="37"/>
      <c r="F43" s="37"/>
      <c r="G43" s="38"/>
    </row>
    <row r="44" spans="2:7" x14ac:dyDescent="0.2">
      <c r="B44" s="1"/>
      <c r="C44" s="39"/>
      <c r="D44" s="39"/>
      <c r="E44" s="39"/>
      <c r="F44" s="39"/>
      <c r="G44" s="11"/>
    </row>
    <row r="45" spans="2:7" x14ac:dyDescent="0.2">
      <c r="B45" s="4">
        <v>11</v>
      </c>
      <c r="C45" t="s">
        <v>38</v>
      </c>
      <c r="G45" s="41">
        <f>G17</f>
        <v>1047854.16</v>
      </c>
    </row>
    <row r="46" spans="2:7" x14ac:dyDescent="0.2">
      <c r="B46" s="4">
        <v>12</v>
      </c>
      <c r="C46" t="s">
        <v>39</v>
      </c>
      <c r="G46" s="42">
        <f>G37</f>
        <v>-1047854.16</v>
      </c>
    </row>
    <row r="47" spans="2:7" x14ac:dyDescent="0.2">
      <c r="B47" s="4"/>
      <c r="G47" s="41"/>
    </row>
    <row r="48" spans="2:7" ht="15" thickBot="1" x14ac:dyDescent="0.25">
      <c r="B48" s="4">
        <v>13</v>
      </c>
      <c r="C48" t="s">
        <v>40</v>
      </c>
      <c r="G48" s="43">
        <f>G45+G46</f>
        <v>0</v>
      </c>
    </row>
    <row r="49" spans="2:7" ht="15" thickTop="1" x14ac:dyDescent="0.2">
      <c r="B49" s="4"/>
      <c r="G49" s="41"/>
    </row>
    <row r="50" spans="2:7" x14ac:dyDescent="0.2">
      <c r="B50" s="4">
        <v>14</v>
      </c>
      <c r="C50" t="s">
        <v>41</v>
      </c>
      <c r="G50" s="41">
        <f>G39</f>
        <v>157.42999999981839</v>
      </c>
    </row>
    <row r="51" spans="2:7" x14ac:dyDescent="0.2">
      <c r="B51" s="4"/>
      <c r="G51" s="41"/>
    </row>
    <row r="52" spans="2:7" x14ac:dyDescent="0.2">
      <c r="B52" s="4">
        <v>15</v>
      </c>
      <c r="C52" t="s">
        <v>42</v>
      </c>
      <c r="G52" s="42">
        <f>SUM(F18:F23)</f>
        <v>157.42999999993481</v>
      </c>
    </row>
    <row r="53" spans="2:7" x14ac:dyDescent="0.2">
      <c r="B53" s="4"/>
      <c r="G53" s="41"/>
    </row>
    <row r="54" spans="2:7" ht="15" thickBot="1" x14ac:dyDescent="0.25">
      <c r="B54" s="4">
        <v>16</v>
      </c>
      <c r="C54" t="s">
        <v>43</v>
      </c>
      <c r="G54" s="43">
        <f>G50-G52</f>
        <v>-1.1641532182693481E-10</v>
      </c>
    </row>
    <row r="55" spans="2:7" ht="15" thickTop="1" x14ac:dyDescent="0.2">
      <c r="B55" s="28"/>
      <c r="C55" s="44"/>
      <c r="D55" s="44"/>
      <c r="E55" s="44"/>
      <c r="F55" s="44"/>
      <c r="G55" s="45"/>
    </row>
    <row r="57" spans="2:7" x14ac:dyDescent="0.2">
      <c r="B57" t="s">
        <v>44</v>
      </c>
    </row>
    <row r="58" spans="2:7" x14ac:dyDescent="0.2">
      <c r="B58" s="32"/>
      <c r="C58" s="1"/>
      <c r="D58" s="2" t="s">
        <v>45</v>
      </c>
      <c r="E58" s="27"/>
      <c r="F58" s="32"/>
      <c r="G58" s="32"/>
    </row>
    <row r="59" spans="2:7" x14ac:dyDescent="0.2">
      <c r="B59" s="32"/>
      <c r="C59" s="5" t="s">
        <v>10</v>
      </c>
      <c r="D59" s="5" t="s">
        <v>79</v>
      </c>
      <c r="E59" s="27"/>
      <c r="F59" s="32"/>
      <c r="G59" s="32"/>
    </row>
    <row r="60" spans="2:7" x14ac:dyDescent="0.2">
      <c r="C60" s="13">
        <v>45108</v>
      </c>
      <c r="D60" s="12">
        <v>0</v>
      </c>
      <c r="E60" s="16"/>
      <c r="F60" s="33"/>
      <c r="G60" s="33"/>
    </row>
    <row r="61" spans="2:7" x14ac:dyDescent="0.2">
      <c r="C61" s="15">
        <v>45139</v>
      </c>
      <c r="D61" s="17">
        <v>0</v>
      </c>
      <c r="E61" s="16"/>
      <c r="F61" s="33"/>
      <c r="G61" s="33"/>
    </row>
    <row r="62" spans="2:7" x14ac:dyDescent="0.2">
      <c r="C62" s="15">
        <v>45170</v>
      </c>
      <c r="D62" s="17">
        <v>0</v>
      </c>
      <c r="E62" s="16"/>
      <c r="F62" s="33"/>
      <c r="G62" s="33"/>
    </row>
    <row r="63" spans="2:7" x14ac:dyDescent="0.2">
      <c r="C63" s="15">
        <v>45200</v>
      </c>
      <c r="D63" s="17">
        <v>0</v>
      </c>
      <c r="E63" s="16"/>
      <c r="F63" s="33"/>
      <c r="G63" s="33"/>
    </row>
    <row r="64" spans="2:7" x14ac:dyDescent="0.2">
      <c r="C64" s="15">
        <v>45231</v>
      </c>
      <c r="D64" s="17">
        <v>0</v>
      </c>
      <c r="E64" s="16"/>
      <c r="F64" s="33"/>
      <c r="G64" s="33"/>
    </row>
    <row r="65" spans="3:7" x14ac:dyDescent="0.2">
      <c r="C65" s="15">
        <v>45261</v>
      </c>
      <c r="D65" s="19">
        <v>0</v>
      </c>
      <c r="E65" s="16"/>
      <c r="F65" s="33"/>
      <c r="G65" s="33"/>
    </row>
    <row r="66" spans="3:7" x14ac:dyDescent="0.2">
      <c r="C66" s="49" t="s">
        <v>46</v>
      </c>
      <c r="D66" s="35">
        <f>SUM(D60:D65)</f>
        <v>0</v>
      </c>
      <c r="E66" s="16"/>
      <c r="F66" s="33"/>
      <c r="G66" s="33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6767E-D5BB-4BEB-978E-FD1671F89BD3}">
  <dimension ref="A1:M68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Shelby Surcharge Summary.xlsx</v>
      </c>
    </row>
    <row r="4" spans="1:13" ht="14.25" customHeight="1" x14ac:dyDescent="0.2">
      <c r="B4" s="111" t="s">
        <v>51</v>
      </c>
      <c r="C4" s="112"/>
      <c r="D4" s="112"/>
      <c r="E4" s="112"/>
      <c r="F4" s="112"/>
      <c r="G4" s="113"/>
      <c r="I4" s="100" t="s">
        <v>52</v>
      </c>
      <c r="J4" s="101"/>
      <c r="K4" s="101"/>
      <c r="L4" s="101"/>
      <c r="M4" s="102"/>
    </row>
    <row r="5" spans="1:13" ht="14.25" customHeight="1" x14ac:dyDescent="0.2">
      <c r="B5" s="114"/>
      <c r="C5" s="115"/>
      <c r="D5" s="115"/>
      <c r="E5" s="115"/>
      <c r="F5" s="115"/>
      <c r="G5" s="116"/>
      <c r="I5" s="103"/>
      <c r="J5" s="104"/>
      <c r="K5" s="104"/>
      <c r="L5" s="104"/>
      <c r="M5" s="105"/>
    </row>
    <row r="6" spans="1:13" ht="15" x14ac:dyDescent="0.2">
      <c r="I6" s="56"/>
      <c r="J6" s="56"/>
      <c r="K6" s="56"/>
      <c r="L6" s="56"/>
      <c r="M6" s="56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ht="15.75" x14ac:dyDescent="0.25">
      <c r="B12" s="2">
        <v>1</v>
      </c>
      <c r="C12" s="97" t="s">
        <v>15</v>
      </c>
      <c r="D12" s="98"/>
      <c r="E12" s="98"/>
      <c r="F12" s="98"/>
      <c r="G12" s="99"/>
      <c r="I12" s="117" t="s">
        <v>53</v>
      </c>
      <c r="J12" s="56"/>
      <c r="K12" s="56"/>
      <c r="L12" s="56"/>
      <c r="M12" s="56"/>
    </row>
    <row r="13" spans="1:13" ht="15" x14ac:dyDescent="0.2">
      <c r="B13" s="2" t="s">
        <v>16</v>
      </c>
      <c r="C13" s="8" t="s">
        <v>75</v>
      </c>
      <c r="D13" s="8"/>
      <c r="E13" s="8"/>
      <c r="F13" s="9"/>
      <c r="G13" s="35">
        <v>768192</v>
      </c>
      <c r="I13" s="56"/>
      <c r="J13" s="56"/>
      <c r="K13" s="56"/>
      <c r="L13" s="56"/>
      <c r="M13" s="56"/>
    </row>
    <row r="14" spans="1:13" x14ac:dyDescent="0.2">
      <c r="B14" s="4" t="s">
        <v>17</v>
      </c>
      <c r="C14" s="8" t="s">
        <v>80</v>
      </c>
      <c r="D14" s="8"/>
      <c r="E14" s="8"/>
      <c r="F14" s="9"/>
      <c r="G14" s="125">
        <f>'A - 05-31-22'!G33</f>
        <v>130670.82999999996</v>
      </c>
      <c r="I14" s="57"/>
      <c r="J14" s="57"/>
      <c r="K14" s="58" t="s">
        <v>0</v>
      </c>
      <c r="L14" s="57"/>
      <c r="M14" s="57"/>
    </row>
    <row r="15" spans="1:13" x14ac:dyDescent="0.2">
      <c r="B15" s="4" t="s">
        <v>81</v>
      </c>
      <c r="C15" s="8" t="s">
        <v>86</v>
      </c>
      <c r="D15" s="8"/>
      <c r="E15" s="8"/>
      <c r="F15" s="9"/>
      <c r="G15" s="125">
        <f>'B - 11-30-22'!G35</f>
        <v>194499.80000000016</v>
      </c>
      <c r="I15" s="59"/>
      <c r="J15" s="60" t="s">
        <v>1</v>
      </c>
      <c r="K15" s="60" t="s">
        <v>2</v>
      </c>
      <c r="L15" s="59"/>
      <c r="M15" s="59"/>
    </row>
    <row r="16" spans="1:13" x14ac:dyDescent="0.2">
      <c r="B16" s="4" t="s">
        <v>87</v>
      </c>
      <c r="C16" s="8" t="s">
        <v>92</v>
      </c>
      <c r="D16" s="8"/>
      <c r="E16" s="8"/>
      <c r="F16" s="11"/>
      <c r="G16" s="51">
        <f>'C - 05-31-23'!G37</f>
        <v>-45508.470000000088</v>
      </c>
      <c r="I16" s="59"/>
      <c r="J16" s="60" t="s">
        <v>3</v>
      </c>
      <c r="K16" s="60" t="s">
        <v>4</v>
      </c>
      <c r="L16" s="60" t="s">
        <v>5</v>
      </c>
      <c r="M16" s="60" t="s">
        <v>6</v>
      </c>
    </row>
    <row r="17" spans="2:13" x14ac:dyDescent="0.2">
      <c r="B17" s="4" t="s">
        <v>93</v>
      </c>
      <c r="C17" s="8" t="s">
        <v>99</v>
      </c>
      <c r="D17" s="8"/>
      <c r="E17" s="8"/>
      <c r="F17" s="11"/>
      <c r="G17" s="51">
        <f>'D - 11-30-23'!G39</f>
        <v>157.42999999981839</v>
      </c>
      <c r="I17" s="61"/>
      <c r="J17" s="61" t="s">
        <v>7</v>
      </c>
      <c r="K17" s="61" t="s">
        <v>7</v>
      </c>
      <c r="L17" s="61" t="s">
        <v>8</v>
      </c>
      <c r="M17" s="61" t="s">
        <v>8</v>
      </c>
    </row>
    <row r="18" spans="2:13" x14ac:dyDescent="0.2">
      <c r="B18" s="5" t="s">
        <v>100</v>
      </c>
      <c r="C18" s="8" t="s">
        <v>18</v>
      </c>
      <c r="D18" s="8"/>
      <c r="E18" s="8"/>
      <c r="F18" s="11"/>
      <c r="G18" s="12">
        <f>G13+G14+G15+G16+G17</f>
        <v>1048011.5899999999</v>
      </c>
      <c r="I18" s="62" t="s">
        <v>10</v>
      </c>
      <c r="J18" s="63" t="s">
        <v>48</v>
      </c>
      <c r="K18" s="63" t="s">
        <v>11</v>
      </c>
      <c r="L18" s="63" t="s">
        <v>12</v>
      </c>
      <c r="M18" s="63" t="s">
        <v>13</v>
      </c>
    </row>
    <row r="19" spans="2:13" x14ac:dyDescent="0.2">
      <c r="B19" s="4">
        <v>2</v>
      </c>
      <c r="C19" s="13">
        <v>45292</v>
      </c>
      <c r="D19" s="51">
        <f>510851-486</f>
        <v>510365</v>
      </c>
      <c r="E19" s="84">
        <v>534201.92000000004</v>
      </c>
      <c r="F19" s="14">
        <f t="shared" ref="F19:F26" si="0">D19-E19</f>
        <v>-23836.920000000042</v>
      </c>
      <c r="G19" s="12">
        <f t="shared" ref="G19:G26" si="1">G18+F19</f>
        <v>1024174.6699999998</v>
      </c>
      <c r="I19" s="118">
        <v>45292</v>
      </c>
      <c r="J19" s="65">
        <v>116313</v>
      </c>
      <c r="K19" s="89">
        <v>116313</v>
      </c>
      <c r="L19" s="66">
        <f t="shared" ref="L19:L26" si="2">J19-K19</f>
        <v>0</v>
      </c>
      <c r="M19" s="67">
        <f>L19</f>
        <v>0</v>
      </c>
    </row>
    <row r="20" spans="2:13" x14ac:dyDescent="0.2">
      <c r="B20" s="4">
        <v>3</v>
      </c>
      <c r="C20" s="15">
        <v>45323</v>
      </c>
      <c r="D20" s="52">
        <f>359631-452</f>
        <v>359179</v>
      </c>
      <c r="E20" s="53">
        <v>351105.85</v>
      </c>
      <c r="F20" s="16">
        <f t="shared" si="0"/>
        <v>8073.1500000000233</v>
      </c>
      <c r="G20" s="17">
        <f t="shared" si="1"/>
        <v>1032247.8199999998</v>
      </c>
      <c r="I20" s="119">
        <v>45323</v>
      </c>
      <c r="J20" s="65">
        <v>109763</v>
      </c>
      <c r="K20" s="83">
        <v>109763</v>
      </c>
      <c r="L20" s="67">
        <f t="shared" si="2"/>
        <v>0</v>
      </c>
      <c r="M20" s="67">
        <f>M19+L20</f>
        <v>0</v>
      </c>
    </row>
    <row r="21" spans="2:13" x14ac:dyDescent="0.2">
      <c r="B21" s="4">
        <v>4</v>
      </c>
      <c r="C21" s="15">
        <v>45352</v>
      </c>
      <c r="D21" s="52">
        <f>218843-323</f>
        <v>218520</v>
      </c>
      <c r="E21" s="53">
        <v>304174.69</v>
      </c>
      <c r="F21" s="16">
        <f t="shared" si="0"/>
        <v>-85654.69</v>
      </c>
      <c r="G21" s="17">
        <f t="shared" si="1"/>
        <v>946593.12999999989</v>
      </c>
      <c r="I21" s="119">
        <v>45352</v>
      </c>
      <c r="J21" s="65">
        <v>76630</v>
      </c>
      <c r="K21" s="65">
        <v>76630</v>
      </c>
      <c r="L21" s="67">
        <f t="shared" si="2"/>
        <v>0</v>
      </c>
      <c r="M21" s="67">
        <f t="shared" ref="M21:M24" si="3">M20+L21</f>
        <v>0</v>
      </c>
    </row>
    <row r="22" spans="2:13" x14ac:dyDescent="0.2">
      <c r="B22" s="4">
        <v>5</v>
      </c>
      <c r="C22" s="15">
        <v>45383</v>
      </c>
      <c r="D22" s="52">
        <f>224183-441</f>
        <v>223742</v>
      </c>
      <c r="E22" s="53">
        <v>183309.48</v>
      </c>
      <c r="F22" s="16">
        <f t="shared" si="0"/>
        <v>40432.51999999999</v>
      </c>
      <c r="G22" s="17">
        <f t="shared" si="1"/>
        <v>987025.64999999991</v>
      </c>
      <c r="I22" s="119">
        <v>45383</v>
      </c>
      <c r="J22" s="65">
        <v>88240</v>
      </c>
      <c r="K22" s="65">
        <v>88240</v>
      </c>
      <c r="L22" s="67">
        <f t="shared" si="2"/>
        <v>0</v>
      </c>
      <c r="M22" s="67">
        <f t="shared" si="3"/>
        <v>0</v>
      </c>
    </row>
    <row r="23" spans="2:13" x14ac:dyDescent="0.2">
      <c r="B23" s="4">
        <v>6</v>
      </c>
      <c r="C23" s="15">
        <v>45413</v>
      </c>
      <c r="D23" s="52">
        <f>325056-539</f>
        <v>324517</v>
      </c>
      <c r="E23" s="53">
        <v>429013.97</v>
      </c>
      <c r="F23" s="16">
        <f t="shared" si="0"/>
        <v>-104496.96999999997</v>
      </c>
      <c r="G23" s="17">
        <f t="shared" si="1"/>
        <v>882528.67999999993</v>
      </c>
      <c r="I23" s="119">
        <v>45413</v>
      </c>
      <c r="J23" s="65">
        <v>127813</v>
      </c>
      <c r="K23" s="81">
        <v>127813</v>
      </c>
      <c r="L23" s="67">
        <f t="shared" si="2"/>
        <v>0</v>
      </c>
      <c r="M23" s="67">
        <f>M22+L23</f>
        <v>0</v>
      </c>
    </row>
    <row r="24" spans="2:13" x14ac:dyDescent="0.2">
      <c r="B24" s="4">
        <v>7</v>
      </c>
      <c r="C24" s="15">
        <v>45444</v>
      </c>
      <c r="D24" s="52">
        <f>472064-650</f>
        <v>471414</v>
      </c>
      <c r="E24" s="53">
        <v>556652.04</v>
      </c>
      <c r="F24" s="18">
        <f t="shared" si="0"/>
        <v>-85238.040000000037</v>
      </c>
      <c r="G24" s="19">
        <f t="shared" si="1"/>
        <v>797290.6399999999</v>
      </c>
      <c r="I24" s="121">
        <v>45444</v>
      </c>
      <c r="J24" s="81">
        <v>157564</v>
      </c>
      <c r="K24" s="85">
        <v>157564</v>
      </c>
      <c r="L24" s="70">
        <f t="shared" si="2"/>
        <v>0</v>
      </c>
      <c r="M24" s="70">
        <f t="shared" si="3"/>
        <v>0</v>
      </c>
    </row>
    <row r="25" spans="2:13" x14ac:dyDescent="0.2">
      <c r="B25" s="20" t="s">
        <v>19</v>
      </c>
      <c r="C25" s="13">
        <v>45474</v>
      </c>
      <c r="D25" s="51">
        <f>445874-0</f>
        <v>445874</v>
      </c>
      <c r="E25" s="84">
        <v>705732.87</v>
      </c>
      <c r="F25" s="14">
        <f t="shared" si="0"/>
        <v>-259858.87</v>
      </c>
      <c r="G25" s="12">
        <f t="shared" si="1"/>
        <v>537431.7699999999</v>
      </c>
      <c r="I25" s="119">
        <v>45474</v>
      </c>
      <c r="J25" s="82">
        <v>144335</v>
      </c>
      <c r="K25" s="88">
        <v>144335</v>
      </c>
      <c r="L25" s="67">
        <f t="shared" si="2"/>
        <v>0</v>
      </c>
      <c r="M25" s="67">
        <f>M24+L25</f>
        <v>0</v>
      </c>
    </row>
    <row r="26" spans="2:13" x14ac:dyDescent="0.2">
      <c r="B26" s="21" t="s">
        <v>20</v>
      </c>
      <c r="C26" s="22">
        <v>45505</v>
      </c>
      <c r="D26" s="86">
        <f>389804-0</f>
        <v>389804</v>
      </c>
      <c r="E26" s="135">
        <f>563502.54+1462</f>
        <v>564964.54</v>
      </c>
      <c r="F26" s="18">
        <f t="shared" si="0"/>
        <v>-175160.54000000004</v>
      </c>
      <c r="G26" s="19">
        <f t="shared" si="1"/>
        <v>362271.22999999986</v>
      </c>
      <c r="I26" s="121">
        <v>45505</v>
      </c>
      <c r="J26" s="87">
        <v>136434</v>
      </c>
      <c r="K26" s="136">
        <f>137895.6-1462</f>
        <v>136433.60000000001</v>
      </c>
      <c r="L26" s="70">
        <f t="shared" si="2"/>
        <v>0.39999999999417923</v>
      </c>
      <c r="M26" s="70">
        <f>M25+L26</f>
        <v>0.39999999999417923</v>
      </c>
    </row>
    <row r="27" spans="2:13" x14ac:dyDescent="0.2">
      <c r="B27" s="5"/>
      <c r="C27" s="23" t="s">
        <v>101</v>
      </c>
      <c r="D27" s="24"/>
      <c r="E27" s="24"/>
      <c r="F27" s="24"/>
      <c r="G27" s="25"/>
      <c r="I27" s="71"/>
      <c r="J27" s="71"/>
      <c r="K27" s="71"/>
      <c r="L27" s="71"/>
      <c r="M27" s="71"/>
    </row>
    <row r="28" spans="2:13" x14ac:dyDescent="0.2">
      <c r="B28" s="2"/>
      <c r="C28" s="1"/>
      <c r="D28" s="1"/>
      <c r="E28" s="1"/>
      <c r="F28" s="1"/>
      <c r="G28" s="12"/>
      <c r="I28" s="72" t="s">
        <v>49</v>
      </c>
      <c r="J28" s="73"/>
      <c r="K28" s="73"/>
      <c r="L28" s="74"/>
      <c r="M28" s="75">
        <f>M24</f>
        <v>0</v>
      </c>
    </row>
    <row r="29" spans="2:13" x14ac:dyDescent="0.2">
      <c r="B29" s="4"/>
      <c r="C29" s="3"/>
      <c r="D29" s="4" t="s">
        <v>21</v>
      </c>
      <c r="E29" s="4" t="s">
        <v>22</v>
      </c>
      <c r="F29" s="3"/>
      <c r="G29" s="17"/>
      <c r="I29" s="71"/>
      <c r="J29" s="71"/>
      <c r="K29" s="71"/>
      <c r="L29" s="71"/>
      <c r="M29" s="76"/>
    </row>
    <row r="30" spans="2:13" x14ac:dyDescent="0.2">
      <c r="B30" s="4">
        <v>8</v>
      </c>
      <c r="C30" s="3"/>
      <c r="D30" s="4" t="s">
        <v>23</v>
      </c>
      <c r="E30" s="4" t="s">
        <v>24</v>
      </c>
      <c r="F30" s="3"/>
      <c r="G30" s="26" t="s">
        <v>21</v>
      </c>
      <c r="I30" s="72" t="s">
        <v>50</v>
      </c>
      <c r="J30" s="73"/>
      <c r="K30" s="73"/>
      <c r="L30" s="74"/>
      <c r="M30" s="75">
        <f>M28/6</f>
        <v>0</v>
      </c>
    </row>
    <row r="31" spans="2:13" x14ac:dyDescent="0.2">
      <c r="B31" s="4"/>
      <c r="C31" s="3"/>
      <c r="D31" s="4" t="s">
        <v>25</v>
      </c>
      <c r="E31" s="4" t="s">
        <v>26</v>
      </c>
      <c r="F31" s="3"/>
      <c r="G31" s="26" t="s">
        <v>27</v>
      </c>
    </row>
    <row r="32" spans="2:13" x14ac:dyDescent="0.2">
      <c r="B32" s="4"/>
      <c r="C32" s="3"/>
      <c r="D32" s="4" t="s">
        <v>28</v>
      </c>
      <c r="E32" s="4" t="s">
        <v>29</v>
      </c>
      <c r="F32" s="3"/>
      <c r="G32" s="26" t="s">
        <v>30</v>
      </c>
    </row>
    <row r="33" spans="2:7" x14ac:dyDescent="0.2">
      <c r="B33" s="5"/>
      <c r="C33" s="3"/>
      <c r="D33" s="4" t="s">
        <v>31</v>
      </c>
      <c r="E33" s="4" t="s">
        <v>32</v>
      </c>
      <c r="F33" s="3"/>
      <c r="G33" s="26" t="s">
        <v>33</v>
      </c>
    </row>
    <row r="34" spans="2:7" x14ac:dyDescent="0.2">
      <c r="B34" s="20" t="s">
        <v>34</v>
      </c>
      <c r="C34" s="1" t="s">
        <v>95</v>
      </c>
      <c r="D34" s="12">
        <f>-G13</f>
        <v>-768192</v>
      </c>
      <c r="E34" s="12">
        <f>D68</f>
        <v>512128</v>
      </c>
      <c r="F34" s="1"/>
      <c r="G34" s="12">
        <f t="shared" ref="G34:G38" si="4">D34+E34</f>
        <v>-256064</v>
      </c>
    </row>
    <row r="35" spans="2:7" x14ac:dyDescent="0.2">
      <c r="B35" s="27" t="s">
        <v>35</v>
      </c>
      <c r="C35" s="3" t="s">
        <v>83</v>
      </c>
      <c r="D35" s="17">
        <f>-G14</f>
        <v>-130670.82999999996</v>
      </c>
      <c r="E35" s="17">
        <v>0</v>
      </c>
      <c r="F35" s="3"/>
      <c r="G35" s="17">
        <f t="shared" si="4"/>
        <v>-130670.82999999996</v>
      </c>
    </row>
    <row r="36" spans="2:7" x14ac:dyDescent="0.2">
      <c r="B36" s="27" t="s">
        <v>84</v>
      </c>
      <c r="C36" s="3" t="s">
        <v>89</v>
      </c>
      <c r="D36" s="17">
        <f>-G15</f>
        <v>-194499.80000000016</v>
      </c>
      <c r="E36" s="17">
        <v>0</v>
      </c>
      <c r="F36" s="3"/>
      <c r="G36" s="17">
        <f t="shared" si="4"/>
        <v>-194499.80000000016</v>
      </c>
    </row>
    <row r="37" spans="2:7" x14ac:dyDescent="0.2">
      <c r="B37" s="27" t="s">
        <v>90</v>
      </c>
      <c r="C37" s="3" t="s">
        <v>96</v>
      </c>
      <c r="D37" s="17">
        <f>-G16</f>
        <v>45508.470000000088</v>
      </c>
      <c r="E37" s="17">
        <v>0</v>
      </c>
      <c r="F37" s="3"/>
      <c r="G37" s="17">
        <f t="shared" si="4"/>
        <v>45508.470000000088</v>
      </c>
    </row>
    <row r="38" spans="2:7" x14ac:dyDescent="0.2">
      <c r="B38" s="27" t="s">
        <v>97</v>
      </c>
      <c r="C38" s="28" t="s">
        <v>102</v>
      </c>
      <c r="D38" s="19">
        <f>-G17</f>
        <v>-157.42999999981839</v>
      </c>
      <c r="E38" s="19">
        <v>0</v>
      </c>
      <c r="F38" s="28"/>
      <c r="G38" s="19">
        <f t="shared" si="4"/>
        <v>-157.42999999981839</v>
      </c>
    </row>
    <row r="39" spans="2:7" x14ac:dyDescent="0.2">
      <c r="B39" s="5" t="s">
        <v>103</v>
      </c>
      <c r="C39" s="29"/>
      <c r="D39" s="30"/>
      <c r="E39" s="30"/>
      <c r="F39" s="31" t="s">
        <v>36</v>
      </c>
      <c r="G39" s="19">
        <f>G34+G35+G36+G37+G38</f>
        <v>-535883.58999999985</v>
      </c>
    </row>
    <row r="40" spans="2:7" x14ac:dyDescent="0.2">
      <c r="B40" s="32"/>
      <c r="G40" s="33"/>
    </row>
    <row r="41" spans="2:7" x14ac:dyDescent="0.2">
      <c r="B41" s="6">
        <v>9</v>
      </c>
      <c r="C41" s="34" t="s">
        <v>104</v>
      </c>
      <c r="D41" s="8"/>
      <c r="E41" s="8"/>
      <c r="F41" s="9"/>
      <c r="G41" s="35">
        <f>G24+G39</f>
        <v>261407.05000000005</v>
      </c>
    </row>
    <row r="42" spans="2:7" x14ac:dyDescent="0.2">
      <c r="B42" s="32"/>
      <c r="G42" s="33"/>
    </row>
    <row r="43" spans="2:7" x14ac:dyDescent="0.2">
      <c r="B43" s="6">
        <v>10</v>
      </c>
      <c r="C43" s="34" t="s">
        <v>78</v>
      </c>
      <c r="D43" s="8"/>
      <c r="E43" s="8"/>
      <c r="F43" s="9"/>
      <c r="G43" s="35">
        <f>G41/6</f>
        <v>43567.841666666674</v>
      </c>
    </row>
    <row r="45" spans="2:7" x14ac:dyDescent="0.2">
      <c r="B45" s="1"/>
      <c r="C45" s="36" t="s">
        <v>37</v>
      </c>
      <c r="D45" s="37"/>
      <c r="E45" s="37"/>
      <c r="F45" s="37"/>
      <c r="G45" s="38"/>
    </row>
    <row r="46" spans="2:7" x14ac:dyDescent="0.2">
      <c r="B46" s="1"/>
      <c r="C46" s="39"/>
      <c r="D46" s="39"/>
      <c r="E46" s="39"/>
      <c r="F46" s="39"/>
      <c r="G46" s="11"/>
    </row>
    <row r="47" spans="2:7" x14ac:dyDescent="0.2">
      <c r="B47" s="4">
        <v>11</v>
      </c>
      <c r="C47" t="s">
        <v>38</v>
      </c>
      <c r="G47" s="41">
        <f>G18</f>
        <v>1048011.5899999999</v>
      </c>
    </row>
    <row r="48" spans="2:7" x14ac:dyDescent="0.2">
      <c r="B48" s="4">
        <v>12</v>
      </c>
      <c r="C48" t="s">
        <v>39</v>
      </c>
      <c r="G48" s="42">
        <f>G39</f>
        <v>-535883.58999999985</v>
      </c>
    </row>
    <row r="49" spans="2:7" x14ac:dyDescent="0.2">
      <c r="B49" s="4"/>
      <c r="G49" s="41"/>
    </row>
    <row r="50" spans="2:7" ht="15" thickBot="1" x14ac:dyDescent="0.25">
      <c r="B50" s="4">
        <v>13</v>
      </c>
      <c r="C50" t="s">
        <v>40</v>
      </c>
      <c r="G50" s="43">
        <f>G47+G48</f>
        <v>512128</v>
      </c>
    </row>
    <row r="51" spans="2:7" ht="15" thickTop="1" x14ac:dyDescent="0.2">
      <c r="B51" s="4"/>
      <c r="G51" s="41"/>
    </row>
    <row r="52" spans="2:7" x14ac:dyDescent="0.2">
      <c r="B52" s="4">
        <v>14</v>
      </c>
      <c r="C52" t="s">
        <v>41</v>
      </c>
      <c r="G52" s="41">
        <f>G41</f>
        <v>261407.05000000005</v>
      </c>
    </row>
    <row r="53" spans="2:7" x14ac:dyDescent="0.2">
      <c r="B53" s="4"/>
      <c r="G53" s="41"/>
    </row>
    <row r="54" spans="2:7" x14ac:dyDescent="0.2">
      <c r="B54" s="4">
        <v>15</v>
      </c>
      <c r="C54" t="s">
        <v>42</v>
      </c>
      <c r="G54" s="42">
        <f>SUM(F19:F24)</f>
        <v>-250720.95000000004</v>
      </c>
    </row>
    <row r="55" spans="2:7" x14ac:dyDescent="0.2">
      <c r="B55" s="4"/>
      <c r="G55" s="41"/>
    </row>
    <row r="56" spans="2:7" ht="15" thickBot="1" x14ac:dyDescent="0.25">
      <c r="B56" s="4">
        <v>16</v>
      </c>
      <c r="C56" t="s">
        <v>43</v>
      </c>
      <c r="G56" s="43">
        <f>G52-G54</f>
        <v>512128.00000000012</v>
      </c>
    </row>
    <row r="57" spans="2:7" ht="15" thickTop="1" x14ac:dyDescent="0.2">
      <c r="B57" s="28"/>
      <c r="C57" s="44"/>
      <c r="D57" s="44"/>
      <c r="E57" s="44"/>
      <c r="F57" s="44"/>
      <c r="G57" s="45"/>
    </row>
    <row r="59" spans="2:7" x14ac:dyDescent="0.2">
      <c r="B59" t="s">
        <v>44</v>
      </c>
    </row>
    <row r="60" spans="2:7" x14ac:dyDescent="0.2">
      <c r="B60" s="32"/>
      <c r="C60" s="1"/>
      <c r="D60" s="2" t="s">
        <v>45</v>
      </c>
      <c r="E60" s="27"/>
      <c r="F60" s="32"/>
      <c r="G60" s="32"/>
    </row>
    <row r="61" spans="2:7" x14ac:dyDescent="0.2">
      <c r="B61" s="32"/>
      <c r="C61" s="5" t="s">
        <v>10</v>
      </c>
      <c r="D61" s="5" t="s">
        <v>79</v>
      </c>
      <c r="E61" s="27"/>
      <c r="F61" s="32"/>
      <c r="G61" s="32"/>
    </row>
    <row r="62" spans="2:7" x14ac:dyDescent="0.2">
      <c r="C62" s="13">
        <v>45292</v>
      </c>
      <c r="D62" s="12">
        <v>0</v>
      </c>
      <c r="E62" s="16"/>
      <c r="F62" s="33"/>
      <c r="G62" s="33"/>
    </row>
    <row r="63" spans="2:7" x14ac:dyDescent="0.2">
      <c r="C63" s="15">
        <v>45323</v>
      </c>
      <c r="D63" s="17">
        <v>0</v>
      </c>
      <c r="E63" s="16"/>
      <c r="F63" s="33"/>
      <c r="G63" s="33"/>
    </row>
    <row r="64" spans="2:7" x14ac:dyDescent="0.2">
      <c r="C64" s="15">
        <v>45352</v>
      </c>
      <c r="D64" s="17">
        <v>128032</v>
      </c>
      <c r="E64" s="16"/>
      <c r="F64" s="33"/>
      <c r="G64" s="33"/>
    </row>
    <row r="65" spans="3:7" x14ac:dyDescent="0.2">
      <c r="C65" s="15">
        <v>45383</v>
      </c>
      <c r="D65" s="17">
        <v>128032</v>
      </c>
      <c r="E65" s="16"/>
      <c r="F65" s="33"/>
      <c r="G65" s="33"/>
    </row>
    <row r="66" spans="3:7" x14ac:dyDescent="0.2">
      <c r="C66" s="15">
        <v>45413</v>
      </c>
      <c r="D66" s="17">
        <v>128032</v>
      </c>
      <c r="E66" s="16"/>
      <c r="F66" s="33"/>
      <c r="G66" s="33"/>
    </row>
    <row r="67" spans="3:7" x14ac:dyDescent="0.2">
      <c r="C67" s="15">
        <v>45444</v>
      </c>
      <c r="D67" s="19">
        <v>128032</v>
      </c>
      <c r="E67" s="16"/>
      <c r="F67" s="33"/>
      <c r="G67" s="33"/>
    </row>
    <row r="68" spans="3:7" x14ac:dyDescent="0.2">
      <c r="C68" s="49" t="s">
        <v>46</v>
      </c>
      <c r="D68" s="35">
        <f>SUM(D62:D67)</f>
        <v>512128</v>
      </c>
      <c r="E68" s="16"/>
      <c r="F68" s="33"/>
      <c r="G68" s="33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8E2EC-63A9-4301-A96E-B647A73A9084}">
  <dimension ref="A1:M7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Shelby Surcharge Summary.xlsx</v>
      </c>
    </row>
    <row r="4" spans="1:13" ht="14.25" customHeight="1" x14ac:dyDescent="0.2">
      <c r="B4" s="111" t="s">
        <v>51</v>
      </c>
      <c r="C4" s="112"/>
      <c r="D4" s="112"/>
      <c r="E4" s="112"/>
      <c r="F4" s="112"/>
      <c r="G4" s="113"/>
      <c r="I4" s="100" t="s">
        <v>52</v>
      </c>
      <c r="J4" s="101"/>
      <c r="K4" s="101"/>
      <c r="L4" s="101"/>
      <c r="M4" s="102"/>
    </row>
    <row r="5" spans="1:13" ht="14.25" customHeight="1" x14ac:dyDescent="0.2">
      <c r="B5" s="114"/>
      <c r="C5" s="115"/>
      <c r="D5" s="115"/>
      <c r="E5" s="115"/>
      <c r="F5" s="115"/>
      <c r="G5" s="116"/>
      <c r="I5" s="103"/>
      <c r="J5" s="104"/>
      <c r="K5" s="104"/>
      <c r="L5" s="104"/>
      <c r="M5" s="105"/>
    </row>
    <row r="6" spans="1:13" ht="15" x14ac:dyDescent="0.2">
      <c r="I6" s="56"/>
      <c r="J6" s="56"/>
      <c r="K6" s="56"/>
      <c r="L6" s="56"/>
      <c r="M6" s="56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x14ac:dyDescent="0.2">
      <c r="B12" s="2">
        <v>1</v>
      </c>
      <c r="C12" s="97" t="s">
        <v>15</v>
      </c>
      <c r="D12" s="98"/>
      <c r="E12" s="98"/>
      <c r="F12" s="98"/>
      <c r="G12" s="99"/>
    </row>
    <row r="13" spans="1:13" ht="15.75" x14ac:dyDescent="0.25">
      <c r="B13" s="2" t="s">
        <v>16</v>
      </c>
      <c r="C13" s="8" t="s">
        <v>75</v>
      </c>
      <c r="D13" s="8"/>
      <c r="E13" s="8"/>
      <c r="F13" s="9"/>
      <c r="G13" s="35">
        <v>256064</v>
      </c>
      <c r="I13" s="117" t="s">
        <v>53</v>
      </c>
      <c r="J13" s="56"/>
      <c r="K13" s="56"/>
      <c r="L13" s="56"/>
      <c r="M13" s="56"/>
    </row>
    <row r="14" spans="1:13" ht="15" x14ac:dyDescent="0.2">
      <c r="B14" s="4" t="s">
        <v>17</v>
      </c>
      <c r="C14" s="8" t="s">
        <v>80</v>
      </c>
      <c r="D14" s="8"/>
      <c r="E14" s="8"/>
      <c r="F14" s="9"/>
      <c r="G14" s="125">
        <f>'A - 05-31-22'!G33</f>
        <v>130670.82999999996</v>
      </c>
      <c r="I14" s="56"/>
      <c r="J14" s="56"/>
      <c r="K14" s="56"/>
      <c r="L14" s="56"/>
      <c r="M14" s="56"/>
    </row>
    <row r="15" spans="1:13" x14ac:dyDescent="0.2">
      <c r="B15" s="4" t="s">
        <v>81</v>
      </c>
      <c r="C15" s="8" t="s">
        <v>86</v>
      </c>
      <c r="D15" s="8"/>
      <c r="E15" s="8"/>
      <c r="F15" s="9"/>
      <c r="G15" s="125">
        <f>'B - 11-30-22'!G35</f>
        <v>194499.80000000016</v>
      </c>
      <c r="I15" s="57"/>
      <c r="J15" s="57"/>
      <c r="K15" s="58" t="s">
        <v>0</v>
      </c>
      <c r="L15" s="57"/>
      <c r="M15" s="57"/>
    </row>
    <row r="16" spans="1:13" x14ac:dyDescent="0.2">
      <c r="B16" s="4" t="s">
        <v>87</v>
      </c>
      <c r="C16" s="8" t="s">
        <v>92</v>
      </c>
      <c r="D16" s="8"/>
      <c r="E16" s="8"/>
      <c r="F16" s="11"/>
      <c r="G16" s="51">
        <f>'C - 05-31-23'!G37</f>
        <v>-45508.470000000088</v>
      </c>
      <c r="I16" s="59"/>
      <c r="J16" s="60" t="s">
        <v>1</v>
      </c>
      <c r="K16" s="60" t="s">
        <v>2</v>
      </c>
      <c r="L16" s="59"/>
      <c r="M16" s="59"/>
    </row>
    <row r="17" spans="2:13" x14ac:dyDescent="0.2">
      <c r="B17" s="4" t="s">
        <v>93</v>
      </c>
      <c r="C17" s="8" t="s">
        <v>99</v>
      </c>
      <c r="D17" s="8"/>
      <c r="E17" s="8"/>
      <c r="F17" s="11"/>
      <c r="G17" s="51">
        <f>'D - 11-30-23'!G39</f>
        <v>157.42999999981839</v>
      </c>
      <c r="I17" s="59"/>
      <c r="J17" s="60" t="s">
        <v>3</v>
      </c>
      <c r="K17" s="60" t="s">
        <v>4</v>
      </c>
      <c r="L17" s="60" t="s">
        <v>5</v>
      </c>
      <c r="M17" s="60" t="s">
        <v>6</v>
      </c>
    </row>
    <row r="18" spans="2:13" x14ac:dyDescent="0.2">
      <c r="B18" s="4" t="s">
        <v>100</v>
      </c>
      <c r="C18" s="8" t="s">
        <v>105</v>
      </c>
      <c r="D18" s="8"/>
      <c r="E18" s="8"/>
      <c r="F18" s="11"/>
      <c r="G18" s="51">
        <f>'E - 05-31-24'!G41</f>
        <v>261407.05000000005</v>
      </c>
      <c r="I18" s="61"/>
      <c r="J18" s="61" t="s">
        <v>7</v>
      </c>
      <c r="K18" s="61" t="s">
        <v>7</v>
      </c>
      <c r="L18" s="61" t="s">
        <v>8</v>
      </c>
      <c r="M18" s="61" t="s">
        <v>8</v>
      </c>
    </row>
    <row r="19" spans="2:13" x14ac:dyDescent="0.2">
      <c r="B19" s="5" t="s">
        <v>106</v>
      </c>
      <c r="C19" s="8" t="s">
        <v>18</v>
      </c>
      <c r="D19" s="8"/>
      <c r="E19" s="8"/>
      <c r="F19" s="11"/>
      <c r="G19" s="12">
        <f>G13+G14+G15+G16+G17+G18</f>
        <v>797290.6399999999</v>
      </c>
      <c r="I19" s="62" t="s">
        <v>10</v>
      </c>
      <c r="J19" s="63" t="s">
        <v>48</v>
      </c>
      <c r="K19" s="63" t="s">
        <v>11</v>
      </c>
      <c r="L19" s="63" t="s">
        <v>12</v>
      </c>
      <c r="M19" s="63" t="s">
        <v>13</v>
      </c>
    </row>
    <row r="20" spans="2:13" x14ac:dyDescent="0.2">
      <c r="B20" s="4">
        <v>2</v>
      </c>
      <c r="C20" s="13">
        <v>45474</v>
      </c>
      <c r="D20" s="51">
        <f>445874-0</f>
        <v>445874</v>
      </c>
      <c r="E20" s="84">
        <v>705732.87</v>
      </c>
      <c r="F20" s="14">
        <f t="shared" ref="F20:F27" si="0">D20-E20</f>
        <v>-259858.87</v>
      </c>
      <c r="G20" s="12">
        <f t="shared" ref="G20:G27" si="1">G19+F20</f>
        <v>537431.7699999999</v>
      </c>
      <c r="I20" s="118">
        <v>45474</v>
      </c>
      <c r="J20" s="65">
        <v>144335</v>
      </c>
      <c r="K20" s="89">
        <v>144335</v>
      </c>
      <c r="L20" s="66">
        <f t="shared" ref="L20:L27" si="2">J20-K20</f>
        <v>0</v>
      </c>
      <c r="M20" s="67">
        <f>L20</f>
        <v>0</v>
      </c>
    </row>
    <row r="21" spans="2:13" x14ac:dyDescent="0.2">
      <c r="B21" s="4">
        <v>3</v>
      </c>
      <c r="C21" s="15">
        <v>45505</v>
      </c>
      <c r="D21" s="52">
        <f>389804-0</f>
        <v>389804</v>
      </c>
      <c r="E21" s="53">
        <f>563502.54+1462</f>
        <v>564964.54</v>
      </c>
      <c r="F21" s="16">
        <f t="shared" si="0"/>
        <v>-175160.54000000004</v>
      </c>
      <c r="G21" s="17">
        <f t="shared" si="1"/>
        <v>362271.22999999986</v>
      </c>
      <c r="I21" s="119">
        <v>45505</v>
      </c>
      <c r="J21" s="65">
        <v>136434</v>
      </c>
      <c r="K21" s="137">
        <f>137895.6-1462</f>
        <v>136433.60000000001</v>
      </c>
      <c r="L21" s="67">
        <f t="shared" si="2"/>
        <v>0.39999999999417923</v>
      </c>
      <c r="M21" s="67">
        <f>M20+L21</f>
        <v>0.39999999999417923</v>
      </c>
    </row>
    <row r="22" spans="2:13" x14ac:dyDescent="0.2">
      <c r="B22" s="4">
        <v>4</v>
      </c>
      <c r="C22" s="15">
        <v>45536</v>
      </c>
      <c r="D22" s="52">
        <f>378683-0</f>
        <v>378683</v>
      </c>
      <c r="E22" s="53">
        <f>491629.99</f>
        <v>491629.99</v>
      </c>
      <c r="F22" s="16">
        <f t="shared" si="0"/>
        <v>-112946.98999999999</v>
      </c>
      <c r="G22" s="17">
        <f t="shared" si="1"/>
        <v>249324.23999999987</v>
      </c>
      <c r="I22" s="119">
        <v>45536</v>
      </c>
      <c r="J22" s="65">
        <f>153409</f>
        <v>153409</v>
      </c>
      <c r="K22" s="65">
        <f>153408+1</f>
        <v>153409</v>
      </c>
      <c r="L22" s="67">
        <f t="shared" si="2"/>
        <v>0</v>
      </c>
      <c r="M22" s="67">
        <f t="shared" ref="M22:M25" si="3">M21+L22</f>
        <v>0.39999999999417923</v>
      </c>
    </row>
    <row r="23" spans="2:13" x14ac:dyDescent="0.2">
      <c r="B23" s="4">
        <v>5</v>
      </c>
      <c r="C23" s="15">
        <v>45566</v>
      </c>
      <c r="D23" s="52">
        <f>281876-546</f>
        <v>281330</v>
      </c>
      <c r="E23" s="53">
        <v>441635.41</v>
      </c>
      <c r="F23" s="16">
        <f t="shared" si="0"/>
        <v>-160305.40999999997</v>
      </c>
      <c r="G23" s="17">
        <f t="shared" si="1"/>
        <v>89018.8299999999</v>
      </c>
      <c r="I23" s="119">
        <v>45566</v>
      </c>
      <c r="J23" s="65">
        <v>125575</v>
      </c>
      <c r="K23" s="65">
        <v>125575</v>
      </c>
      <c r="L23" s="67">
        <f t="shared" si="2"/>
        <v>0</v>
      </c>
      <c r="M23" s="67">
        <f t="shared" si="3"/>
        <v>0.39999999999417923</v>
      </c>
    </row>
    <row r="24" spans="2:13" x14ac:dyDescent="0.2">
      <c r="B24" s="4">
        <v>6</v>
      </c>
      <c r="C24" s="15">
        <v>45597</v>
      </c>
      <c r="D24" s="52">
        <f>342460-581</f>
        <v>341879</v>
      </c>
      <c r="E24" s="53">
        <v>371935.34</v>
      </c>
      <c r="F24" s="16">
        <f t="shared" si="0"/>
        <v>-30056.340000000026</v>
      </c>
      <c r="G24" s="17">
        <f t="shared" si="1"/>
        <v>58962.489999999874</v>
      </c>
      <c r="I24" s="119">
        <v>45597</v>
      </c>
      <c r="J24" s="65">
        <v>118833</v>
      </c>
      <c r="K24" s="81">
        <v>118833</v>
      </c>
      <c r="L24" s="67">
        <f t="shared" si="2"/>
        <v>0</v>
      </c>
      <c r="M24" s="67">
        <f>M23+L24</f>
        <v>0.39999999999417923</v>
      </c>
    </row>
    <row r="25" spans="2:13" x14ac:dyDescent="0.2">
      <c r="B25" s="4">
        <v>7</v>
      </c>
      <c r="C25" s="15">
        <v>45627</v>
      </c>
      <c r="D25" s="52">
        <f>538190-687</f>
        <v>537503</v>
      </c>
      <c r="E25" s="53">
        <f>511614.29-1</f>
        <v>511613.29</v>
      </c>
      <c r="F25" s="18">
        <f t="shared" si="0"/>
        <v>25889.710000000021</v>
      </c>
      <c r="G25" s="19">
        <f t="shared" si="1"/>
        <v>84852.199999999895</v>
      </c>
      <c r="I25" s="121">
        <v>45627</v>
      </c>
      <c r="J25" s="81">
        <f>142276</f>
        <v>142276</v>
      </c>
      <c r="K25" s="85">
        <f>142275+1</f>
        <v>142276</v>
      </c>
      <c r="L25" s="70">
        <f t="shared" si="2"/>
        <v>0</v>
      </c>
      <c r="M25" s="70">
        <f t="shared" si="3"/>
        <v>0.39999999999417923</v>
      </c>
    </row>
    <row r="26" spans="2:13" x14ac:dyDescent="0.2">
      <c r="B26" s="20" t="s">
        <v>19</v>
      </c>
      <c r="C26" s="13">
        <v>45658</v>
      </c>
      <c r="D26" s="51">
        <f>698939-629</f>
        <v>698310</v>
      </c>
      <c r="E26" s="138">
        <f>711280.53-3870</f>
        <v>707410.53</v>
      </c>
      <c r="F26" s="14">
        <f t="shared" si="0"/>
        <v>-9100.5300000000279</v>
      </c>
      <c r="G26" s="12">
        <f t="shared" si="1"/>
        <v>75751.669999999867</v>
      </c>
      <c r="I26" s="119">
        <v>45658</v>
      </c>
      <c r="J26" s="82">
        <f>160364</f>
        <v>160364</v>
      </c>
      <c r="K26" s="139">
        <f>156494+3870</f>
        <v>160364</v>
      </c>
      <c r="L26" s="67">
        <f t="shared" si="2"/>
        <v>0</v>
      </c>
      <c r="M26" s="67">
        <f>M25+L26</f>
        <v>0.39999999999417923</v>
      </c>
    </row>
    <row r="27" spans="2:13" x14ac:dyDescent="0.2">
      <c r="B27" s="21" t="s">
        <v>20</v>
      </c>
      <c r="C27" s="22">
        <v>45689</v>
      </c>
      <c r="D27" s="86">
        <f>498158-476</f>
        <v>497682</v>
      </c>
      <c r="E27" s="18">
        <v>0</v>
      </c>
      <c r="F27" s="18">
        <f t="shared" si="0"/>
        <v>497682</v>
      </c>
      <c r="G27" s="19">
        <f t="shared" si="1"/>
        <v>573433.66999999993</v>
      </c>
      <c r="I27" s="121">
        <v>45689</v>
      </c>
      <c r="J27" s="87">
        <f>143574</f>
        <v>143574</v>
      </c>
      <c r="K27" s="70">
        <v>0</v>
      </c>
      <c r="L27" s="70">
        <f t="shared" si="2"/>
        <v>143574</v>
      </c>
      <c r="M27" s="70">
        <f>M26+L27</f>
        <v>143574.39999999999</v>
      </c>
    </row>
    <row r="28" spans="2:13" x14ac:dyDescent="0.2">
      <c r="B28" s="5"/>
      <c r="C28" s="23" t="s">
        <v>107</v>
      </c>
      <c r="D28" s="24"/>
      <c r="E28" s="24"/>
      <c r="F28" s="24"/>
      <c r="G28" s="25"/>
      <c r="I28" s="71"/>
      <c r="J28" s="71"/>
      <c r="K28" s="71"/>
      <c r="L28" s="71"/>
      <c r="M28" s="71"/>
    </row>
    <row r="29" spans="2:13" x14ac:dyDescent="0.2">
      <c r="B29" s="2"/>
      <c r="C29" s="1"/>
      <c r="D29" s="1"/>
      <c r="E29" s="1"/>
      <c r="F29" s="1"/>
      <c r="G29" s="12"/>
      <c r="I29" s="72" t="s">
        <v>49</v>
      </c>
      <c r="J29" s="73"/>
      <c r="K29" s="73"/>
      <c r="L29" s="74"/>
      <c r="M29" s="75">
        <f>M25</f>
        <v>0.39999999999417923</v>
      </c>
    </row>
    <row r="30" spans="2:13" x14ac:dyDescent="0.2">
      <c r="B30" s="4"/>
      <c r="C30" s="3"/>
      <c r="D30" s="4" t="s">
        <v>21</v>
      </c>
      <c r="E30" s="4" t="s">
        <v>22</v>
      </c>
      <c r="F30" s="3"/>
      <c r="G30" s="17"/>
      <c r="I30" s="71"/>
      <c r="J30" s="71"/>
      <c r="K30" s="71"/>
      <c r="L30" s="71"/>
      <c r="M30" s="76"/>
    </row>
    <row r="31" spans="2:13" x14ac:dyDescent="0.2">
      <c r="B31" s="4">
        <v>8</v>
      </c>
      <c r="C31" s="3"/>
      <c r="D31" s="4" t="s">
        <v>23</v>
      </c>
      <c r="E31" s="4" t="s">
        <v>24</v>
      </c>
      <c r="F31" s="3"/>
      <c r="G31" s="26" t="s">
        <v>21</v>
      </c>
      <c r="I31" s="72" t="s">
        <v>50</v>
      </c>
      <c r="J31" s="73"/>
      <c r="K31" s="73"/>
      <c r="L31" s="74"/>
      <c r="M31" s="75">
        <f>M29/6</f>
        <v>6.6666666665696539E-2</v>
      </c>
    </row>
    <row r="32" spans="2:13" x14ac:dyDescent="0.2">
      <c r="B32" s="4"/>
      <c r="C32" s="3"/>
      <c r="D32" s="4" t="s">
        <v>25</v>
      </c>
      <c r="E32" s="4" t="s">
        <v>26</v>
      </c>
      <c r="F32" s="3"/>
      <c r="G32" s="26" t="s">
        <v>27</v>
      </c>
    </row>
    <row r="33" spans="2:7" x14ac:dyDescent="0.2">
      <c r="B33" s="4"/>
      <c r="C33" s="3"/>
      <c r="D33" s="4" t="s">
        <v>28</v>
      </c>
      <c r="E33" s="4" t="s">
        <v>29</v>
      </c>
      <c r="F33" s="3"/>
      <c r="G33" s="26" t="s">
        <v>30</v>
      </c>
    </row>
    <row r="34" spans="2:7" x14ac:dyDescent="0.2">
      <c r="B34" s="5"/>
      <c r="C34" s="3"/>
      <c r="D34" s="4" t="s">
        <v>31</v>
      </c>
      <c r="E34" s="4" t="s">
        <v>32</v>
      </c>
      <c r="F34" s="3"/>
      <c r="G34" s="26" t="s">
        <v>33</v>
      </c>
    </row>
    <row r="35" spans="2:7" x14ac:dyDescent="0.2">
      <c r="B35" s="20" t="s">
        <v>34</v>
      </c>
      <c r="C35" s="1" t="s">
        <v>95</v>
      </c>
      <c r="D35" s="12">
        <f t="shared" ref="D35:D40" si="4">-G13</f>
        <v>-256064</v>
      </c>
      <c r="E35" s="12">
        <f>D70</f>
        <v>256064</v>
      </c>
      <c r="F35" s="1"/>
      <c r="G35" s="12">
        <f t="shared" ref="G35:G40" si="5">D35+E35</f>
        <v>0</v>
      </c>
    </row>
    <row r="36" spans="2:7" x14ac:dyDescent="0.2">
      <c r="B36" s="27" t="s">
        <v>35</v>
      </c>
      <c r="C36" s="3" t="s">
        <v>83</v>
      </c>
      <c r="D36" s="17">
        <f t="shared" si="4"/>
        <v>-130670.82999999996</v>
      </c>
      <c r="E36" s="17">
        <v>0</v>
      </c>
      <c r="F36" s="3"/>
      <c r="G36" s="17">
        <f t="shared" si="5"/>
        <v>-130670.82999999996</v>
      </c>
    </row>
    <row r="37" spans="2:7" x14ac:dyDescent="0.2">
      <c r="B37" s="27" t="s">
        <v>84</v>
      </c>
      <c r="C37" s="3" t="s">
        <v>89</v>
      </c>
      <c r="D37" s="17">
        <f t="shared" si="4"/>
        <v>-194499.80000000016</v>
      </c>
      <c r="E37" s="17">
        <v>0</v>
      </c>
      <c r="F37" s="3"/>
      <c r="G37" s="17">
        <f t="shared" si="5"/>
        <v>-194499.80000000016</v>
      </c>
    </row>
    <row r="38" spans="2:7" x14ac:dyDescent="0.2">
      <c r="B38" s="27" t="s">
        <v>90</v>
      </c>
      <c r="C38" s="3" t="s">
        <v>96</v>
      </c>
      <c r="D38" s="17">
        <f t="shared" si="4"/>
        <v>45508.470000000088</v>
      </c>
      <c r="E38" s="17">
        <v>0</v>
      </c>
      <c r="F38" s="3"/>
      <c r="G38" s="17">
        <f t="shared" si="5"/>
        <v>45508.470000000088</v>
      </c>
    </row>
    <row r="39" spans="2:7" x14ac:dyDescent="0.2">
      <c r="B39" s="27" t="s">
        <v>97</v>
      </c>
      <c r="C39" s="3" t="s">
        <v>102</v>
      </c>
      <c r="D39" s="17">
        <f t="shared" si="4"/>
        <v>-157.42999999981839</v>
      </c>
      <c r="E39" s="17">
        <v>0</v>
      </c>
      <c r="F39" s="3"/>
      <c r="G39" s="17">
        <f t="shared" si="5"/>
        <v>-157.42999999981839</v>
      </c>
    </row>
    <row r="40" spans="2:7" x14ac:dyDescent="0.2">
      <c r="B40" s="27" t="s">
        <v>103</v>
      </c>
      <c r="C40" s="28" t="s">
        <v>108</v>
      </c>
      <c r="D40" s="19">
        <f t="shared" si="4"/>
        <v>-261407.05000000005</v>
      </c>
      <c r="E40" s="19">
        <v>0</v>
      </c>
      <c r="F40" s="28"/>
      <c r="G40" s="19">
        <f t="shared" si="5"/>
        <v>-261407.05000000005</v>
      </c>
    </row>
    <row r="41" spans="2:7" x14ac:dyDescent="0.2">
      <c r="B41" s="5" t="s">
        <v>109</v>
      </c>
      <c r="C41" s="29"/>
      <c r="D41" s="30"/>
      <c r="E41" s="30"/>
      <c r="F41" s="31" t="s">
        <v>36</v>
      </c>
      <c r="G41" s="19">
        <f>G35+G36+G37+G38+G39+G40</f>
        <v>-541226.6399999999</v>
      </c>
    </row>
    <row r="42" spans="2:7" x14ac:dyDescent="0.2">
      <c r="B42" s="32"/>
      <c r="G42" s="33"/>
    </row>
    <row r="43" spans="2:7" x14ac:dyDescent="0.2">
      <c r="B43" s="6">
        <v>9</v>
      </c>
      <c r="C43" s="34" t="s">
        <v>110</v>
      </c>
      <c r="D43" s="8"/>
      <c r="E43" s="8"/>
      <c r="F43" s="9"/>
      <c r="G43" s="35">
        <f>G25+G41</f>
        <v>-456374.44</v>
      </c>
    </row>
    <row r="44" spans="2:7" x14ac:dyDescent="0.2">
      <c r="B44" s="32"/>
      <c r="G44" s="33"/>
    </row>
    <row r="45" spans="2:7" x14ac:dyDescent="0.2">
      <c r="B45" s="6">
        <v>10</v>
      </c>
      <c r="C45" s="34" t="s">
        <v>78</v>
      </c>
      <c r="D45" s="8"/>
      <c r="E45" s="8"/>
      <c r="F45" s="9"/>
      <c r="G45" s="35">
        <f>G43/6</f>
        <v>-76062.406666666662</v>
      </c>
    </row>
    <row r="47" spans="2:7" x14ac:dyDescent="0.2">
      <c r="B47" s="1"/>
      <c r="C47" s="36" t="s">
        <v>37</v>
      </c>
      <c r="D47" s="37"/>
      <c r="E47" s="37"/>
      <c r="F47" s="37"/>
      <c r="G47" s="38"/>
    </row>
    <row r="48" spans="2:7" x14ac:dyDescent="0.2">
      <c r="B48" s="1"/>
      <c r="C48" s="39"/>
      <c r="D48" s="39"/>
      <c r="E48" s="39"/>
      <c r="F48" s="39"/>
      <c r="G48" s="11"/>
    </row>
    <row r="49" spans="2:7" x14ac:dyDescent="0.2">
      <c r="B49" s="4">
        <v>11</v>
      </c>
      <c r="C49" t="s">
        <v>38</v>
      </c>
      <c r="G49" s="41">
        <f>G19</f>
        <v>797290.6399999999</v>
      </c>
    </row>
    <row r="50" spans="2:7" x14ac:dyDescent="0.2">
      <c r="B50" s="4">
        <v>12</v>
      </c>
      <c r="C50" t="s">
        <v>39</v>
      </c>
      <c r="G50" s="42">
        <f>G41</f>
        <v>-541226.6399999999</v>
      </c>
    </row>
    <row r="51" spans="2:7" x14ac:dyDescent="0.2">
      <c r="B51" s="4"/>
      <c r="G51" s="41"/>
    </row>
    <row r="52" spans="2:7" ht="15" thickBot="1" x14ac:dyDescent="0.25">
      <c r="B52" s="4">
        <v>13</v>
      </c>
      <c r="C52" t="s">
        <v>40</v>
      </c>
      <c r="G52" s="43">
        <f>G49+G50</f>
        <v>256064</v>
      </c>
    </row>
    <row r="53" spans="2:7" ht="15" thickTop="1" x14ac:dyDescent="0.2">
      <c r="B53" s="4"/>
      <c r="G53" s="41"/>
    </row>
    <row r="54" spans="2:7" x14ac:dyDescent="0.2">
      <c r="B54" s="4">
        <v>14</v>
      </c>
      <c r="C54" t="s">
        <v>41</v>
      </c>
      <c r="G54" s="41">
        <f>G43</f>
        <v>-456374.44</v>
      </c>
    </row>
    <row r="55" spans="2:7" x14ac:dyDescent="0.2">
      <c r="B55" s="4"/>
      <c r="G55" s="41"/>
    </row>
    <row r="56" spans="2:7" x14ac:dyDescent="0.2">
      <c r="B56" s="4">
        <v>15</v>
      </c>
      <c r="C56" t="s">
        <v>42</v>
      </c>
      <c r="G56" s="42">
        <f>SUM(F20:F25)</f>
        <v>-712438.44000000018</v>
      </c>
    </row>
    <row r="57" spans="2:7" x14ac:dyDescent="0.2">
      <c r="B57" s="4"/>
      <c r="G57" s="41"/>
    </row>
    <row r="58" spans="2:7" ht="15" thickBot="1" x14ac:dyDescent="0.25">
      <c r="B58" s="4">
        <v>16</v>
      </c>
      <c r="C58" t="s">
        <v>43</v>
      </c>
      <c r="G58" s="43">
        <f>G54-G56</f>
        <v>256064.00000000017</v>
      </c>
    </row>
    <row r="59" spans="2:7" ht="15" thickTop="1" x14ac:dyDescent="0.2">
      <c r="B59" s="28"/>
      <c r="C59" s="44"/>
      <c r="D59" s="44"/>
      <c r="E59" s="44"/>
      <c r="F59" s="44"/>
      <c r="G59" s="45"/>
    </row>
    <row r="61" spans="2:7" x14ac:dyDescent="0.2">
      <c r="B61" t="s">
        <v>44</v>
      </c>
    </row>
    <row r="62" spans="2:7" x14ac:dyDescent="0.2">
      <c r="B62" s="32"/>
      <c r="C62" s="1"/>
      <c r="D62" s="2" t="s">
        <v>45</v>
      </c>
      <c r="E62" s="27"/>
      <c r="F62" s="32"/>
      <c r="G62" s="32"/>
    </row>
    <row r="63" spans="2:7" x14ac:dyDescent="0.2">
      <c r="B63" s="32"/>
      <c r="C63" s="5" t="s">
        <v>10</v>
      </c>
      <c r="D63" s="5" t="s">
        <v>79</v>
      </c>
      <c r="E63" s="27"/>
      <c r="F63" s="32"/>
      <c r="G63" s="32"/>
    </row>
    <row r="64" spans="2:7" x14ac:dyDescent="0.2">
      <c r="C64" s="13">
        <v>45474</v>
      </c>
      <c r="D64" s="12">
        <v>128032</v>
      </c>
      <c r="E64" s="16"/>
      <c r="F64" s="33"/>
      <c r="G64" s="33"/>
    </row>
    <row r="65" spans="3:7" x14ac:dyDescent="0.2">
      <c r="C65" s="15">
        <v>45505</v>
      </c>
      <c r="D65" s="17">
        <v>128032</v>
      </c>
      <c r="E65" s="16"/>
      <c r="F65" s="33"/>
      <c r="G65" s="33"/>
    </row>
    <row r="66" spans="3:7" x14ac:dyDescent="0.2">
      <c r="C66" s="15">
        <v>45536</v>
      </c>
      <c r="D66" s="17">
        <v>0</v>
      </c>
      <c r="E66" s="16"/>
      <c r="F66" s="33"/>
      <c r="G66" s="33"/>
    </row>
    <row r="67" spans="3:7" x14ac:dyDescent="0.2">
      <c r="C67" s="15">
        <v>45566</v>
      </c>
      <c r="D67" s="17">
        <v>0</v>
      </c>
      <c r="E67" s="16"/>
      <c r="F67" s="33"/>
      <c r="G67" s="33"/>
    </row>
    <row r="68" spans="3:7" x14ac:dyDescent="0.2">
      <c r="C68" s="15">
        <v>45597</v>
      </c>
      <c r="D68" s="17">
        <v>0</v>
      </c>
      <c r="E68" s="16"/>
      <c r="F68" s="33"/>
      <c r="G68" s="33"/>
    </row>
    <row r="69" spans="3:7" x14ac:dyDescent="0.2">
      <c r="C69" s="15">
        <v>45627</v>
      </c>
      <c r="D69" s="19">
        <v>0</v>
      </c>
      <c r="E69" s="16"/>
      <c r="F69" s="33"/>
      <c r="G69" s="33"/>
    </row>
    <row r="70" spans="3:7" x14ac:dyDescent="0.2">
      <c r="C70" s="49" t="s">
        <v>46</v>
      </c>
      <c r="D70" s="35">
        <f>SUM(D64:D69)</f>
        <v>256064</v>
      </c>
      <c r="E70" s="16"/>
      <c r="F70" s="33"/>
      <c r="G70" s="33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05-31-25</vt:lpstr>
      <vt:lpstr>2025-00013 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dcterms:created xsi:type="dcterms:W3CDTF">2022-06-13T11:58:16Z</dcterms:created>
  <dcterms:modified xsi:type="dcterms:W3CDTF">2025-10-15T15:53:48Z</dcterms:modified>
</cp:coreProperties>
</file>