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4E0BF62A-B97B-4825-BD18-38BD182E5FD8}" xr6:coauthVersionLast="47" xr6:coauthVersionMax="47" xr10:uidLastSave="{00000000-0000-0000-0000-000000000000}"/>
  <bookViews>
    <workbookView xWindow="4890" yWindow="4890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/>
  <c r="D35" i="15"/>
  <c r="G35" i="15" s="1"/>
  <c r="F27" i="15"/>
  <c r="F26" i="15"/>
  <c r="D26" i="15"/>
  <c r="D25" i="15"/>
  <c r="F25" i="15" s="1"/>
  <c r="D24" i="15"/>
  <c r="F24" i="15" s="1"/>
  <c r="F23" i="15"/>
  <c r="D23" i="15"/>
  <c r="F22" i="15"/>
  <c r="D22" i="15"/>
  <c r="D21" i="15"/>
  <c r="F21" i="15" s="1"/>
  <c r="D20" i="15"/>
  <c r="F20" i="15" s="1"/>
  <c r="G56" i="15" s="1"/>
  <c r="D68" i="14"/>
  <c r="E34" i="14" s="1"/>
  <c r="G34" i="14" s="1"/>
  <c r="D34" i="14"/>
  <c r="D26" i="14"/>
  <c r="F26" i="14" s="1"/>
  <c r="D25" i="14"/>
  <c r="F25" i="14" s="1"/>
  <c r="D24" i="14"/>
  <c r="F24" i="14" s="1"/>
  <c r="D23" i="14"/>
  <c r="F23" i="14" s="1"/>
  <c r="D22" i="14"/>
  <c r="F22" i="14" s="1"/>
  <c r="D21" i="14"/>
  <c r="F21" i="14" s="1"/>
  <c r="D20" i="14"/>
  <c r="F20" i="14" s="1"/>
  <c r="D19" i="14"/>
  <c r="F19" i="14" s="1"/>
  <c r="D66" i="13"/>
  <c r="E33" i="13" s="1"/>
  <c r="D33" i="13"/>
  <c r="G33" i="13" s="1"/>
  <c r="D25" i="13"/>
  <c r="F25" i="13" s="1"/>
  <c r="D24" i="13"/>
  <c r="F24" i="13" s="1"/>
  <c r="D23" i="13"/>
  <c r="F23" i="13" s="1"/>
  <c r="D22" i="13"/>
  <c r="F22" i="13" s="1"/>
  <c r="D21" i="13"/>
  <c r="F21" i="13" s="1"/>
  <c r="D20" i="13"/>
  <c r="F20" i="13" s="1"/>
  <c r="D19" i="13"/>
  <c r="F19" i="13" s="1"/>
  <c r="D18" i="13"/>
  <c r="F18" i="13" s="1"/>
  <c r="G52" i="13" s="1"/>
  <c r="D64" i="12"/>
  <c r="E32" i="12"/>
  <c r="G32" i="12" s="1"/>
  <c r="D32" i="12"/>
  <c r="F24" i="12"/>
  <c r="D24" i="12"/>
  <c r="D23" i="12"/>
  <c r="F23" i="12" s="1"/>
  <c r="D22" i="12"/>
  <c r="F22" i="12" s="1"/>
  <c r="F21" i="12"/>
  <c r="D21" i="12"/>
  <c r="F20" i="12"/>
  <c r="D20" i="12"/>
  <c r="D19" i="12"/>
  <c r="F19" i="12" s="1"/>
  <c r="D18" i="12"/>
  <c r="F18" i="12" s="1"/>
  <c r="F17" i="12"/>
  <c r="D17" i="12"/>
  <c r="D62" i="11"/>
  <c r="E31" i="11"/>
  <c r="D31" i="11"/>
  <c r="G31" i="11" s="1"/>
  <c r="D23" i="11"/>
  <c r="F23" i="11" s="1"/>
  <c r="D22" i="11"/>
  <c r="F22" i="11" s="1"/>
  <c r="D21" i="11"/>
  <c r="F21" i="11" s="1"/>
  <c r="D20" i="11"/>
  <c r="F20" i="11" s="1"/>
  <c r="D19" i="11"/>
  <c r="F19" i="11" s="1"/>
  <c r="D18" i="11"/>
  <c r="F18" i="11" s="1"/>
  <c r="D17" i="11"/>
  <c r="F17" i="11" s="1"/>
  <c r="D16" i="11"/>
  <c r="F16" i="11" s="1"/>
  <c r="D60" i="10"/>
  <c r="E30" i="10" s="1"/>
  <c r="G39" i="10"/>
  <c r="D30" i="10"/>
  <c r="G30" i="10" s="1"/>
  <c r="G31" i="10" s="1"/>
  <c r="G40" i="10" s="1"/>
  <c r="D22" i="10"/>
  <c r="F22" i="10" s="1"/>
  <c r="F21" i="10"/>
  <c r="D21" i="10"/>
  <c r="D20" i="10"/>
  <c r="F20" i="10" s="1"/>
  <c r="D19" i="10"/>
  <c r="F19" i="10" s="1"/>
  <c r="D18" i="10"/>
  <c r="F18" i="10" s="1"/>
  <c r="F17" i="10"/>
  <c r="D17" i="10"/>
  <c r="D16" i="10"/>
  <c r="F16" i="10" s="1"/>
  <c r="D15" i="10"/>
  <c r="F15" i="10" s="1"/>
  <c r="G14" i="10"/>
  <c r="G35" i="8"/>
  <c r="D22" i="8"/>
  <c r="D21" i="8"/>
  <c r="D20" i="8"/>
  <c r="D19" i="8"/>
  <c r="D18" i="8"/>
  <c r="D17" i="8"/>
  <c r="D16" i="8"/>
  <c r="G42" i="10" l="1"/>
  <c r="G46" i="10"/>
  <c r="G15" i="10"/>
  <c r="G16" i="10" s="1"/>
  <c r="G17" i="10" s="1"/>
  <c r="G18" i="10" s="1"/>
  <c r="G19" i="10" s="1"/>
  <c r="G20" i="10" s="1"/>
  <c r="G48" i="11"/>
  <c r="G50" i="12"/>
  <c r="G54" i="14"/>
  <c r="D15" i="8"/>
  <c r="G14" i="8"/>
  <c r="D60" i="8"/>
  <c r="E30" i="8" s="1"/>
  <c r="G21" i="10" l="1"/>
  <c r="G22" i="10" s="1"/>
  <c r="G33" i="10"/>
  <c r="D30" i="8"/>
  <c r="G30" i="8" s="1"/>
  <c r="G31" i="8" s="1"/>
  <c r="F22" i="8"/>
  <c r="F21" i="8"/>
  <c r="F20" i="8"/>
  <c r="F19" i="8"/>
  <c r="F18" i="8"/>
  <c r="F17" i="8"/>
  <c r="F16" i="8"/>
  <c r="F15" i="8"/>
  <c r="G44" i="10" l="1"/>
  <c r="G48" i="10" s="1"/>
  <c r="G14" i="14"/>
  <c r="G14" i="15"/>
  <c r="G14" i="12"/>
  <c r="G14" i="13"/>
  <c r="G14" i="11"/>
  <c r="E8" i="9"/>
  <c r="G35" i="10"/>
  <c r="G46" i="8"/>
  <c r="F8" i="9" l="1"/>
  <c r="D32" i="11"/>
  <c r="G32" i="11" s="1"/>
  <c r="G33" i="11" s="1"/>
  <c r="G42" i="11" s="1"/>
  <c r="G15" i="11"/>
  <c r="D34" i="13"/>
  <c r="G34" i="13" s="1"/>
  <c r="D33" i="12"/>
  <c r="G33" i="12" s="1"/>
  <c r="D36" i="15"/>
  <c r="G36" i="15" s="1"/>
  <c r="D35" i="14"/>
  <c r="G35" i="14" s="1"/>
  <c r="G40" i="8"/>
  <c r="G41" i="11" l="1"/>
  <c r="G44" i="11" s="1"/>
  <c r="G16" i="11"/>
  <c r="G17" i="11" s="1"/>
  <c r="G18" i="11" s="1"/>
  <c r="G19" i="11" s="1"/>
  <c r="G20" i="11" s="1"/>
  <c r="G21" i="11" s="1"/>
  <c r="G39" i="8"/>
  <c r="G42" i="8" s="1"/>
  <c r="G15" i="8"/>
  <c r="G16" i="8" s="1"/>
  <c r="G17" i="8" s="1"/>
  <c r="G18" i="8" s="1"/>
  <c r="G19" i="8" s="1"/>
  <c r="G20" i="8" s="1"/>
  <c r="G35" i="11" l="1"/>
  <c r="G22" i="11"/>
  <c r="G23" i="11" s="1"/>
  <c r="G21" i="8"/>
  <c r="G22" i="8" s="1"/>
  <c r="G33" i="8"/>
  <c r="G37" i="11" l="1"/>
  <c r="G15" i="15"/>
  <c r="G15" i="12"/>
  <c r="E9" i="9"/>
  <c r="G15" i="14"/>
  <c r="G15" i="13"/>
  <c r="G46" i="11"/>
  <c r="G50" i="11" s="1"/>
  <c r="G44" i="8"/>
  <c r="G48" i="8" s="1"/>
  <c r="D35" i="13" l="1"/>
  <c r="G35" i="13" s="1"/>
  <c r="D36" i="14"/>
  <c r="G36" i="14" s="1"/>
  <c r="F9" i="9"/>
  <c r="D34" i="12"/>
  <c r="G34" i="12" s="1"/>
  <c r="G35" i="12" s="1"/>
  <c r="G44" i="12" s="1"/>
  <c r="G16" i="12"/>
  <c r="D37" i="15"/>
  <c r="G37" i="15" s="1"/>
  <c r="G17" i="12" l="1"/>
  <c r="G18" i="12" s="1"/>
  <c r="G19" i="12" s="1"/>
  <c r="G20" i="12" s="1"/>
  <c r="G21" i="12" s="1"/>
  <c r="G22" i="12" s="1"/>
  <c r="G43" i="12"/>
  <c r="G46" i="12" s="1"/>
  <c r="G37" i="12" l="1"/>
  <c r="G23" i="12"/>
  <c r="G24" i="12" s="1"/>
  <c r="G16" i="15" l="1"/>
  <c r="E10" i="9"/>
  <c r="G39" i="12"/>
  <c r="G16" i="14"/>
  <c r="G16" i="13"/>
  <c r="G48" i="12"/>
  <c r="G52" i="12" s="1"/>
  <c r="D36" i="13" l="1"/>
  <c r="G36" i="13" s="1"/>
  <c r="G37" i="13" s="1"/>
  <c r="G46" i="13" s="1"/>
  <c r="G17" i="13"/>
  <c r="D37" i="14"/>
  <c r="G37" i="14" s="1"/>
  <c r="F10" i="9"/>
  <c r="D38" i="15"/>
  <c r="G38" i="15" s="1"/>
  <c r="G18" i="13" l="1"/>
  <c r="G19" i="13" s="1"/>
  <c r="G20" i="13" s="1"/>
  <c r="G21" i="13" s="1"/>
  <c r="G22" i="13" s="1"/>
  <c r="G23" i="13" s="1"/>
  <c r="G45" i="13"/>
  <c r="G48" i="13" s="1"/>
  <c r="G24" i="13" l="1"/>
  <c r="G25" i="13" s="1"/>
  <c r="G39" i="13"/>
  <c r="G17" i="15" l="1"/>
  <c r="G50" i="13"/>
  <c r="G54" i="13" s="1"/>
  <c r="E11" i="9"/>
  <c r="G17" i="14"/>
  <c r="G41" i="13"/>
  <c r="D38" i="14" l="1"/>
  <c r="G38" i="14" s="1"/>
  <c r="G39" i="14" s="1"/>
  <c r="G48" i="14" s="1"/>
  <c r="G18" i="14"/>
  <c r="F11" i="9"/>
  <c r="D39" i="15"/>
  <c r="G39" i="15" s="1"/>
  <c r="G47" i="14" l="1"/>
  <c r="G50" i="14" s="1"/>
  <c r="G19" i="14"/>
  <c r="G20" i="14" s="1"/>
  <c r="G21" i="14" s="1"/>
  <c r="G22" i="14" s="1"/>
  <c r="G23" i="14" s="1"/>
  <c r="G24" i="14" s="1"/>
  <c r="G41" i="14" l="1"/>
  <c r="G25" i="14"/>
  <c r="G26" i="14" s="1"/>
  <c r="G43" i="14" l="1"/>
  <c r="G18" i="15"/>
  <c r="G52" i="14"/>
  <c r="G56" i="14" s="1"/>
  <c r="E12" i="9"/>
  <c r="F12" i="9" l="1"/>
  <c r="D40" i="15"/>
  <c r="G40" i="15" s="1"/>
  <c r="G41" i="15" s="1"/>
  <c r="G50" i="15" s="1"/>
  <c r="G19" i="15"/>
  <c r="G20" i="15" l="1"/>
  <c r="G21" i="15" s="1"/>
  <c r="G22" i="15" s="1"/>
  <c r="G23" i="15" s="1"/>
  <c r="G24" i="15" s="1"/>
  <c r="G25" i="15" s="1"/>
  <c r="G49" i="15"/>
  <c r="G52" i="15" s="1"/>
  <c r="G26" i="15" l="1"/>
  <c r="G27" i="15" s="1"/>
  <c r="G43" i="15"/>
  <c r="G45" i="15" l="1"/>
  <c r="E13" i="9"/>
  <c r="G54" i="15"/>
  <c r="G58" i="15" s="1"/>
  <c r="F13" i="9" l="1"/>
  <c r="E15" i="9"/>
  <c r="E24" i="9" l="1"/>
  <c r="F15" i="9"/>
  <c r="E22" i="9"/>
</calcChain>
</file>

<file path=xl/sharedStrings.xml><?xml version="1.0" encoding="utf-8"?>
<sst xmlns="http://schemas.openxmlformats.org/spreadsheetml/2006/main" count="481" uniqueCount="105">
  <si>
    <t>Salt River - Calculation of (Over)/Under Recovery</t>
  </si>
  <si>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</si>
  <si>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</si>
  <si>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</si>
  <si>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</si>
  <si>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</si>
  <si>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</si>
  <si>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</si>
  <si>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</si>
  <si>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</si>
  <si>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</si>
  <si>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</si>
  <si>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</si>
  <si>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</si>
  <si>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</si>
  <si>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</si>
  <si>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</si>
  <si>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</si>
  <si>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</si>
  <si>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</si>
  <si>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</si>
  <si>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</si>
  <si>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</si>
  <si>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</si>
  <si>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</si>
  <si>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</si>
  <si>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</si>
  <si>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</si>
  <si>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</si>
  <si>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</si>
  <si>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</si>
  <si>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</si>
  <si>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</si>
  <si>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</si>
  <si>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</si>
  <si>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</si>
  <si>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</si>
  <si>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</si>
  <si>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</si>
  <si>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</si>
  <si>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</si>
  <si>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</si>
  <si>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</si>
  <si>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</si>
  <si>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</si>
  <si>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</si>
  <si>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1g</t>
  </si>
  <si>
    <t>8g</t>
  </si>
  <si>
    <t>Cumulative six month (Over)/Under-Recovery [Cumulative net of remaining Case amortizations (Ln 7&amp;8b)]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</si>
  <si>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</si>
  <si>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</si>
  <si>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</si>
  <si>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2025-00013</t>
  </si>
  <si>
    <t>Monthly recovery (per month for six months)</t>
  </si>
  <si>
    <t>Staff DR1 Response 2 - Salt River Surcharge Summary.xlsx</t>
  </si>
  <si>
    <t>Salt River Electric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</si>
  <si>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</si>
  <si>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</si>
  <si>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</si>
  <si>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</si>
  <si>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</si>
  <si>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</si>
  <si>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</si>
  <si>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</si>
  <si>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</si>
  <si>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</si>
  <si>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</si>
  <si>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</si>
  <si>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</si>
  <si>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</si>
  <si>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1b</t>
  </si>
  <si>
    <t>Less Adjustment for Order amounts remaining to be amortized at end of review period June 2022</t>
  </si>
  <si>
    <t>Case No. 2022-00141 Recovery</t>
  </si>
  <si>
    <t>8b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</si>
  <si>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</si>
  <si>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</si>
  <si>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</si>
  <si>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</si>
  <si>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</si>
  <si>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</si>
  <si>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</si>
  <si>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</si>
  <si>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</si>
  <si>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</si>
  <si>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</si>
  <si>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</si>
  <si>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</si>
  <si>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</si>
  <si>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</si>
  <si>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</si>
  <si>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</si>
  <si>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</si>
  <si>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</si>
  <si>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</si>
  <si>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</si>
  <si>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</si>
  <si>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</si>
  <si>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</si>
  <si>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</si>
  <si>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</si>
  <si>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</si>
  <si>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</si>
  <si>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Less Adjustment for Order amounts remaining to be amortized at end of review period December 2024</t>
  </si>
  <si>
    <t>From Tab "E - 05-31-24" Recovery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</si>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</sst>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5" fontId="0" fillId="3" borderId="14" xfId="0" applyNumberForma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5" fontId="0" fillId="3" borderId="10" xfId="0" applyNumberForma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0"/>
  <sheetViews>
    <sheetView tabSelected="1"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10" x14ac:dyDescent="0.2">
      <c r="A1" t="s">
        <v>54</v>
      </c>
    </row>
    <row r="4" spans="1:10" ht="14.25" customHeight="1" x14ac:dyDescent="0.2">
      <c r="B4" s="63" t="s">
        <v>0</v>
      </c>
      <c r="C4" s="64"/>
      <c r="D4" s="64"/>
      <c r="E4" s="64"/>
      <c r="F4" s="64"/>
      <c r="G4" s="65"/>
    </row>
    <row r="5" spans="1:10" ht="14.25" customHeight="1" x14ac:dyDescent="0.2">
      <c r="B5" s="66"/>
      <c r="C5" s="67"/>
      <c r="D5" s="67"/>
      <c r="E5" s="67"/>
      <c r="F5" s="67"/>
      <c r="G5" s="68"/>
    </row>
    <row r="7" spans="1:10" x14ac:dyDescent="0.2">
      <c r="B7" s="1"/>
      <c r="C7" s="1"/>
      <c r="D7" s="1"/>
      <c r="E7" s="2" t="s">
        <v>1</v>
      </c>
      <c r="F7" s="1"/>
      <c r="G7" s="1"/>
    </row>
    <row r="8" spans="1:10" x14ac:dyDescent="0.2">
      <c r="B8" s="3"/>
      <c r="C8" s="3"/>
      <c r="D8" s="4" t="s">
        <v>2</v>
      </c>
      <c r="E8" s="4" t="s">
        <v>3</v>
      </c>
      <c r="F8" s="3"/>
      <c r="G8" s="3"/>
    </row>
    <row r="9" spans="1:10" x14ac:dyDescent="0.2">
      <c r="B9" s="3"/>
      <c r="C9" s="3"/>
      <c r="D9" s="4" t="s">
        <v>4</v>
      </c>
      <c r="E9" s="4" t="s">
        <v>5</v>
      </c>
      <c r="F9" s="4" t="s">
        <v>6</v>
      </c>
      <c r="G9" s="4" t="s">
        <v>7</v>
      </c>
    </row>
    <row r="10" spans="1:10" x14ac:dyDescent="0.2">
      <c r="B10" s="5"/>
      <c r="C10" s="50"/>
      <c r="D10" s="5" t="s">
        <v>8</v>
      </c>
      <c r="E10" s="5" t="s">
        <v>8</v>
      </c>
      <c r="F10" s="5" t="s">
        <v>9</v>
      </c>
      <c r="G10" s="5" t="s">
        <v>9</v>
      </c>
    </row>
    <row r="11" spans="1:10" x14ac:dyDescent="0.2">
      <c r="B11" s="6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</row>
    <row r="12" spans="1:10" x14ac:dyDescent="0.2">
      <c r="B12" s="2">
        <v>1</v>
      </c>
      <c r="C12" s="69" t="s">
        <v>16</v>
      </c>
      <c r="D12" s="70"/>
      <c r="E12" s="70"/>
      <c r="F12" s="70"/>
      <c r="G12" s="71"/>
    </row>
    <row r="13" spans="1:10" x14ac:dyDescent="0.2">
      <c r="B13" s="2" t="s">
        <v>17</v>
      </c>
      <c r="C13" s="8" t="s">
        <v>49</v>
      </c>
      <c r="D13" s="8"/>
      <c r="E13" s="8"/>
      <c r="F13" s="9"/>
      <c r="G13" s="10">
        <v>-614526</v>
      </c>
    </row>
    <row r="14" spans="1:10" x14ac:dyDescent="0.2">
      <c r="A14" s="58"/>
      <c r="B14" s="5" t="s">
        <v>46</v>
      </c>
      <c r="C14" s="8" t="s">
        <v>18</v>
      </c>
      <c r="D14" s="8"/>
      <c r="E14" s="8"/>
      <c r="F14" s="11"/>
      <c r="G14" s="12">
        <f>G13</f>
        <v>-614526</v>
      </c>
      <c r="H14" s="59"/>
    </row>
    <row r="15" spans="1:10" x14ac:dyDescent="0.2">
      <c r="A15" s="32"/>
      <c r="B15" s="4">
        <v>2</v>
      </c>
      <c r="C15" s="13">
        <v>45658</v>
      </c>
      <c r="D15" s="51">
        <f>2346994-1031-9156</f>
        <v>2336807</v>
      </c>
      <c r="E15" s="52">
        <v>2284277.09</v>
      </c>
      <c r="F15" s="14">
        <f t="shared" ref="F15:F22" si="0">D15-E15</f>
        <v>52529.910000000149</v>
      </c>
      <c r="G15" s="12">
        <f t="shared" ref="G15:G22" si="1">G14+F15</f>
        <v>-561996.08999999985</v>
      </c>
      <c r="H15" s="32"/>
      <c r="J15" s="33"/>
    </row>
    <row r="16" spans="1:10" x14ac:dyDescent="0.2">
      <c r="B16" s="4">
        <v>3</v>
      </c>
      <c r="C16" s="15">
        <v>45689</v>
      </c>
      <c r="D16" s="53">
        <f>1735703-773-1412</f>
        <v>1733518</v>
      </c>
      <c r="E16" s="60">
        <v>1845555.89</v>
      </c>
      <c r="F16" s="16">
        <f t="shared" si="0"/>
        <v>-112037.8899999999</v>
      </c>
      <c r="G16" s="17">
        <f t="shared" si="1"/>
        <v>-674033.97999999975</v>
      </c>
    </row>
    <row r="17" spans="2:10" x14ac:dyDescent="0.2">
      <c r="B17" s="4">
        <v>4</v>
      </c>
      <c r="C17" s="15">
        <v>45717</v>
      </c>
      <c r="D17" s="53">
        <f>718498-439-4568</f>
        <v>713491</v>
      </c>
      <c r="E17" s="60">
        <v>1165314.1499999999</v>
      </c>
      <c r="F17" s="16">
        <f t="shared" si="0"/>
        <v>-451823.14999999991</v>
      </c>
      <c r="G17" s="17">
        <f t="shared" si="1"/>
        <v>-1125857.1299999997</v>
      </c>
      <c r="J17" s="33"/>
    </row>
    <row r="18" spans="2:10" x14ac:dyDescent="0.2">
      <c r="B18" s="4">
        <v>5</v>
      </c>
      <c r="C18" s="15">
        <v>45748</v>
      </c>
      <c r="D18" s="53">
        <f>807369-609-2844</f>
        <v>803916</v>
      </c>
      <c r="E18" s="60">
        <v>740603.09</v>
      </c>
      <c r="F18" s="16">
        <f t="shared" si="0"/>
        <v>63312.910000000033</v>
      </c>
      <c r="G18" s="17">
        <f t="shared" si="1"/>
        <v>-1062544.2199999997</v>
      </c>
    </row>
    <row r="19" spans="2:10" x14ac:dyDescent="0.2">
      <c r="B19" s="4">
        <v>6</v>
      </c>
      <c r="C19" s="15">
        <v>45778</v>
      </c>
      <c r="D19" s="53">
        <f>1178782-904-6946</f>
        <v>1170932</v>
      </c>
      <c r="E19" s="60">
        <v>922997.26</v>
      </c>
      <c r="F19" s="16">
        <f t="shared" si="0"/>
        <v>247934.74</v>
      </c>
      <c r="G19" s="17">
        <f t="shared" si="1"/>
        <v>-814609.47999999975</v>
      </c>
      <c r="J19" s="33"/>
    </row>
    <row r="20" spans="2:10" x14ac:dyDescent="0.2">
      <c r="B20" s="4">
        <v>7</v>
      </c>
      <c r="C20" s="15">
        <v>45809</v>
      </c>
      <c r="D20" s="53">
        <f>1747436-1072-8848</f>
        <v>1737516</v>
      </c>
      <c r="E20" s="60">
        <v>1683508.07</v>
      </c>
      <c r="F20" s="18">
        <f t="shared" si="0"/>
        <v>54007.929999999935</v>
      </c>
      <c r="G20" s="19">
        <f t="shared" si="1"/>
        <v>-760601.54999999981</v>
      </c>
    </row>
    <row r="21" spans="2:10" x14ac:dyDescent="0.2">
      <c r="B21" s="20" t="s">
        <v>19</v>
      </c>
      <c r="C21" s="13">
        <v>45839</v>
      </c>
      <c r="D21" s="51">
        <f>2390434-0-11073</f>
        <v>2379361</v>
      </c>
      <c r="E21" s="52">
        <v>2029273.64</v>
      </c>
      <c r="F21" s="14">
        <f t="shared" si="0"/>
        <v>350087.3600000001</v>
      </c>
      <c r="G21" s="12">
        <f t="shared" si="1"/>
        <v>-410514.18999999971</v>
      </c>
    </row>
    <row r="22" spans="2:10" x14ac:dyDescent="0.2">
      <c r="B22" s="21" t="s">
        <v>20</v>
      </c>
      <c r="C22" s="22">
        <v>45870</v>
      </c>
      <c r="D22" s="61">
        <f>1920077-0-5129</f>
        <v>1914948</v>
      </c>
      <c r="E22" s="62">
        <v>2122787.4500000002</v>
      </c>
      <c r="F22" s="18">
        <f t="shared" si="0"/>
        <v>-207839.45000000019</v>
      </c>
      <c r="G22" s="19">
        <f t="shared" si="1"/>
        <v>-618353.6399999999</v>
      </c>
    </row>
    <row r="23" spans="2:10" x14ac:dyDescent="0.2">
      <c r="B23" s="5"/>
      <c r="C23" s="23" t="s">
        <v>50</v>
      </c>
      <c r="D23" s="24"/>
      <c r="E23" s="24"/>
      <c r="F23" s="24"/>
      <c r="G23" s="25"/>
    </row>
    <row r="24" spans="2:10" x14ac:dyDescent="0.2">
      <c r="B24" s="2"/>
      <c r="C24" s="1"/>
      <c r="D24" s="1"/>
      <c r="E24" s="1"/>
      <c r="F24" s="1"/>
      <c r="G24" s="12"/>
    </row>
    <row r="25" spans="2:10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10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10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10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10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10" x14ac:dyDescent="0.2">
      <c r="B30" s="20" t="s">
        <v>34</v>
      </c>
      <c r="C30" s="54" t="s">
        <v>51</v>
      </c>
      <c r="D30" s="35">
        <f>-G13</f>
        <v>614526</v>
      </c>
      <c r="E30" s="35">
        <f>D60</f>
        <v>0</v>
      </c>
      <c r="F30" s="54"/>
      <c r="G30" s="35">
        <f t="shared" ref="G30" si="2">D30+E30</f>
        <v>614526</v>
      </c>
    </row>
    <row r="31" spans="2:10" x14ac:dyDescent="0.2">
      <c r="B31" s="5" t="s">
        <v>47</v>
      </c>
      <c r="C31" s="29"/>
      <c r="D31" s="30"/>
      <c r="E31" s="30"/>
      <c r="F31" s="31" t="s">
        <v>35</v>
      </c>
      <c r="G31" s="19">
        <f>G30</f>
        <v>614526</v>
      </c>
    </row>
    <row r="32" spans="2:10" x14ac:dyDescent="0.2">
      <c r="B32" s="32"/>
      <c r="G32" s="33"/>
    </row>
    <row r="33" spans="2:7" x14ac:dyDescent="0.2">
      <c r="B33" s="6">
        <v>9</v>
      </c>
      <c r="C33" s="34" t="s">
        <v>48</v>
      </c>
      <c r="D33" s="8"/>
      <c r="E33" s="8"/>
      <c r="F33" s="9"/>
      <c r="G33" s="35">
        <f>G20+G31</f>
        <v>-146075.54999999981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53</v>
      </c>
      <c r="D35" s="8"/>
      <c r="E35" s="8"/>
      <c r="F35" s="9"/>
      <c r="G35" s="35">
        <f>G33/6</f>
        <v>-24345.92499999997</v>
      </c>
    </row>
    <row r="37" spans="2:7" x14ac:dyDescent="0.2">
      <c r="B37" s="1"/>
      <c r="C37" s="36" t="s">
        <v>36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37</v>
      </c>
      <c r="D39" s="40"/>
      <c r="E39" s="40"/>
      <c r="F39" s="40"/>
      <c r="G39" s="41">
        <f>G14</f>
        <v>-614526</v>
      </c>
    </row>
    <row r="40" spans="2:7" x14ac:dyDescent="0.2">
      <c r="B40" s="4">
        <v>12</v>
      </c>
      <c r="C40" s="40" t="s">
        <v>38</v>
      </c>
      <c r="D40" s="40"/>
      <c r="E40" s="40"/>
      <c r="F40" s="40"/>
      <c r="G40" s="42">
        <f>G31</f>
        <v>614526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39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40</v>
      </c>
      <c r="D44" s="40"/>
      <c r="E44" s="40"/>
      <c r="F44" s="40"/>
      <c r="G44" s="41">
        <f>G33</f>
        <v>-146075.54999999981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41</v>
      </c>
      <c r="D46" s="40"/>
      <c r="E46" s="40"/>
      <c r="F46" s="40"/>
      <c r="G46" s="42">
        <f>SUM(F15:F20)</f>
        <v>-146075.5499999997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42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43</v>
      </c>
    </row>
    <row r="52" spans="2:7" x14ac:dyDescent="0.2">
      <c r="B52" s="32"/>
      <c r="C52" s="1"/>
      <c r="D52" s="2" t="s">
        <v>44</v>
      </c>
      <c r="E52" s="27"/>
      <c r="F52" s="56"/>
      <c r="G52" s="56"/>
    </row>
    <row r="53" spans="2:7" x14ac:dyDescent="0.2">
      <c r="B53" s="32"/>
      <c r="C53" s="5" t="s">
        <v>11</v>
      </c>
      <c r="D53" s="5" t="s">
        <v>52</v>
      </c>
      <c r="E53" s="27"/>
      <c r="F53" s="56"/>
      <c r="G53" s="56"/>
    </row>
    <row r="54" spans="2:7" x14ac:dyDescent="0.2">
      <c r="C54" s="13">
        <v>45658</v>
      </c>
      <c r="D54" s="46">
        <v>0</v>
      </c>
      <c r="E54" s="57"/>
      <c r="F54" s="55"/>
      <c r="G54" s="55"/>
    </row>
    <row r="55" spans="2:7" x14ac:dyDescent="0.2">
      <c r="C55" s="15">
        <v>45689</v>
      </c>
      <c r="D55" s="47">
        <v>0</v>
      </c>
      <c r="E55" s="57"/>
      <c r="F55" s="55"/>
      <c r="G55" s="55"/>
    </row>
    <row r="56" spans="2:7" x14ac:dyDescent="0.2">
      <c r="C56" s="15">
        <v>45717</v>
      </c>
      <c r="D56" s="47">
        <v>0</v>
      </c>
      <c r="E56" s="57"/>
      <c r="F56" s="55"/>
      <c r="G56" s="55"/>
    </row>
    <row r="57" spans="2:7" x14ac:dyDescent="0.2">
      <c r="C57" s="15">
        <v>45748</v>
      </c>
      <c r="D57" s="47">
        <v>0</v>
      </c>
      <c r="E57" s="57"/>
      <c r="F57" s="55"/>
      <c r="G57" s="55"/>
    </row>
    <row r="58" spans="2:7" x14ac:dyDescent="0.2">
      <c r="C58" s="15">
        <v>45778</v>
      </c>
      <c r="D58" s="47">
        <v>0</v>
      </c>
      <c r="E58" s="57"/>
      <c r="F58" s="55"/>
      <c r="G58" s="55"/>
    </row>
    <row r="59" spans="2:7" x14ac:dyDescent="0.2">
      <c r="C59" s="15">
        <v>45809</v>
      </c>
      <c r="D59" s="48">
        <v>0</v>
      </c>
      <c r="E59" s="57"/>
      <c r="F59" s="55"/>
      <c r="G59" s="55"/>
    </row>
    <row r="60" spans="2:7" x14ac:dyDescent="0.2">
      <c r="C60" s="49" t="s">
        <v>45</v>
      </c>
      <c r="D60" s="35">
        <f>SUM(D54:D59)</f>
        <v>0</v>
      </c>
      <c r="E60" s="16"/>
      <c r="F60" s="55"/>
      <c r="G60" s="55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AC5C-1744-423B-99B7-CDF926D2462B}">
  <dimension ref="A1:F25"/>
  <sheetViews>
    <sheetView workbookViewId="0">
      <selection activeCell="A2" sqref="A2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Salt River Surcharge Summary.xlsx</v>
      </c>
    </row>
    <row r="3" spans="1:6" ht="15" x14ac:dyDescent="0.25">
      <c r="C3" s="72" t="s">
        <v>55</v>
      </c>
      <c r="D3" s="72"/>
      <c r="E3" s="72"/>
    </row>
    <row r="4" spans="1:6" ht="15" x14ac:dyDescent="0.25">
      <c r="B4" s="72" t="s">
        <v>56</v>
      </c>
      <c r="C4" s="72"/>
      <c r="D4" s="72"/>
      <c r="E4" s="72"/>
      <c r="F4" s="72"/>
    </row>
    <row r="6" spans="1:6" ht="15" thickBot="1" x14ac:dyDescent="0.25">
      <c r="E6" s="73" t="s">
        <v>57</v>
      </c>
    </row>
    <row r="7" spans="1:6" x14ac:dyDescent="0.2">
      <c r="B7" t="s">
        <v>58</v>
      </c>
    </row>
    <row r="8" spans="1:6" x14ac:dyDescent="0.2">
      <c r="B8" t="s">
        <v>59</v>
      </c>
      <c r="E8" s="74">
        <f>'A - 05-31-22'!G33</f>
        <v>-387494.97</v>
      </c>
      <c r="F8" s="75" t="str">
        <f>IF(E8&gt;0,"Under-Recovery","Over-Recovery")</f>
        <v>Over-Recovery</v>
      </c>
    </row>
    <row r="9" spans="1:6" x14ac:dyDescent="0.2">
      <c r="B9" t="s">
        <v>60</v>
      </c>
      <c r="E9" s="74">
        <f>'B - 11-30-22'!G35</f>
        <v>202241.20999999996</v>
      </c>
      <c r="F9" s="75" t="str">
        <f t="shared" ref="F9:F13" si="0">IF(E9&gt;0,"Under-Recovery","Over-Recovery")</f>
        <v>Under-Recovery</v>
      </c>
    </row>
    <row r="10" spans="1:6" x14ac:dyDescent="0.2">
      <c r="B10" t="s">
        <v>61</v>
      </c>
      <c r="E10" s="74">
        <f>'C - 05-31-23'!G37</f>
        <v>-208737.65000000002</v>
      </c>
      <c r="F10" s="75" t="str">
        <f t="shared" si="0"/>
        <v>Over-Recovery</v>
      </c>
    </row>
    <row r="11" spans="1:6" x14ac:dyDescent="0.2">
      <c r="B11" t="s">
        <v>62</v>
      </c>
      <c r="E11" s="74">
        <f>'D - 11-30-23'!G39</f>
        <v>-68757.179999999935</v>
      </c>
      <c r="F11" s="75" t="str">
        <f t="shared" si="0"/>
        <v>Over-Recovery</v>
      </c>
    </row>
    <row r="12" spans="1:6" x14ac:dyDescent="0.2">
      <c r="B12" t="s">
        <v>63</v>
      </c>
      <c r="E12" s="74">
        <f>'E - 05-31-24'!G41</f>
        <v>578836.72999999986</v>
      </c>
      <c r="F12" s="75" t="str">
        <f t="shared" si="0"/>
        <v>Under-Recovery</v>
      </c>
    </row>
    <row r="13" spans="1:6" x14ac:dyDescent="0.2">
      <c r="B13" t="s">
        <v>64</v>
      </c>
      <c r="E13" s="74">
        <f>'F - 11-30-24'!G43</f>
        <v>-730614.52</v>
      </c>
      <c r="F13" s="75" t="str">
        <f t="shared" si="0"/>
        <v>Over-Recovery</v>
      </c>
    </row>
    <row r="14" spans="1:6" x14ac:dyDescent="0.2">
      <c r="E14" s="74"/>
    </row>
    <row r="15" spans="1:6" ht="15" thickBot="1" x14ac:dyDescent="0.25">
      <c r="B15" t="s">
        <v>65</v>
      </c>
      <c r="E15" s="76">
        <f>SUM(E8:E13)</f>
        <v>-614526.38000000012</v>
      </c>
      <c r="F15" s="75" t="str">
        <f>IF(E15&gt;0,"Under-Recovery","Over-Recovery")</f>
        <v>Over-Recovery</v>
      </c>
    </row>
    <row r="16" spans="1:6" ht="15" thickTop="1" x14ac:dyDescent="0.2"/>
    <row r="20" spans="2:6" ht="15" x14ac:dyDescent="0.25">
      <c r="B20" s="72" t="s">
        <v>66</v>
      </c>
      <c r="C20" s="72"/>
      <c r="D20" s="72"/>
      <c r="E20" s="72"/>
      <c r="F20" s="72"/>
    </row>
    <row r="22" spans="2:6" x14ac:dyDescent="0.2">
      <c r="B22" t="s">
        <v>67</v>
      </c>
      <c r="E22" s="74">
        <f>ROUND(E15/6,0)</f>
        <v>-102421</v>
      </c>
    </row>
    <row r="23" spans="2:6" x14ac:dyDescent="0.2">
      <c r="E23" s="74"/>
    </row>
    <row r="24" spans="2:6" x14ac:dyDescent="0.2">
      <c r="B24" t="s">
        <v>68</v>
      </c>
      <c r="E24" s="74">
        <f>ROUND(E15/12,0)</f>
        <v>-51211</v>
      </c>
    </row>
    <row r="25" spans="2:6" x14ac:dyDescent="0.2">
      <c r="E25" s="74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F94D-44C7-41BA-B10D-2FB055CBF80F}">
  <dimension ref="A1:G60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Salt River Surcharge Summary.xlsx</v>
      </c>
    </row>
    <row r="4" spans="1:7" ht="14.25" customHeight="1" x14ac:dyDescent="0.2">
      <c r="B4" s="77" t="s">
        <v>0</v>
      </c>
      <c r="C4" s="78"/>
      <c r="D4" s="78"/>
      <c r="E4" s="78"/>
      <c r="F4" s="78"/>
      <c r="G4" s="79"/>
    </row>
    <row r="5" spans="1:7" ht="14.25" customHeight="1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1</v>
      </c>
      <c r="F7" s="1"/>
      <c r="G7" s="1"/>
    </row>
    <row r="8" spans="1:7" x14ac:dyDescent="0.2">
      <c r="B8" s="3"/>
      <c r="C8" s="3"/>
      <c r="D8" s="4" t="s">
        <v>2</v>
      </c>
      <c r="E8" s="4" t="s">
        <v>3</v>
      </c>
      <c r="F8" s="3"/>
      <c r="G8" s="3"/>
    </row>
    <row r="9" spans="1:7" x14ac:dyDescent="0.2">
      <c r="B9" s="3"/>
      <c r="C9" s="3"/>
      <c r="D9" s="4" t="s">
        <v>4</v>
      </c>
      <c r="E9" s="4" t="s">
        <v>5</v>
      </c>
      <c r="F9" s="4" t="s">
        <v>6</v>
      </c>
      <c r="G9" s="4" t="s">
        <v>7</v>
      </c>
    </row>
    <row r="10" spans="1:7" x14ac:dyDescent="0.2">
      <c r="B10" s="5"/>
      <c r="C10" s="5"/>
      <c r="D10" s="5" t="s">
        <v>8</v>
      </c>
      <c r="E10" s="5" t="s">
        <v>8</v>
      </c>
      <c r="F10" s="5" t="s">
        <v>9</v>
      </c>
      <c r="G10" s="5" t="s">
        <v>9</v>
      </c>
    </row>
    <row r="11" spans="1:7" x14ac:dyDescent="0.2">
      <c r="B11" s="6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</row>
    <row r="12" spans="1:7" x14ac:dyDescent="0.2">
      <c r="B12" s="2">
        <v>1</v>
      </c>
      <c r="C12" s="69" t="s">
        <v>16</v>
      </c>
      <c r="D12" s="70"/>
      <c r="E12" s="70"/>
      <c r="F12" s="70"/>
      <c r="G12" s="71"/>
    </row>
    <row r="13" spans="1:7" x14ac:dyDescent="0.2">
      <c r="B13" s="2" t="s">
        <v>17</v>
      </c>
      <c r="C13" s="8" t="s">
        <v>69</v>
      </c>
      <c r="D13" s="8"/>
      <c r="E13" s="8"/>
      <c r="F13" s="9"/>
      <c r="G13" s="35">
        <v>695078</v>
      </c>
    </row>
    <row r="14" spans="1:7" x14ac:dyDescent="0.2">
      <c r="B14" s="5" t="s">
        <v>70</v>
      </c>
      <c r="C14" s="8" t="s">
        <v>18</v>
      </c>
      <c r="D14" s="8"/>
      <c r="E14" s="8"/>
      <c r="F14" s="11"/>
      <c r="G14" s="12">
        <f>G13</f>
        <v>695078</v>
      </c>
    </row>
    <row r="15" spans="1:7" x14ac:dyDescent="0.2">
      <c r="B15" s="4">
        <v>2</v>
      </c>
      <c r="C15" s="13">
        <v>44562</v>
      </c>
      <c r="D15" s="51">
        <f>1341458-785-4702</f>
        <v>1335971</v>
      </c>
      <c r="E15" s="52">
        <v>1945621.45</v>
      </c>
      <c r="F15" s="14">
        <f t="shared" ref="F15:F22" si="0">D15-E15</f>
        <v>-609650.44999999995</v>
      </c>
      <c r="G15" s="12">
        <f t="shared" ref="G15:G22" si="1">G14+F15</f>
        <v>85427.550000000047</v>
      </c>
    </row>
    <row r="16" spans="1:7" x14ac:dyDescent="0.2">
      <c r="B16" s="4">
        <v>3</v>
      </c>
      <c r="C16" s="15">
        <v>44593</v>
      </c>
      <c r="D16" s="53">
        <f>1119653-462-3539</f>
        <v>1115652</v>
      </c>
      <c r="E16" s="60">
        <v>1267264.05</v>
      </c>
      <c r="F16" s="16">
        <f t="shared" si="0"/>
        <v>-151612.05000000005</v>
      </c>
      <c r="G16" s="17">
        <f t="shared" si="1"/>
        <v>-66184.5</v>
      </c>
    </row>
    <row r="17" spans="2:7" x14ac:dyDescent="0.2">
      <c r="B17" s="4">
        <v>4</v>
      </c>
      <c r="C17" s="15">
        <v>44621</v>
      </c>
      <c r="D17" s="53">
        <f>751997-559-4716</f>
        <v>746722</v>
      </c>
      <c r="E17" s="60">
        <v>907107.8</v>
      </c>
      <c r="F17" s="16">
        <f t="shared" si="0"/>
        <v>-160385.80000000005</v>
      </c>
      <c r="G17" s="17">
        <f t="shared" si="1"/>
        <v>-226570.30000000005</v>
      </c>
    </row>
    <row r="18" spans="2:7" x14ac:dyDescent="0.2">
      <c r="B18" s="4">
        <v>5</v>
      </c>
      <c r="C18" s="15">
        <v>44652</v>
      </c>
      <c r="D18" s="53">
        <f>934147-818-8063</f>
        <v>925266</v>
      </c>
      <c r="E18" s="60">
        <v>646867.31000000006</v>
      </c>
      <c r="F18" s="16">
        <f t="shared" si="0"/>
        <v>278398.68999999994</v>
      </c>
      <c r="G18" s="17">
        <f t="shared" si="1"/>
        <v>51828.389999999898</v>
      </c>
    </row>
    <row r="19" spans="2:7" x14ac:dyDescent="0.2">
      <c r="B19" s="4">
        <v>6</v>
      </c>
      <c r="C19" s="15">
        <v>44682</v>
      </c>
      <c r="D19" s="53">
        <f>1139497-849-8183</f>
        <v>1130465</v>
      </c>
      <c r="E19" s="60">
        <v>1089716.19</v>
      </c>
      <c r="F19" s="16">
        <f t="shared" si="0"/>
        <v>40748.810000000056</v>
      </c>
      <c r="G19" s="17">
        <f t="shared" si="1"/>
        <v>92577.199999999953</v>
      </c>
    </row>
    <row r="20" spans="2:7" x14ac:dyDescent="0.2">
      <c r="B20" s="4">
        <v>7</v>
      </c>
      <c r="C20" s="15">
        <v>44713</v>
      </c>
      <c r="D20" s="53">
        <f>1555347-216-6585</f>
        <v>1548546</v>
      </c>
      <c r="E20" s="60">
        <v>1333540.17</v>
      </c>
      <c r="F20" s="18">
        <f t="shared" si="0"/>
        <v>215005.83000000007</v>
      </c>
      <c r="G20" s="19">
        <f t="shared" si="1"/>
        <v>307583.03000000003</v>
      </c>
    </row>
    <row r="21" spans="2:7" x14ac:dyDescent="0.2">
      <c r="B21" s="20" t="s">
        <v>19</v>
      </c>
      <c r="C21" s="13">
        <v>44743</v>
      </c>
      <c r="D21" s="51">
        <f>1777490-912-8686</f>
        <v>1767892</v>
      </c>
      <c r="E21" s="52">
        <v>1587604.5</v>
      </c>
      <c r="F21" s="14">
        <f t="shared" si="0"/>
        <v>180287.5</v>
      </c>
      <c r="G21" s="12">
        <f t="shared" si="1"/>
        <v>487870.53</v>
      </c>
    </row>
    <row r="22" spans="2:7" x14ac:dyDescent="0.2">
      <c r="B22" s="21" t="s">
        <v>20</v>
      </c>
      <c r="C22" s="22">
        <v>44774</v>
      </c>
      <c r="D22" s="61">
        <f>1383664-174-6038</f>
        <v>1377452</v>
      </c>
      <c r="E22" s="62">
        <v>1489952.58</v>
      </c>
      <c r="F22" s="18">
        <f t="shared" si="0"/>
        <v>-112500.58000000007</v>
      </c>
      <c r="G22" s="19">
        <f t="shared" si="1"/>
        <v>375369.94999999995</v>
      </c>
    </row>
    <row r="23" spans="2:7" x14ac:dyDescent="0.2">
      <c r="B23" s="5"/>
      <c r="C23" s="23" t="s">
        <v>71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54" t="s">
        <v>72</v>
      </c>
      <c r="D30" s="35">
        <f>-G13</f>
        <v>-695078</v>
      </c>
      <c r="E30" s="35">
        <f>D60</f>
        <v>0</v>
      </c>
      <c r="F30" s="54"/>
      <c r="G30" s="35">
        <f>D30+E30</f>
        <v>-695078</v>
      </c>
    </row>
    <row r="31" spans="2:7" x14ac:dyDescent="0.2">
      <c r="B31" s="5" t="s">
        <v>73</v>
      </c>
      <c r="C31" s="29"/>
      <c r="D31" s="30"/>
      <c r="E31" s="30"/>
      <c r="F31" s="31" t="s">
        <v>35</v>
      </c>
      <c r="G31" s="19">
        <f>G30</f>
        <v>-695078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48</v>
      </c>
      <c r="D33" s="8"/>
      <c r="E33" s="8"/>
      <c r="F33" s="9"/>
      <c r="G33" s="35">
        <f>G20+G31</f>
        <v>-387494.97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74</v>
      </c>
      <c r="D35" s="8"/>
      <c r="E35" s="8"/>
      <c r="F35" s="9"/>
      <c r="G35" s="35">
        <f>G33/6</f>
        <v>-64582.494999999995</v>
      </c>
    </row>
    <row r="37" spans="2:7" x14ac:dyDescent="0.2">
      <c r="B37" s="1"/>
      <c r="C37" s="36" t="s">
        <v>36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37</v>
      </c>
      <c r="G39" s="41">
        <f>G14</f>
        <v>695078</v>
      </c>
    </row>
    <row r="40" spans="2:7" x14ac:dyDescent="0.2">
      <c r="B40" s="4">
        <v>12</v>
      </c>
      <c r="C40" t="s">
        <v>38</v>
      </c>
      <c r="G40" s="42">
        <f>G31</f>
        <v>-695078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39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40</v>
      </c>
      <c r="G44" s="41">
        <f>G33</f>
        <v>-387494.97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41</v>
      </c>
      <c r="G46" s="42">
        <f>SUM(F15:F20)</f>
        <v>-387494.97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42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43</v>
      </c>
    </row>
    <row r="52" spans="2:7" x14ac:dyDescent="0.2">
      <c r="B52" s="32"/>
      <c r="C52" s="1"/>
      <c r="D52" s="2" t="s">
        <v>44</v>
      </c>
      <c r="E52" s="27"/>
      <c r="F52" s="32"/>
      <c r="G52" s="32"/>
    </row>
    <row r="53" spans="2:7" x14ac:dyDescent="0.2">
      <c r="B53" s="32"/>
      <c r="C53" s="5" t="s">
        <v>11</v>
      </c>
      <c r="D53" s="5" t="s">
        <v>75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45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8C33-C210-4C25-A1CB-46FB98D342FC}">
  <dimension ref="A1:G62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tr">
        <f>'Current 05-31-25'!$A$1</f>
        <v>Staff DR1 Response 2 - Salt River Surcharge Summary.xlsx</v>
      </c>
    </row>
    <row r="4" spans="1:7" ht="14.25" customHeight="1" x14ac:dyDescent="0.2">
      <c r="B4" s="77" t="s">
        <v>0</v>
      </c>
      <c r="C4" s="78"/>
      <c r="D4" s="78"/>
      <c r="E4" s="78"/>
      <c r="F4" s="78"/>
      <c r="G4" s="79"/>
    </row>
    <row r="5" spans="1:7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1</v>
      </c>
      <c r="F7" s="1"/>
      <c r="G7" s="1"/>
    </row>
    <row r="8" spans="1:7" x14ac:dyDescent="0.2">
      <c r="B8" s="3"/>
      <c r="C8" s="3"/>
      <c r="D8" s="4" t="s">
        <v>2</v>
      </c>
      <c r="E8" s="4" t="s">
        <v>3</v>
      </c>
      <c r="F8" s="3"/>
      <c r="G8" s="3"/>
    </row>
    <row r="9" spans="1:7" x14ac:dyDescent="0.2">
      <c r="B9" s="3"/>
      <c r="C9" s="3"/>
      <c r="D9" s="4" t="s">
        <v>4</v>
      </c>
      <c r="E9" s="4" t="s">
        <v>5</v>
      </c>
      <c r="F9" s="4" t="s">
        <v>6</v>
      </c>
      <c r="G9" s="4" t="s">
        <v>7</v>
      </c>
    </row>
    <row r="10" spans="1:7" x14ac:dyDescent="0.2">
      <c r="B10" s="5"/>
      <c r="C10" s="5"/>
      <c r="D10" s="5" t="s">
        <v>8</v>
      </c>
      <c r="E10" s="5" t="s">
        <v>8</v>
      </c>
      <c r="F10" s="5" t="s">
        <v>9</v>
      </c>
      <c r="G10" s="5" t="s">
        <v>9</v>
      </c>
    </row>
    <row r="11" spans="1:7" x14ac:dyDescent="0.2">
      <c r="B11" s="6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</row>
    <row r="12" spans="1:7" x14ac:dyDescent="0.2">
      <c r="B12" s="2">
        <v>1</v>
      </c>
      <c r="C12" s="69" t="s">
        <v>16</v>
      </c>
      <c r="D12" s="70"/>
      <c r="E12" s="70"/>
      <c r="F12" s="70"/>
      <c r="G12" s="71"/>
    </row>
    <row r="13" spans="1:7" x14ac:dyDescent="0.2">
      <c r="B13" s="2" t="s">
        <v>17</v>
      </c>
      <c r="C13" s="8" t="s">
        <v>69</v>
      </c>
      <c r="D13" s="8"/>
      <c r="E13" s="8"/>
      <c r="F13" s="9"/>
      <c r="G13" s="35">
        <v>695078</v>
      </c>
    </row>
    <row r="14" spans="1:7" x14ac:dyDescent="0.2">
      <c r="B14" s="4" t="s">
        <v>70</v>
      </c>
      <c r="C14" s="8" t="s">
        <v>76</v>
      </c>
      <c r="D14" s="8"/>
      <c r="E14" s="8"/>
      <c r="F14" s="9"/>
      <c r="G14" s="83">
        <f>'A - 05-31-22'!G33</f>
        <v>-387494.97</v>
      </c>
    </row>
    <row r="15" spans="1:7" x14ac:dyDescent="0.2">
      <c r="B15" s="5" t="s">
        <v>77</v>
      </c>
      <c r="C15" s="8" t="s">
        <v>18</v>
      </c>
      <c r="D15" s="8"/>
      <c r="E15" s="8"/>
      <c r="F15" s="11"/>
      <c r="G15" s="12">
        <f>G13+G14</f>
        <v>307583.03000000003</v>
      </c>
    </row>
    <row r="16" spans="1:7" x14ac:dyDescent="0.2">
      <c r="B16" s="4">
        <v>2</v>
      </c>
      <c r="C16" s="13">
        <v>44743</v>
      </c>
      <c r="D16" s="51">
        <f>1777490-912-8686</f>
        <v>1767892</v>
      </c>
      <c r="E16" s="52">
        <v>1587604.5</v>
      </c>
      <c r="F16" s="14">
        <f t="shared" ref="F16:F23" si="0">D16-E16</f>
        <v>180287.5</v>
      </c>
      <c r="G16" s="12">
        <f t="shared" ref="G16:G23" si="1">G15+F16</f>
        <v>487870.53</v>
      </c>
    </row>
    <row r="17" spans="2:7" x14ac:dyDescent="0.2">
      <c r="B17" s="4">
        <v>3</v>
      </c>
      <c r="C17" s="15">
        <v>44774</v>
      </c>
      <c r="D17" s="53">
        <f>1383664-174-6038</f>
        <v>1377452</v>
      </c>
      <c r="E17" s="60">
        <v>1489952.58</v>
      </c>
      <c r="F17" s="16">
        <f t="shared" si="0"/>
        <v>-112500.58000000007</v>
      </c>
      <c r="G17" s="17">
        <f t="shared" si="1"/>
        <v>375369.94999999995</v>
      </c>
    </row>
    <row r="18" spans="2:7" x14ac:dyDescent="0.2">
      <c r="B18" s="4">
        <v>4</v>
      </c>
      <c r="C18" s="15">
        <v>44805</v>
      </c>
      <c r="D18" s="53">
        <f>973246-0-5341</f>
        <v>967905</v>
      </c>
      <c r="E18" s="60">
        <v>1145689.58</v>
      </c>
      <c r="F18" s="16">
        <f t="shared" si="0"/>
        <v>-177784.58000000007</v>
      </c>
      <c r="G18" s="17">
        <f t="shared" si="1"/>
        <v>197585.36999999988</v>
      </c>
    </row>
    <row r="19" spans="2:7" x14ac:dyDescent="0.2">
      <c r="B19" s="4">
        <v>5</v>
      </c>
      <c r="C19" s="15">
        <v>44835</v>
      </c>
      <c r="D19" s="53">
        <f>978567-636-453</f>
        <v>977478</v>
      </c>
      <c r="E19" s="60">
        <v>757694.27</v>
      </c>
      <c r="F19" s="16">
        <f t="shared" si="0"/>
        <v>219783.72999999998</v>
      </c>
      <c r="G19" s="17">
        <f t="shared" si="1"/>
        <v>417369.09999999986</v>
      </c>
    </row>
    <row r="20" spans="2:7" x14ac:dyDescent="0.2">
      <c r="B20" s="4">
        <v>6</v>
      </c>
      <c r="C20" s="15">
        <v>44866</v>
      </c>
      <c r="D20" s="53">
        <f>1195491-712-4176</f>
        <v>1190603</v>
      </c>
      <c r="E20" s="60">
        <v>1184782.6399999999</v>
      </c>
      <c r="F20" s="16">
        <f t="shared" si="0"/>
        <v>5820.3600000001024</v>
      </c>
      <c r="G20" s="17">
        <f t="shared" si="1"/>
        <v>423189.45999999996</v>
      </c>
    </row>
    <row r="21" spans="2:7" x14ac:dyDescent="0.2">
      <c r="B21" s="4">
        <v>7</v>
      </c>
      <c r="C21" s="15">
        <v>44896</v>
      </c>
      <c r="D21" s="53">
        <f>1689833-750-9331</f>
        <v>1679752</v>
      </c>
      <c r="E21" s="60">
        <v>1593117.22</v>
      </c>
      <c r="F21" s="18">
        <f t="shared" si="0"/>
        <v>86634.780000000028</v>
      </c>
      <c r="G21" s="19">
        <f t="shared" si="1"/>
        <v>509824.24</v>
      </c>
    </row>
    <row r="22" spans="2:7" x14ac:dyDescent="0.2">
      <c r="B22" s="20" t="s">
        <v>19</v>
      </c>
      <c r="C22" s="13">
        <v>44927</v>
      </c>
      <c r="D22" s="51">
        <f>1358629-639-8353</f>
        <v>1349637</v>
      </c>
      <c r="E22" s="52">
        <v>1483645.67</v>
      </c>
      <c r="F22" s="14">
        <f t="shared" si="0"/>
        <v>-134008.66999999993</v>
      </c>
      <c r="G22" s="12">
        <f t="shared" si="1"/>
        <v>375815.57000000007</v>
      </c>
    </row>
    <row r="23" spans="2:7" x14ac:dyDescent="0.2">
      <c r="B23" s="21" t="s">
        <v>20</v>
      </c>
      <c r="C23" s="22">
        <v>44958</v>
      </c>
      <c r="D23" s="61">
        <f>698038-433-3605</f>
        <v>694000</v>
      </c>
      <c r="E23" s="62">
        <v>1063762.18</v>
      </c>
      <c r="F23" s="18">
        <f t="shared" si="0"/>
        <v>-369762.17999999993</v>
      </c>
      <c r="G23" s="19">
        <f t="shared" si="1"/>
        <v>6053.3900000001304</v>
      </c>
    </row>
    <row r="24" spans="2:7" x14ac:dyDescent="0.2">
      <c r="B24" s="5"/>
      <c r="C24" s="23" t="s">
        <v>78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1" t="s">
        <v>72</v>
      </c>
      <c r="D31" s="12">
        <f>-G13</f>
        <v>-695078</v>
      </c>
      <c r="E31" s="12">
        <f>D62</f>
        <v>0</v>
      </c>
      <c r="F31" s="1"/>
      <c r="G31" s="12">
        <f>D31+E31</f>
        <v>-695078</v>
      </c>
    </row>
    <row r="32" spans="2:7" x14ac:dyDescent="0.2">
      <c r="B32" s="27" t="s">
        <v>73</v>
      </c>
      <c r="C32" s="28" t="s">
        <v>79</v>
      </c>
      <c r="D32" s="19">
        <f>-G14</f>
        <v>387494.97</v>
      </c>
      <c r="E32" s="19">
        <v>0</v>
      </c>
      <c r="F32" s="28"/>
      <c r="G32" s="19">
        <f>D32+E32</f>
        <v>387494.97</v>
      </c>
    </row>
    <row r="33" spans="2:7" x14ac:dyDescent="0.2">
      <c r="B33" s="5" t="s">
        <v>80</v>
      </c>
      <c r="C33" s="29"/>
      <c r="D33" s="30"/>
      <c r="E33" s="30"/>
      <c r="F33" s="31" t="s">
        <v>35</v>
      </c>
      <c r="G33" s="19">
        <f>G31+G32</f>
        <v>-307583.03000000003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81</v>
      </c>
      <c r="D35" s="8"/>
      <c r="E35" s="8"/>
      <c r="F35" s="9"/>
      <c r="G35" s="35">
        <f>G21+G33</f>
        <v>202241.20999999996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74</v>
      </c>
      <c r="D37" s="8"/>
      <c r="E37" s="8"/>
      <c r="F37" s="9"/>
      <c r="G37" s="35">
        <f>G35/6</f>
        <v>33706.868333333325</v>
      </c>
    </row>
    <row r="39" spans="2:7" x14ac:dyDescent="0.2">
      <c r="B39" s="1"/>
      <c r="C39" s="36" t="s">
        <v>36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37</v>
      </c>
      <c r="G41" s="41">
        <f>G15</f>
        <v>307583.03000000003</v>
      </c>
    </row>
    <row r="42" spans="2:7" x14ac:dyDescent="0.2">
      <c r="B42" s="4">
        <v>12</v>
      </c>
      <c r="C42" t="s">
        <v>38</v>
      </c>
      <c r="G42" s="42">
        <f>G33</f>
        <v>-307583.03000000003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39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40</v>
      </c>
      <c r="G46" s="41">
        <f>G35</f>
        <v>202241.20999999996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41</v>
      </c>
      <c r="G48" s="42">
        <f>SUM(F16:F21)</f>
        <v>202241.20999999996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42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43</v>
      </c>
    </row>
    <row r="54" spans="2:7" x14ac:dyDescent="0.2">
      <c r="B54" s="32"/>
      <c r="C54" s="1"/>
      <c r="D54" s="2" t="s">
        <v>44</v>
      </c>
      <c r="E54" s="27"/>
      <c r="F54" s="32"/>
      <c r="G54" s="32"/>
    </row>
    <row r="55" spans="2:7" x14ac:dyDescent="0.2">
      <c r="B55" s="32"/>
      <c r="C55" s="5" t="s">
        <v>11</v>
      </c>
      <c r="D55" s="5" t="s">
        <v>75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45</v>
      </c>
      <c r="D62" s="35">
        <f>SUM(D56:D61)</f>
        <v>0</v>
      </c>
      <c r="E62" s="16"/>
      <c r="F62" s="33"/>
      <c r="G62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8811-057C-4EFA-8C68-8274BAD06579}">
  <dimension ref="A1:G64"/>
  <sheetViews>
    <sheetView workbookViewId="0"/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Salt River Surcharge Summary.xlsx</v>
      </c>
    </row>
    <row r="4" spans="1:7" ht="14.25" customHeight="1" x14ac:dyDescent="0.2">
      <c r="B4" s="77" t="s">
        <v>0</v>
      </c>
      <c r="C4" s="78"/>
      <c r="D4" s="78"/>
      <c r="E4" s="78"/>
      <c r="F4" s="78"/>
      <c r="G4" s="79"/>
    </row>
    <row r="5" spans="1:7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1</v>
      </c>
      <c r="F7" s="1"/>
      <c r="G7" s="1"/>
    </row>
    <row r="8" spans="1:7" x14ac:dyDescent="0.2">
      <c r="B8" s="3"/>
      <c r="C8" s="3"/>
      <c r="D8" s="4" t="s">
        <v>2</v>
      </c>
      <c r="E8" s="4" t="s">
        <v>3</v>
      </c>
      <c r="F8" s="3"/>
      <c r="G8" s="3"/>
    </row>
    <row r="9" spans="1:7" x14ac:dyDescent="0.2">
      <c r="B9" s="3"/>
      <c r="C9" s="3"/>
      <c r="D9" s="4" t="s">
        <v>4</v>
      </c>
      <c r="E9" s="4" t="s">
        <v>5</v>
      </c>
      <c r="F9" s="4" t="s">
        <v>6</v>
      </c>
      <c r="G9" s="4" t="s">
        <v>7</v>
      </c>
    </row>
    <row r="10" spans="1:7" x14ac:dyDescent="0.2">
      <c r="B10" s="5"/>
      <c r="C10" s="5"/>
      <c r="D10" s="5" t="s">
        <v>8</v>
      </c>
      <c r="E10" s="5" t="s">
        <v>8</v>
      </c>
      <c r="F10" s="5" t="s">
        <v>9</v>
      </c>
      <c r="G10" s="5" t="s">
        <v>9</v>
      </c>
    </row>
    <row r="11" spans="1:7" x14ac:dyDescent="0.2">
      <c r="B11" s="6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</row>
    <row r="12" spans="1:7" x14ac:dyDescent="0.2">
      <c r="B12" s="2">
        <v>1</v>
      </c>
      <c r="C12" s="69" t="s">
        <v>16</v>
      </c>
      <c r="D12" s="70"/>
      <c r="E12" s="70"/>
      <c r="F12" s="70"/>
      <c r="G12" s="71"/>
    </row>
    <row r="13" spans="1:7" x14ac:dyDescent="0.2">
      <c r="B13" s="2" t="s">
        <v>17</v>
      </c>
      <c r="C13" s="8" t="s">
        <v>69</v>
      </c>
      <c r="D13" s="8"/>
      <c r="E13" s="8"/>
      <c r="F13" s="9"/>
      <c r="G13" s="35">
        <v>695078</v>
      </c>
    </row>
    <row r="14" spans="1:7" x14ac:dyDescent="0.2">
      <c r="B14" s="4" t="s">
        <v>70</v>
      </c>
      <c r="C14" s="8" t="s">
        <v>76</v>
      </c>
      <c r="D14" s="8"/>
      <c r="E14" s="8"/>
      <c r="F14" s="9"/>
      <c r="G14" s="83">
        <f>'A - 05-31-22'!G33</f>
        <v>-387494.97</v>
      </c>
    </row>
    <row r="15" spans="1:7" x14ac:dyDescent="0.2">
      <c r="B15" s="4" t="s">
        <v>77</v>
      </c>
      <c r="C15" s="8" t="s">
        <v>82</v>
      </c>
      <c r="D15" s="8"/>
      <c r="E15" s="8"/>
      <c r="F15" s="9"/>
      <c r="G15" s="83">
        <f>'B - 11-30-22'!G35</f>
        <v>202241.20999999996</v>
      </c>
    </row>
    <row r="16" spans="1:7" x14ac:dyDescent="0.2">
      <c r="B16" s="5" t="s">
        <v>83</v>
      </c>
      <c r="C16" s="8" t="s">
        <v>18</v>
      </c>
      <c r="D16" s="8"/>
      <c r="E16" s="8"/>
      <c r="F16" s="11"/>
      <c r="G16" s="12">
        <f>G13+G14+G15</f>
        <v>509824.24</v>
      </c>
    </row>
    <row r="17" spans="2:7" x14ac:dyDescent="0.2">
      <c r="B17" s="4">
        <v>2</v>
      </c>
      <c r="C17" s="13">
        <v>44927</v>
      </c>
      <c r="D17" s="51">
        <f>1358629-639-8353</f>
        <v>1349637</v>
      </c>
      <c r="E17" s="52">
        <v>1483645.67</v>
      </c>
      <c r="F17" s="14">
        <f t="shared" ref="F17:F24" si="0">D17-E17</f>
        <v>-134008.66999999993</v>
      </c>
      <c r="G17" s="12">
        <f t="shared" ref="G17:G24" si="1">G16+F17</f>
        <v>375815.57000000007</v>
      </c>
    </row>
    <row r="18" spans="2:7" x14ac:dyDescent="0.2">
      <c r="B18" s="4">
        <v>3</v>
      </c>
      <c r="C18" s="15">
        <v>44958</v>
      </c>
      <c r="D18" s="53">
        <f>698038-433-3605</f>
        <v>694000</v>
      </c>
      <c r="E18" s="60">
        <v>1063762.18</v>
      </c>
      <c r="F18" s="16">
        <f t="shared" si="0"/>
        <v>-369762.17999999993</v>
      </c>
      <c r="G18" s="17">
        <f t="shared" si="1"/>
        <v>6053.3900000001304</v>
      </c>
    </row>
    <row r="19" spans="2:7" x14ac:dyDescent="0.2">
      <c r="B19" s="4">
        <v>4</v>
      </c>
      <c r="C19" s="15">
        <v>44986</v>
      </c>
      <c r="D19" s="53">
        <f>882524-557-5630</f>
        <v>876337</v>
      </c>
      <c r="E19" s="60">
        <v>774333.67</v>
      </c>
      <c r="F19" s="16">
        <f t="shared" si="0"/>
        <v>102003.32999999996</v>
      </c>
      <c r="G19" s="17">
        <f t="shared" si="1"/>
        <v>108056.72000000009</v>
      </c>
    </row>
    <row r="20" spans="2:7" x14ac:dyDescent="0.2">
      <c r="B20" s="4">
        <v>5</v>
      </c>
      <c r="C20" s="15">
        <v>45017</v>
      </c>
      <c r="D20" s="53">
        <f>1003386-754-8070</f>
        <v>994562</v>
      </c>
      <c r="E20" s="60">
        <v>805843.75</v>
      </c>
      <c r="F20" s="16">
        <f t="shared" si="0"/>
        <v>188718.25</v>
      </c>
      <c r="G20" s="17">
        <f t="shared" si="1"/>
        <v>296774.97000000009</v>
      </c>
    </row>
    <row r="21" spans="2:7" x14ac:dyDescent="0.2">
      <c r="B21" s="4">
        <v>6</v>
      </c>
      <c r="C21" s="15">
        <v>45047</v>
      </c>
      <c r="D21" s="53">
        <f>1121205-736-7950</f>
        <v>1112519</v>
      </c>
      <c r="E21" s="60">
        <v>1183114.1100000001</v>
      </c>
      <c r="F21" s="16">
        <f t="shared" si="0"/>
        <v>-70595.110000000102</v>
      </c>
      <c r="G21" s="17">
        <f t="shared" si="1"/>
        <v>226179.86</v>
      </c>
    </row>
    <row r="22" spans="2:7" x14ac:dyDescent="0.2">
      <c r="B22" s="4">
        <v>7</v>
      </c>
      <c r="C22" s="15">
        <v>45078</v>
      </c>
      <c r="D22" s="53">
        <f>1299128-886-6349</f>
        <v>1291893</v>
      </c>
      <c r="E22" s="60">
        <v>1216986.27</v>
      </c>
      <c r="F22" s="18">
        <f t="shared" si="0"/>
        <v>74906.729999999981</v>
      </c>
      <c r="G22" s="19">
        <f t="shared" si="1"/>
        <v>301086.58999999997</v>
      </c>
    </row>
    <row r="23" spans="2:7" x14ac:dyDescent="0.2">
      <c r="B23" s="20" t="s">
        <v>19</v>
      </c>
      <c r="C23" s="13">
        <v>45108</v>
      </c>
      <c r="D23" s="51">
        <f>1694757-925-8494</f>
        <v>1685338</v>
      </c>
      <c r="E23" s="52">
        <v>1696938.11</v>
      </c>
      <c r="F23" s="14">
        <f t="shared" si="0"/>
        <v>-11600.110000000102</v>
      </c>
      <c r="G23" s="12">
        <f t="shared" si="1"/>
        <v>289486.47999999986</v>
      </c>
    </row>
    <row r="24" spans="2:7" x14ac:dyDescent="0.2">
      <c r="B24" s="21" t="s">
        <v>20</v>
      </c>
      <c r="C24" s="22">
        <v>45139</v>
      </c>
      <c r="D24" s="61">
        <f>1776036-0-4774</f>
        <v>1771262</v>
      </c>
      <c r="E24" s="62">
        <v>1588589.83</v>
      </c>
      <c r="F24" s="18">
        <f t="shared" si="0"/>
        <v>182672.16999999993</v>
      </c>
      <c r="G24" s="19">
        <f t="shared" si="1"/>
        <v>472158.64999999979</v>
      </c>
    </row>
    <row r="25" spans="2:7" x14ac:dyDescent="0.2">
      <c r="B25" s="5"/>
      <c r="C25" s="23" t="s">
        <v>84</v>
      </c>
      <c r="D25" s="24"/>
      <c r="E25" s="24"/>
      <c r="F25" s="24"/>
      <c r="G25" s="25"/>
    </row>
    <row r="26" spans="2:7" x14ac:dyDescent="0.2">
      <c r="B26" s="2"/>
      <c r="C26" s="1"/>
      <c r="D26" s="1"/>
      <c r="E26" s="1"/>
      <c r="F26" s="1"/>
      <c r="G26" s="12"/>
    </row>
    <row r="27" spans="2:7" x14ac:dyDescent="0.2">
      <c r="B27" s="4"/>
      <c r="C27" s="3"/>
      <c r="D27" s="4" t="s">
        <v>21</v>
      </c>
      <c r="E27" s="4" t="s">
        <v>22</v>
      </c>
      <c r="F27" s="3"/>
      <c r="G27" s="17"/>
    </row>
    <row r="28" spans="2:7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</row>
    <row r="29" spans="2:7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7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7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7" x14ac:dyDescent="0.2">
      <c r="B32" s="20" t="s">
        <v>34</v>
      </c>
      <c r="C32" s="1" t="s">
        <v>72</v>
      </c>
      <c r="D32" s="12">
        <f>-G13</f>
        <v>-695078</v>
      </c>
      <c r="E32" s="12">
        <f>D64</f>
        <v>0</v>
      </c>
      <c r="F32" s="1"/>
      <c r="G32" s="12">
        <f t="shared" ref="G32:G34" si="2">D32+E32</f>
        <v>-695078</v>
      </c>
    </row>
    <row r="33" spans="2:7" x14ac:dyDescent="0.2">
      <c r="B33" s="27" t="s">
        <v>73</v>
      </c>
      <c r="C33" s="84" t="s">
        <v>79</v>
      </c>
      <c r="D33" s="17">
        <f>-G14</f>
        <v>387494.97</v>
      </c>
      <c r="E33" s="17">
        <v>0</v>
      </c>
      <c r="F33" s="3"/>
      <c r="G33" s="17">
        <f t="shared" si="2"/>
        <v>387494.97</v>
      </c>
    </row>
    <row r="34" spans="2:7" x14ac:dyDescent="0.2">
      <c r="B34" s="27" t="s">
        <v>80</v>
      </c>
      <c r="C34" s="45" t="s">
        <v>85</v>
      </c>
      <c r="D34" s="19">
        <f>-G15</f>
        <v>-202241.20999999996</v>
      </c>
      <c r="E34" s="19">
        <v>0</v>
      </c>
      <c r="F34" s="28"/>
      <c r="G34" s="19">
        <f t="shared" si="2"/>
        <v>-202241.20999999996</v>
      </c>
    </row>
    <row r="35" spans="2:7" x14ac:dyDescent="0.2">
      <c r="B35" s="5" t="s">
        <v>86</v>
      </c>
      <c r="C35" s="29"/>
      <c r="D35" s="30"/>
      <c r="E35" s="30"/>
      <c r="F35" s="31" t="s">
        <v>35</v>
      </c>
      <c r="G35" s="19">
        <f>G32+G33+G34</f>
        <v>-509824.24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87</v>
      </c>
      <c r="D37" s="8"/>
      <c r="E37" s="8"/>
      <c r="F37" s="9"/>
      <c r="G37" s="35">
        <f>G22+G35</f>
        <v>-208737.65000000002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74</v>
      </c>
      <c r="D39" s="8"/>
      <c r="E39" s="8"/>
      <c r="F39" s="9"/>
      <c r="G39" s="35">
        <f>G37/6</f>
        <v>-34789.608333333337</v>
      </c>
    </row>
    <row r="41" spans="2:7" x14ac:dyDescent="0.2">
      <c r="B41" s="1"/>
      <c r="C41" s="36" t="s">
        <v>36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37</v>
      </c>
      <c r="G43" s="41">
        <f>G16</f>
        <v>509824.24</v>
      </c>
    </row>
    <row r="44" spans="2:7" x14ac:dyDescent="0.2">
      <c r="B44" s="4">
        <v>12</v>
      </c>
      <c r="C44" t="s">
        <v>38</v>
      </c>
      <c r="G44" s="42">
        <f>G35</f>
        <v>-509824.24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39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40</v>
      </c>
      <c r="G48" s="41">
        <f>G37</f>
        <v>-208737.65000000002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41</v>
      </c>
      <c r="G50" s="42">
        <f>SUM(F17:F22)</f>
        <v>-208737.65000000002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42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43</v>
      </c>
    </row>
    <row r="56" spans="2:7" x14ac:dyDescent="0.2">
      <c r="B56" s="32"/>
      <c r="C56" s="1"/>
      <c r="D56" s="2" t="s">
        <v>44</v>
      </c>
      <c r="E56" s="27"/>
      <c r="F56" s="32"/>
      <c r="G56" s="32"/>
    </row>
    <row r="57" spans="2:7" x14ac:dyDescent="0.2">
      <c r="B57" s="32"/>
      <c r="C57" s="5" t="s">
        <v>11</v>
      </c>
      <c r="D57" s="5" t="s">
        <v>75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45</v>
      </c>
      <c r="D64" s="35">
        <f>SUM(D58:D63)</f>
        <v>0</v>
      </c>
      <c r="E64" s="16"/>
      <c r="F64" s="33"/>
      <c r="G64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126E-D4BA-4BA7-9384-AA9E0C6C1368}">
  <dimension ref="A1:G66"/>
  <sheetViews>
    <sheetView workbookViewId="0"/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Salt River Surcharge Summary.xlsx</v>
      </c>
    </row>
    <row r="4" spans="1:7" ht="14.25" customHeight="1" x14ac:dyDescent="0.2">
      <c r="B4" s="77" t="s">
        <v>0</v>
      </c>
      <c r="C4" s="78"/>
      <c r="D4" s="78"/>
      <c r="E4" s="78"/>
      <c r="F4" s="78"/>
      <c r="G4" s="79"/>
    </row>
    <row r="5" spans="1:7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1</v>
      </c>
      <c r="F7" s="1"/>
      <c r="G7" s="1"/>
    </row>
    <row r="8" spans="1:7" x14ac:dyDescent="0.2">
      <c r="B8" s="3"/>
      <c r="C8" s="3"/>
      <c r="D8" s="4" t="s">
        <v>2</v>
      </c>
      <c r="E8" s="4" t="s">
        <v>3</v>
      </c>
      <c r="F8" s="3"/>
      <c r="G8" s="3"/>
    </row>
    <row r="9" spans="1:7" x14ac:dyDescent="0.2">
      <c r="B9" s="3"/>
      <c r="C9" s="3"/>
      <c r="D9" s="4" t="s">
        <v>4</v>
      </c>
      <c r="E9" s="4" t="s">
        <v>5</v>
      </c>
      <c r="F9" s="4" t="s">
        <v>6</v>
      </c>
      <c r="G9" s="4" t="s">
        <v>7</v>
      </c>
    </row>
    <row r="10" spans="1:7" x14ac:dyDescent="0.2">
      <c r="B10" s="5"/>
      <c r="C10" s="5"/>
      <c r="D10" s="5" t="s">
        <v>8</v>
      </c>
      <c r="E10" s="5" t="s">
        <v>8</v>
      </c>
      <c r="F10" s="5" t="s">
        <v>9</v>
      </c>
      <c r="G10" s="5" t="s">
        <v>9</v>
      </c>
    </row>
    <row r="11" spans="1:7" x14ac:dyDescent="0.2">
      <c r="B11" s="6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</row>
    <row r="12" spans="1:7" x14ac:dyDescent="0.2">
      <c r="B12" s="2">
        <v>1</v>
      </c>
      <c r="C12" s="69" t="s">
        <v>16</v>
      </c>
      <c r="D12" s="70"/>
      <c r="E12" s="70"/>
      <c r="F12" s="70"/>
      <c r="G12" s="71"/>
    </row>
    <row r="13" spans="1:7" x14ac:dyDescent="0.2">
      <c r="B13" s="2" t="s">
        <v>17</v>
      </c>
      <c r="C13" s="8" t="s">
        <v>69</v>
      </c>
      <c r="D13" s="8"/>
      <c r="E13" s="8"/>
      <c r="F13" s="9"/>
      <c r="G13" s="35">
        <v>695078</v>
      </c>
    </row>
    <row r="14" spans="1:7" x14ac:dyDescent="0.2">
      <c r="B14" s="4" t="s">
        <v>70</v>
      </c>
      <c r="C14" s="8" t="s">
        <v>76</v>
      </c>
      <c r="D14" s="8"/>
      <c r="E14" s="8"/>
      <c r="F14" s="9"/>
      <c r="G14" s="83">
        <f>'A - 05-31-22'!G33</f>
        <v>-387494.97</v>
      </c>
    </row>
    <row r="15" spans="1:7" x14ac:dyDescent="0.2">
      <c r="B15" s="4" t="s">
        <v>77</v>
      </c>
      <c r="C15" s="8" t="s">
        <v>82</v>
      </c>
      <c r="D15" s="8"/>
      <c r="E15" s="8"/>
      <c r="F15" s="9"/>
      <c r="G15" s="83">
        <f>'B - 11-30-22'!G35</f>
        <v>202241.20999999996</v>
      </c>
    </row>
    <row r="16" spans="1:7" x14ac:dyDescent="0.2">
      <c r="B16" s="4" t="s">
        <v>83</v>
      </c>
      <c r="C16" s="8" t="s">
        <v>88</v>
      </c>
      <c r="D16" s="8"/>
      <c r="E16" s="8"/>
      <c r="F16" s="11"/>
      <c r="G16" s="51">
        <f>'C - 05-31-23'!G37</f>
        <v>-208737.65000000002</v>
      </c>
    </row>
    <row r="17" spans="2:7" x14ac:dyDescent="0.2">
      <c r="B17" s="5" t="s">
        <v>89</v>
      </c>
      <c r="C17" s="8" t="s">
        <v>18</v>
      </c>
      <c r="D17" s="8"/>
      <c r="E17" s="8"/>
      <c r="F17" s="11"/>
      <c r="G17" s="12">
        <f>G13+G14+G15+G16</f>
        <v>301086.58999999997</v>
      </c>
    </row>
    <row r="18" spans="2:7" x14ac:dyDescent="0.2">
      <c r="B18" s="4">
        <v>2</v>
      </c>
      <c r="C18" s="13">
        <v>45108</v>
      </c>
      <c r="D18" s="51">
        <f>1694757-925-8494</f>
        <v>1685338</v>
      </c>
      <c r="E18" s="52">
        <v>1696938.11</v>
      </c>
      <c r="F18" s="14">
        <f t="shared" ref="F18:F25" si="0">D18-E18</f>
        <v>-11600.110000000102</v>
      </c>
      <c r="G18" s="12">
        <f t="shared" ref="G18:G25" si="1">G17+F18</f>
        <v>289486.47999999986</v>
      </c>
    </row>
    <row r="19" spans="2:7" x14ac:dyDescent="0.2">
      <c r="B19" s="4">
        <v>3</v>
      </c>
      <c r="C19" s="15">
        <v>45139</v>
      </c>
      <c r="D19" s="53">
        <f>1776036-0-4774</f>
        <v>1771262</v>
      </c>
      <c r="E19" s="60">
        <v>1588589.83</v>
      </c>
      <c r="F19" s="16">
        <f t="shared" si="0"/>
        <v>182672.16999999993</v>
      </c>
      <c r="G19" s="17">
        <f t="shared" si="1"/>
        <v>472158.64999999979</v>
      </c>
    </row>
    <row r="20" spans="2:7" x14ac:dyDescent="0.2">
      <c r="B20" s="4">
        <v>4</v>
      </c>
      <c r="C20" s="15">
        <v>45170</v>
      </c>
      <c r="D20" s="53">
        <f>1160840-0-2159</f>
        <v>1158681</v>
      </c>
      <c r="E20" s="60">
        <v>1385158.88</v>
      </c>
      <c r="F20" s="16">
        <f t="shared" si="0"/>
        <v>-226477.87999999989</v>
      </c>
      <c r="G20" s="17">
        <f t="shared" si="1"/>
        <v>245680.7699999999</v>
      </c>
    </row>
    <row r="21" spans="2:7" x14ac:dyDescent="0.2">
      <c r="B21" s="4">
        <v>5</v>
      </c>
      <c r="C21" s="15">
        <v>45200</v>
      </c>
      <c r="D21" s="53">
        <f>966272-706-541</f>
        <v>965025</v>
      </c>
      <c r="E21" s="60">
        <v>1006604.21</v>
      </c>
      <c r="F21" s="16">
        <f t="shared" si="0"/>
        <v>-41579.209999999963</v>
      </c>
      <c r="G21" s="17">
        <f t="shared" si="1"/>
        <v>204101.55999999994</v>
      </c>
    </row>
    <row r="22" spans="2:7" x14ac:dyDescent="0.2">
      <c r="B22" s="4">
        <v>6</v>
      </c>
      <c r="C22" s="15">
        <v>45231</v>
      </c>
      <c r="D22" s="53">
        <f>1242483-854-4247</f>
        <v>1237382</v>
      </c>
      <c r="E22" s="60">
        <v>1055558.69</v>
      </c>
      <c r="F22" s="16">
        <f t="shared" si="0"/>
        <v>181823.31000000006</v>
      </c>
      <c r="G22" s="17">
        <f t="shared" si="1"/>
        <v>385924.87</v>
      </c>
    </row>
    <row r="23" spans="2:7" x14ac:dyDescent="0.2">
      <c r="B23" s="4">
        <v>7</v>
      </c>
      <c r="C23" s="15">
        <v>45261</v>
      </c>
      <c r="D23" s="53">
        <f>1389304-819-5652</f>
        <v>1382833</v>
      </c>
      <c r="E23" s="60">
        <v>1536428.46</v>
      </c>
      <c r="F23" s="18">
        <f t="shared" si="0"/>
        <v>-153595.45999999996</v>
      </c>
      <c r="G23" s="19">
        <f t="shared" si="1"/>
        <v>232329.41000000003</v>
      </c>
    </row>
    <row r="24" spans="2:7" x14ac:dyDescent="0.2">
      <c r="B24" s="20" t="s">
        <v>19</v>
      </c>
      <c r="C24" s="13">
        <v>45292</v>
      </c>
      <c r="D24" s="51">
        <f>1711570-754-7976</f>
        <v>1702840</v>
      </c>
      <c r="E24" s="52">
        <v>1775163.83</v>
      </c>
      <c r="F24" s="14">
        <f t="shared" si="0"/>
        <v>-72323.830000000075</v>
      </c>
      <c r="G24" s="12">
        <f t="shared" si="1"/>
        <v>160005.57999999996</v>
      </c>
    </row>
    <row r="25" spans="2:7" x14ac:dyDescent="0.2">
      <c r="B25" s="21" t="s">
        <v>20</v>
      </c>
      <c r="C25" s="22">
        <v>45323</v>
      </c>
      <c r="D25" s="61">
        <f>1238169-706-6688</f>
        <v>1230775</v>
      </c>
      <c r="E25" s="62">
        <v>1176969.06</v>
      </c>
      <c r="F25" s="18">
        <f t="shared" si="0"/>
        <v>53805.939999999944</v>
      </c>
      <c r="G25" s="19">
        <f t="shared" si="1"/>
        <v>213811.5199999999</v>
      </c>
    </row>
    <row r="26" spans="2:7" x14ac:dyDescent="0.2">
      <c r="B26" s="5"/>
      <c r="C26" s="23" t="s">
        <v>90</v>
      </c>
      <c r="D26" s="24"/>
      <c r="E26" s="24"/>
      <c r="F26" s="24"/>
      <c r="G26" s="25"/>
    </row>
    <row r="27" spans="2:7" x14ac:dyDescent="0.2">
      <c r="B27" s="2"/>
      <c r="C27" s="1"/>
      <c r="D27" s="1"/>
      <c r="E27" s="1"/>
      <c r="F27" s="1"/>
      <c r="G27" s="12"/>
    </row>
    <row r="28" spans="2:7" x14ac:dyDescent="0.2">
      <c r="B28" s="4"/>
      <c r="C28" s="3"/>
      <c r="D28" s="4" t="s">
        <v>21</v>
      </c>
      <c r="E28" s="4" t="s">
        <v>22</v>
      </c>
      <c r="F28" s="3"/>
      <c r="G28" s="17"/>
    </row>
    <row r="29" spans="2:7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</row>
    <row r="30" spans="2:7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7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7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85" t="s">
        <v>91</v>
      </c>
      <c r="D33" s="86">
        <f>-G13</f>
        <v>-695078</v>
      </c>
      <c r="E33" s="86">
        <f>D66</f>
        <v>0</v>
      </c>
      <c r="F33" s="39"/>
      <c r="G33" s="87">
        <f t="shared" ref="G33:G36" si="2">D33+E33</f>
        <v>-695078</v>
      </c>
    </row>
    <row r="34" spans="2:7" x14ac:dyDescent="0.2">
      <c r="B34" s="27" t="s">
        <v>73</v>
      </c>
      <c r="C34" s="88" t="s">
        <v>79</v>
      </c>
      <c r="D34" s="33">
        <f>-G14</f>
        <v>387494.97</v>
      </c>
      <c r="E34" s="33">
        <v>0</v>
      </c>
      <c r="G34" s="41">
        <f t="shared" si="2"/>
        <v>387494.97</v>
      </c>
    </row>
    <row r="35" spans="2:7" x14ac:dyDescent="0.2">
      <c r="B35" s="27" t="s">
        <v>80</v>
      </c>
      <c r="C35" s="88" t="s">
        <v>85</v>
      </c>
      <c r="D35" s="33">
        <f>-G15</f>
        <v>-202241.20999999996</v>
      </c>
      <c r="E35" s="33">
        <v>0</v>
      </c>
      <c r="G35" s="41">
        <f t="shared" si="2"/>
        <v>-202241.20999999996</v>
      </c>
    </row>
    <row r="36" spans="2:7" x14ac:dyDescent="0.2">
      <c r="B36" s="27" t="s">
        <v>86</v>
      </c>
      <c r="C36" s="89" t="s">
        <v>92</v>
      </c>
      <c r="D36" s="90">
        <f>-G16</f>
        <v>208737.65000000002</v>
      </c>
      <c r="E36" s="90">
        <v>0</v>
      </c>
      <c r="F36" s="44"/>
      <c r="G36" s="42">
        <f t="shared" si="2"/>
        <v>208737.65000000002</v>
      </c>
    </row>
    <row r="37" spans="2:7" x14ac:dyDescent="0.2">
      <c r="B37" s="5" t="s">
        <v>93</v>
      </c>
      <c r="C37" s="29"/>
      <c r="D37" s="30"/>
      <c r="E37" s="30"/>
      <c r="F37" s="31" t="s">
        <v>35</v>
      </c>
      <c r="G37" s="19">
        <f>G33+G34+G35+G36</f>
        <v>-301086.58999999997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94</v>
      </c>
      <c r="D39" s="8"/>
      <c r="E39" s="8"/>
      <c r="F39" s="9"/>
      <c r="G39" s="35">
        <f>G23+G37</f>
        <v>-68757.179999999935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74</v>
      </c>
      <c r="D41" s="8"/>
      <c r="E41" s="8"/>
      <c r="F41" s="9"/>
      <c r="G41" s="35">
        <f>G39/6</f>
        <v>-11459.52999999999</v>
      </c>
    </row>
    <row r="43" spans="2:7" x14ac:dyDescent="0.2">
      <c r="B43" s="1"/>
      <c r="C43" s="36" t="s">
        <v>36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37</v>
      </c>
      <c r="G45" s="41">
        <f>G17</f>
        <v>301086.58999999997</v>
      </c>
    </row>
    <row r="46" spans="2:7" x14ac:dyDescent="0.2">
      <c r="B46" s="4">
        <v>12</v>
      </c>
      <c r="C46" t="s">
        <v>38</v>
      </c>
      <c r="G46" s="42">
        <f>G37</f>
        <v>-301086.58999999997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39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40</v>
      </c>
      <c r="G50" s="41">
        <f>G39</f>
        <v>-68757.179999999935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41</v>
      </c>
      <c r="G52" s="42">
        <f>SUM(F18:F23)</f>
        <v>-68757.179999999935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42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43</v>
      </c>
    </row>
    <row r="58" spans="2:7" x14ac:dyDescent="0.2">
      <c r="B58" s="32"/>
      <c r="C58" s="1"/>
      <c r="D58" s="2" t="s">
        <v>44</v>
      </c>
      <c r="E58" s="27"/>
      <c r="F58" s="32"/>
      <c r="G58" s="32"/>
    </row>
    <row r="59" spans="2:7" x14ac:dyDescent="0.2">
      <c r="B59" s="32"/>
      <c r="C59" s="5" t="s">
        <v>11</v>
      </c>
      <c r="D59" s="5" t="s">
        <v>75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45</v>
      </c>
      <c r="D66" s="35">
        <f>SUM(D60:D65)</f>
        <v>0</v>
      </c>
      <c r="E66" s="16"/>
      <c r="F66" s="33"/>
      <c r="G66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E9E6-8F6A-4EE8-B463-DFBE44B43E39}">
  <dimension ref="A1:G68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Salt River Surcharge Summary.xlsx</v>
      </c>
    </row>
    <row r="4" spans="1:7" ht="14.25" customHeight="1" x14ac:dyDescent="0.2">
      <c r="B4" s="77" t="s">
        <v>0</v>
      </c>
      <c r="C4" s="78"/>
      <c r="D4" s="78"/>
      <c r="E4" s="78"/>
      <c r="F4" s="78"/>
      <c r="G4" s="79"/>
    </row>
    <row r="5" spans="1:7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1</v>
      </c>
      <c r="F7" s="1"/>
      <c r="G7" s="1"/>
    </row>
    <row r="8" spans="1:7" x14ac:dyDescent="0.2">
      <c r="B8" s="3"/>
      <c r="C8" s="3"/>
      <c r="D8" s="4" t="s">
        <v>2</v>
      </c>
      <c r="E8" s="4" t="s">
        <v>3</v>
      </c>
      <c r="F8" s="3"/>
      <c r="G8" s="3"/>
    </row>
    <row r="9" spans="1:7" x14ac:dyDescent="0.2">
      <c r="B9" s="3"/>
      <c r="C9" s="3"/>
      <c r="D9" s="4" t="s">
        <v>4</v>
      </c>
      <c r="E9" s="4" t="s">
        <v>5</v>
      </c>
      <c r="F9" s="4" t="s">
        <v>6</v>
      </c>
      <c r="G9" s="4" t="s">
        <v>7</v>
      </c>
    </row>
    <row r="10" spans="1:7" x14ac:dyDescent="0.2">
      <c r="B10" s="5"/>
      <c r="C10" s="5"/>
      <c r="D10" s="5" t="s">
        <v>8</v>
      </c>
      <c r="E10" s="5" t="s">
        <v>8</v>
      </c>
      <c r="F10" s="5" t="s">
        <v>9</v>
      </c>
      <c r="G10" s="5" t="s">
        <v>9</v>
      </c>
    </row>
    <row r="11" spans="1:7" x14ac:dyDescent="0.2">
      <c r="B11" s="6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</row>
    <row r="12" spans="1:7" x14ac:dyDescent="0.2">
      <c r="B12" s="2">
        <v>1</v>
      </c>
      <c r="C12" s="69" t="s">
        <v>16</v>
      </c>
      <c r="D12" s="70"/>
      <c r="E12" s="70"/>
      <c r="F12" s="70"/>
      <c r="G12" s="71"/>
    </row>
    <row r="13" spans="1:7" x14ac:dyDescent="0.2">
      <c r="B13" s="2" t="s">
        <v>17</v>
      </c>
      <c r="C13" s="8" t="s">
        <v>69</v>
      </c>
      <c r="D13" s="8"/>
      <c r="E13" s="8"/>
      <c r="F13" s="9"/>
      <c r="G13" s="35">
        <v>695078</v>
      </c>
    </row>
    <row r="14" spans="1:7" x14ac:dyDescent="0.2">
      <c r="B14" s="4" t="s">
        <v>70</v>
      </c>
      <c r="C14" s="8" t="s">
        <v>76</v>
      </c>
      <c r="D14" s="8"/>
      <c r="E14" s="8"/>
      <c r="F14" s="9"/>
      <c r="G14" s="83">
        <f>'A - 05-31-22'!G33</f>
        <v>-387494.97</v>
      </c>
    </row>
    <row r="15" spans="1:7" x14ac:dyDescent="0.2">
      <c r="B15" s="4" t="s">
        <v>77</v>
      </c>
      <c r="C15" s="8" t="s">
        <v>82</v>
      </c>
      <c r="D15" s="8"/>
      <c r="E15" s="8"/>
      <c r="F15" s="9"/>
      <c r="G15" s="83">
        <f>'B - 11-30-22'!G35</f>
        <v>202241.20999999996</v>
      </c>
    </row>
    <row r="16" spans="1:7" x14ac:dyDescent="0.2">
      <c r="B16" s="4" t="s">
        <v>83</v>
      </c>
      <c r="C16" s="8" t="s">
        <v>88</v>
      </c>
      <c r="D16" s="8"/>
      <c r="E16" s="8"/>
      <c r="F16" s="11"/>
      <c r="G16" s="51">
        <f>'C - 05-31-23'!G37</f>
        <v>-208737.65000000002</v>
      </c>
    </row>
    <row r="17" spans="2:7" x14ac:dyDescent="0.2">
      <c r="B17" s="4" t="s">
        <v>89</v>
      </c>
      <c r="C17" s="8" t="s">
        <v>95</v>
      </c>
      <c r="D17" s="8"/>
      <c r="E17" s="8"/>
      <c r="F17" s="11"/>
      <c r="G17" s="51">
        <f>'D - 11-30-23'!G39</f>
        <v>-68757.179999999935</v>
      </c>
    </row>
    <row r="18" spans="2:7" x14ac:dyDescent="0.2">
      <c r="B18" s="5" t="s">
        <v>96</v>
      </c>
      <c r="C18" s="8" t="s">
        <v>18</v>
      </c>
      <c r="D18" s="8"/>
      <c r="E18" s="8"/>
      <c r="F18" s="11"/>
      <c r="G18" s="12">
        <f>G13+G14+G15+G16+G17</f>
        <v>232329.41000000003</v>
      </c>
    </row>
    <row r="19" spans="2:7" x14ac:dyDescent="0.2">
      <c r="B19" s="4">
        <v>2</v>
      </c>
      <c r="C19" s="13">
        <v>45292</v>
      </c>
      <c r="D19" s="51">
        <f>1711570-754-7976</f>
        <v>1702840</v>
      </c>
      <c r="E19" s="52">
        <v>1775163.83</v>
      </c>
      <c r="F19" s="14">
        <f t="shared" ref="F19:F26" si="0">D19-E19</f>
        <v>-72323.830000000075</v>
      </c>
      <c r="G19" s="12">
        <f t="shared" ref="G19:G26" si="1">G18+F19</f>
        <v>160005.57999999996</v>
      </c>
    </row>
    <row r="20" spans="2:7" x14ac:dyDescent="0.2">
      <c r="B20" s="4">
        <v>3</v>
      </c>
      <c r="C20" s="15">
        <v>45323</v>
      </c>
      <c r="D20" s="53">
        <f>1238169-706-6688</f>
        <v>1230775</v>
      </c>
      <c r="E20" s="60">
        <v>1176969.06</v>
      </c>
      <c r="F20" s="16">
        <f t="shared" si="0"/>
        <v>53805.939999999944</v>
      </c>
      <c r="G20" s="17">
        <f t="shared" si="1"/>
        <v>213811.5199999999</v>
      </c>
    </row>
    <row r="21" spans="2:7" x14ac:dyDescent="0.2">
      <c r="B21" s="4">
        <v>4</v>
      </c>
      <c r="C21" s="15">
        <v>45352</v>
      </c>
      <c r="D21" s="53">
        <f>772232-505-4980</f>
        <v>766747</v>
      </c>
      <c r="E21" s="60">
        <v>1041336.85</v>
      </c>
      <c r="F21" s="16">
        <f t="shared" si="0"/>
        <v>-274589.84999999998</v>
      </c>
      <c r="G21" s="17">
        <f t="shared" si="1"/>
        <v>-60778.330000000075</v>
      </c>
    </row>
    <row r="22" spans="2:7" x14ac:dyDescent="0.2">
      <c r="B22" s="4">
        <v>5</v>
      </c>
      <c r="C22" s="15">
        <v>45383</v>
      </c>
      <c r="D22" s="53">
        <f>835031-697-4308</f>
        <v>830026</v>
      </c>
      <c r="E22" s="60">
        <v>777029.97</v>
      </c>
      <c r="F22" s="16">
        <f t="shared" si="0"/>
        <v>52996.030000000028</v>
      </c>
      <c r="G22" s="17">
        <f t="shared" si="1"/>
        <v>-7782.3000000000466</v>
      </c>
    </row>
    <row r="23" spans="2:7" x14ac:dyDescent="0.2">
      <c r="B23" s="4">
        <v>6</v>
      </c>
      <c r="C23" s="15">
        <v>45413</v>
      </c>
      <c r="D23" s="53">
        <f>1315181-858-9573</f>
        <v>1304750</v>
      </c>
      <c r="E23" s="60">
        <v>1223560.24</v>
      </c>
      <c r="F23" s="16">
        <f t="shared" si="0"/>
        <v>81189.760000000009</v>
      </c>
      <c r="G23" s="17">
        <f t="shared" si="1"/>
        <v>73407.459999999963</v>
      </c>
    </row>
    <row r="24" spans="2:7" x14ac:dyDescent="0.2">
      <c r="B24" s="4">
        <v>7</v>
      </c>
      <c r="C24" s="15">
        <v>45444</v>
      </c>
      <c r="D24" s="53">
        <f>1815084-1042-6513</f>
        <v>1807529</v>
      </c>
      <c r="E24" s="60">
        <v>1533154.32</v>
      </c>
      <c r="F24" s="18">
        <f t="shared" si="0"/>
        <v>274374.67999999993</v>
      </c>
      <c r="G24" s="19">
        <f t="shared" si="1"/>
        <v>347782.1399999999</v>
      </c>
    </row>
    <row r="25" spans="2:7" x14ac:dyDescent="0.2">
      <c r="B25" s="20" t="s">
        <v>19</v>
      </c>
      <c r="C25" s="13">
        <v>45474</v>
      </c>
      <c r="D25" s="51">
        <f>1743757-0-3357</f>
        <v>1740400</v>
      </c>
      <c r="E25" s="52">
        <v>2093032.41</v>
      </c>
      <c r="F25" s="14">
        <f t="shared" si="0"/>
        <v>-352632.40999999992</v>
      </c>
      <c r="G25" s="12">
        <f t="shared" si="1"/>
        <v>-4850.2700000000186</v>
      </c>
    </row>
    <row r="26" spans="2:7" x14ac:dyDescent="0.2">
      <c r="B26" s="21" t="s">
        <v>20</v>
      </c>
      <c r="C26" s="22">
        <v>45505</v>
      </c>
      <c r="D26" s="61">
        <f>1556874-0-5503</f>
        <v>1551371</v>
      </c>
      <c r="E26" s="62">
        <v>1876689.3</v>
      </c>
      <c r="F26" s="18">
        <f t="shared" si="0"/>
        <v>-325318.30000000005</v>
      </c>
      <c r="G26" s="19">
        <f t="shared" si="1"/>
        <v>-330168.57000000007</v>
      </c>
    </row>
    <row r="27" spans="2:7" x14ac:dyDescent="0.2">
      <c r="B27" s="5"/>
      <c r="C27" s="23" t="s">
        <v>97</v>
      </c>
      <c r="D27" s="24"/>
      <c r="E27" s="24"/>
      <c r="F27" s="24"/>
      <c r="G27" s="25"/>
    </row>
    <row r="28" spans="2:7" x14ac:dyDescent="0.2">
      <c r="B28" s="2"/>
      <c r="C28" s="1"/>
      <c r="D28" s="1"/>
      <c r="E28" s="1"/>
      <c r="F28" s="1"/>
      <c r="G28" s="12"/>
    </row>
    <row r="29" spans="2:7" x14ac:dyDescent="0.2">
      <c r="B29" s="4"/>
      <c r="C29" s="3"/>
      <c r="D29" s="4" t="s">
        <v>21</v>
      </c>
      <c r="E29" s="4" t="s">
        <v>22</v>
      </c>
      <c r="F29" s="3"/>
      <c r="G29" s="17"/>
    </row>
    <row r="30" spans="2:7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</row>
    <row r="31" spans="2:7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7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91</v>
      </c>
      <c r="D34" s="12">
        <f>-G13</f>
        <v>-695078</v>
      </c>
      <c r="E34" s="12">
        <f>D68</f>
        <v>463384</v>
      </c>
      <c r="F34" s="1"/>
      <c r="G34" s="12">
        <f t="shared" ref="G34:G38" si="2">D34+E34</f>
        <v>-231694</v>
      </c>
    </row>
    <row r="35" spans="2:7" x14ac:dyDescent="0.2">
      <c r="B35" s="27" t="s">
        <v>73</v>
      </c>
      <c r="C35" s="3" t="s">
        <v>79</v>
      </c>
      <c r="D35" s="17">
        <f>-G14</f>
        <v>387494.97</v>
      </c>
      <c r="E35" s="17">
        <v>0</v>
      </c>
      <c r="F35" s="3"/>
      <c r="G35" s="17">
        <f t="shared" si="2"/>
        <v>387494.97</v>
      </c>
    </row>
    <row r="36" spans="2:7" x14ac:dyDescent="0.2">
      <c r="B36" s="27" t="s">
        <v>80</v>
      </c>
      <c r="C36" s="3" t="s">
        <v>85</v>
      </c>
      <c r="D36" s="17">
        <f>-G15</f>
        <v>-202241.20999999996</v>
      </c>
      <c r="E36" s="17">
        <v>0</v>
      </c>
      <c r="F36" s="3"/>
      <c r="G36" s="17">
        <f t="shared" si="2"/>
        <v>-202241.20999999996</v>
      </c>
    </row>
    <row r="37" spans="2:7" x14ac:dyDescent="0.2">
      <c r="B37" s="27" t="s">
        <v>86</v>
      </c>
      <c r="C37" s="3" t="s">
        <v>92</v>
      </c>
      <c r="D37" s="17">
        <f>-G16</f>
        <v>208737.65000000002</v>
      </c>
      <c r="E37" s="17">
        <v>0</v>
      </c>
      <c r="F37" s="3"/>
      <c r="G37" s="17">
        <f t="shared" si="2"/>
        <v>208737.65000000002</v>
      </c>
    </row>
    <row r="38" spans="2:7" x14ac:dyDescent="0.2">
      <c r="B38" s="27" t="s">
        <v>93</v>
      </c>
      <c r="C38" s="28" t="s">
        <v>98</v>
      </c>
      <c r="D38" s="19">
        <f>-G17</f>
        <v>68757.179999999935</v>
      </c>
      <c r="E38" s="19">
        <v>0</v>
      </c>
      <c r="F38" s="28"/>
      <c r="G38" s="19">
        <f t="shared" si="2"/>
        <v>68757.179999999935</v>
      </c>
    </row>
    <row r="39" spans="2:7" x14ac:dyDescent="0.2">
      <c r="B39" s="5" t="s">
        <v>99</v>
      </c>
      <c r="C39" s="29"/>
      <c r="D39" s="30"/>
      <c r="E39" s="30"/>
      <c r="F39" s="31" t="s">
        <v>35</v>
      </c>
      <c r="G39" s="19">
        <f>G34+G35+G36+G37+G38</f>
        <v>231054.58999999997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100</v>
      </c>
      <c r="D41" s="8"/>
      <c r="E41" s="8"/>
      <c r="F41" s="9"/>
      <c r="G41" s="35">
        <f>G24+G39</f>
        <v>578836.72999999986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74</v>
      </c>
      <c r="D43" s="8"/>
      <c r="E43" s="8"/>
      <c r="F43" s="9"/>
      <c r="G43" s="35">
        <f>G41/6</f>
        <v>96472.788333333316</v>
      </c>
    </row>
    <row r="45" spans="2:7" x14ac:dyDescent="0.2">
      <c r="B45" s="1"/>
      <c r="C45" s="36" t="s">
        <v>36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37</v>
      </c>
      <c r="G47" s="41">
        <f>G18</f>
        <v>232329.41000000003</v>
      </c>
    </row>
    <row r="48" spans="2:7" x14ac:dyDescent="0.2">
      <c r="B48" s="4">
        <v>12</v>
      </c>
      <c r="C48" t="s">
        <v>38</v>
      </c>
      <c r="G48" s="42">
        <f>G39</f>
        <v>231054.58999999997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39</v>
      </c>
      <c r="G50" s="43">
        <f>G47+G48</f>
        <v>463384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40</v>
      </c>
      <c r="G52" s="41">
        <f>G41</f>
        <v>578836.72999999986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41</v>
      </c>
      <c r="G54" s="42">
        <f>SUM(F19:F24)</f>
        <v>115452.72999999986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42</v>
      </c>
      <c r="G56" s="43">
        <f>G52-G54</f>
        <v>463384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43</v>
      </c>
    </row>
    <row r="60" spans="2:7" x14ac:dyDescent="0.2">
      <c r="B60" s="32"/>
      <c r="C60" s="1"/>
      <c r="D60" s="2" t="s">
        <v>44</v>
      </c>
      <c r="E60" s="27"/>
      <c r="F60" s="32"/>
      <c r="G60" s="32"/>
    </row>
    <row r="61" spans="2:7" x14ac:dyDescent="0.2">
      <c r="B61" s="32"/>
      <c r="C61" s="5" t="s">
        <v>11</v>
      </c>
      <c r="D61" s="5" t="s">
        <v>75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115846</v>
      </c>
      <c r="E64" s="16"/>
      <c r="F64" s="33"/>
      <c r="G64" s="33"/>
    </row>
    <row r="65" spans="3:7" x14ac:dyDescent="0.2">
      <c r="C65" s="15">
        <v>45383</v>
      </c>
      <c r="D65" s="17">
        <v>115846</v>
      </c>
      <c r="E65" s="16"/>
      <c r="F65" s="33"/>
      <c r="G65" s="33"/>
    </row>
    <row r="66" spans="3:7" x14ac:dyDescent="0.2">
      <c r="C66" s="15">
        <v>45413</v>
      </c>
      <c r="D66" s="17">
        <v>115846</v>
      </c>
      <c r="E66" s="16"/>
      <c r="F66" s="33"/>
      <c r="G66" s="33"/>
    </row>
    <row r="67" spans="3:7" x14ac:dyDescent="0.2">
      <c r="C67" s="15">
        <v>45444</v>
      </c>
      <c r="D67" s="19">
        <v>115846</v>
      </c>
      <c r="E67" s="16"/>
      <c r="F67" s="33"/>
      <c r="G67" s="33"/>
    </row>
    <row r="68" spans="3:7" x14ac:dyDescent="0.2">
      <c r="C68" s="49" t="s">
        <v>45</v>
      </c>
      <c r="D68" s="35">
        <f>SUM(D62:D67)</f>
        <v>463384</v>
      </c>
      <c r="E68" s="16"/>
      <c r="F68" s="33"/>
      <c r="G68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C50B1-8AF4-4261-99B4-86C23B1173F9}">
  <dimension ref="A1:J70"/>
  <sheetViews>
    <sheetView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Salt River Surcharge Summary.xlsx</v>
      </c>
    </row>
    <row r="4" spans="1:7" ht="14.25" customHeight="1" x14ac:dyDescent="0.2">
      <c r="B4" s="77" t="s">
        <v>0</v>
      </c>
      <c r="C4" s="78"/>
      <c r="D4" s="78"/>
      <c r="E4" s="78"/>
      <c r="F4" s="78"/>
      <c r="G4" s="79"/>
    </row>
    <row r="5" spans="1:7" ht="14.25" customHeight="1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1</v>
      </c>
      <c r="F7" s="1"/>
      <c r="G7" s="1"/>
    </row>
    <row r="8" spans="1:7" x14ac:dyDescent="0.2">
      <c r="B8" s="3"/>
      <c r="C8" s="3"/>
      <c r="D8" s="4" t="s">
        <v>2</v>
      </c>
      <c r="E8" s="4" t="s">
        <v>3</v>
      </c>
      <c r="F8" s="3"/>
      <c r="G8" s="3"/>
    </row>
    <row r="9" spans="1:7" x14ac:dyDescent="0.2">
      <c r="B9" s="3"/>
      <c r="C9" s="3"/>
      <c r="D9" s="4" t="s">
        <v>4</v>
      </c>
      <c r="E9" s="4" t="s">
        <v>5</v>
      </c>
      <c r="F9" s="4" t="s">
        <v>6</v>
      </c>
      <c r="G9" s="4" t="s">
        <v>7</v>
      </c>
    </row>
    <row r="10" spans="1:7" x14ac:dyDescent="0.2">
      <c r="B10" s="5"/>
      <c r="C10" s="5"/>
      <c r="D10" s="5" t="s">
        <v>8</v>
      </c>
      <c r="E10" s="5" t="s">
        <v>8</v>
      </c>
      <c r="F10" s="5" t="s">
        <v>9</v>
      </c>
      <c r="G10" s="5" t="s">
        <v>9</v>
      </c>
    </row>
    <row r="11" spans="1:7" x14ac:dyDescent="0.2">
      <c r="B11" s="6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</row>
    <row r="12" spans="1:7" x14ac:dyDescent="0.2">
      <c r="B12" s="2">
        <v>1</v>
      </c>
      <c r="C12" s="69" t="s">
        <v>16</v>
      </c>
      <c r="D12" s="70"/>
      <c r="E12" s="70"/>
      <c r="F12" s="70"/>
      <c r="G12" s="71"/>
    </row>
    <row r="13" spans="1:7" x14ac:dyDescent="0.2">
      <c r="B13" s="2" t="s">
        <v>17</v>
      </c>
      <c r="C13" s="8" t="s">
        <v>69</v>
      </c>
      <c r="D13" s="8"/>
      <c r="E13" s="8"/>
      <c r="F13" s="9"/>
      <c r="G13" s="35">
        <v>231694</v>
      </c>
    </row>
    <row r="14" spans="1:7" x14ac:dyDescent="0.2">
      <c r="B14" s="4" t="s">
        <v>70</v>
      </c>
      <c r="C14" s="8" t="s">
        <v>76</v>
      </c>
      <c r="D14" s="8"/>
      <c r="E14" s="8"/>
      <c r="F14" s="9"/>
      <c r="G14" s="83">
        <f>'A - 05-31-22'!G33</f>
        <v>-387494.97</v>
      </c>
    </row>
    <row r="15" spans="1:7" x14ac:dyDescent="0.2">
      <c r="B15" s="4" t="s">
        <v>77</v>
      </c>
      <c r="C15" s="8" t="s">
        <v>82</v>
      </c>
      <c r="D15" s="8"/>
      <c r="E15" s="8"/>
      <c r="F15" s="9"/>
      <c r="G15" s="83">
        <f>'B - 11-30-22'!G35</f>
        <v>202241.20999999996</v>
      </c>
    </row>
    <row r="16" spans="1:7" x14ac:dyDescent="0.2">
      <c r="B16" s="4" t="s">
        <v>83</v>
      </c>
      <c r="C16" s="8" t="s">
        <v>88</v>
      </c>
      <c r="D16" s="8"/>
      <c r="E16" s="8"/>
      <c r="F16" s="11"/>
      <c r="G16" s="51">
        <f>'C - 05-31-23'!G37</f>
        <v>-208737.65000000002</v>
      </c>
    </row>
    <row r="17" spans="2:10" x14ac:dyDescent="0.2">
      <c r="B17" s="4" t="s">
        <v>89</v>
      </c>
      <c r="C17" s="8" t="s">
        <v>95</v>
      </c>
      <c r="D17" s="8"/>
      <c r="E17" s="8"/>
      <c r="F17" s="11"/>
      <c r="G17" s="51">
        <f>'D - 11-30-23'!G39</f>
        <v>-68757.179999999935</v>
      </c>
    </row>
    <row r="18" spans="2:10" x14ac:dyDescent="0.2">
      <c r="B18" s="4" t="s">
        <v>96</v>
      </c>
      <c r="C18" s="8" t="s">
        <v>101</v>
      </c>
      <c r="D18" s="8"/>
      <c r="E18" s="8"/>
      <c r="F18" s="11"/>
      <c r="G18" s="51">
        <f>'E - 05-31-24'!G41</f>
        <v>578836.72999999986</v>
      </c>
    </row>
    <row r="19" spans="2:10" x14ac:dyDescent="0.2">
      <c r="B19" s="5" t="s">
        <v>46</v>
      </c>
      <c r="C19" s="8" t="s">
        <v>18</v>
      </c>
      <c r="D19" s="8"/>
      <c r="E19" s="8"/>
      <c r="F19" s="11"/>
      <c r="G19" s="12">
        <f>G13+G14+G15+G16+G17+G18</f>
        <v>347782.1399999999</v>
      </c>
    </row>
    <row r="20" spans="2:10" x14ac:dyDescent="0.2">
      <c r="B20" s="4">
        <v>2</v>
      </c>
      <c r="C20" s="13">
        <v>45474</v>
      </c>
      <c r="D20" s="51">
        <f>1743757-0-3357</f>
        <v>1740400</v>
      </c>
      <c r="E20" s="52">
        <v>2093032.41</v>
      </c>
      <c r="F20" s="14">
        <f t="shared" ref="F20:F27" si="0">D20-E20</f>
        <v>-352632.40999999992</v>
      </c>
      <c r="G20" s="12">
        <f t="shared" ref="G20:G27" si="1">G19+F20</f>
        <v>-4850.2700000000186</v>
      </c>
      <c r="J20" s="33"/>
    </row>
    <row r="21" spans="2:10" x14ac:dyDescent="0.2">
      <c r="B21" s="4">
        <v>3</v>
      </c>
      <c r="C21" s="15">
        <v>45505</v>
      </c>
      <c r="D21" s="53">
        <f>1556874-0-5503</f>
        <v>1551371</v>
      </c>
      <c r="E21" s="60">
        <v>1876689.3</v>
      </c>
      <c r="F21" s="16">
        <f t="shared" si="0"/>
        <v>-325318.30000000005</v>
      </c>
      <c r="G21" s="17">
        <f t="shared" si="1"/>
        <v>-330168.57000000007</v>
      </c>
    </row>
    <row r="22" spans="2:10" x14ac:dyDescent="0.2">
      <c r="B22" s="4">
        <v>4</v>
      </c>
      <c r="C22" s="15">
        <v>45536</v>
      </c>
      <c r="D22" s="53">
        <f>1539519-0-2247</f>
        <v>1537272</v>
      </c>
      <c r="E22" s="60">
        <v>1544049.19</v>
      </c>
      <c r="F22" s="16">
        <f t="shared" si="0"/>
        <v>-6777.1899999999441</v>
      </c>
      <c r="G22" s="17">
        <f t="shared" si="1"/>
        <v>-336945.76</v>
      </c>
      <c r="J22" s="33"/>
    </row>
    <row r="23" spans="2:10" x14ac:dyDescent="0.2">
      <c r="B23" s="4">
        <v>5</v>
      </c>
      <c r="C23" s="15">
        <v>45566</v>
      </c>
      <c r="D23" s="53">
        <f>1160714-852-3823</f>
        <v>1156039</v>
      </c>
      <c r="E23" s="60">
        <v>1410307.43</v>
      </c>
      <c r="F23" s="16">
        <f t="shared" si="0"/>
        <v>-254268.42999999993</v>
      </c>
      <c r="G23" s="17">
        <f t="shared" si="1"/>
        <v>-591214.18999999994</v>
      </c>
    </row>
    <row r="24" spans="2:10" x14ac:dyDescent="0.2">
      <c r="B24" s="4">
        <v>6</v>
      </c>
      <c r="C24" s="15">
        <v>45597</v>
      </c>
      <c r="D24" s="53">
        <f>1262622-905-5500</f>
        <v>1256217</v>
      </c>
      <c r="E24" s="60">
        <v>1448535.58</v>
      </c>
      <c r="F24" s="16">
        <f t="shared" si="0"/>
        <v>-192318.58000000007</v>
      </c>
      <c r="G24" s="17">
        <f t="shared" si="1"/>
        <v>-783532.77</v>
      </c>
      <c r="J24" s="33"/>
    </row>
    <row r="25" spans="2:10" x14ac:dyDescent="0.2">
      <c r="B25" s="4">
        <v>7</v>
      </c>
      <c r="C25" s="15">
        <v>45627</v>
      </c>
      <c r="D25" s="53">
        <f>1869490-1133-9015</f>
        <v>1859342</v>
      </c>
      <c r="E25" s="60">
        <v>1690335.61</v>
      </c>
      <c r="F25" s="18">
        <f t="shared" si="0"/>
        <v>169006.3899999999</v>
      </c>
      <c r="G25" s="19">
        <f t="shared" si="1"/>
        <v>-614526.38000000012</v>
      </c>
    </row>
    <row r="26" spans="2:10" x14ac:dyDescent="0.2">
      <c r="B26" s="20" t="s">
        <v>19</v>
      </c>
      <c r="C26" s="13">
        <v>45658</v>
      </c>
      <c r="D26" s="51">
        <f>2346994-1031-9156</f>
        <v>2336807</v>
      </c>
      <c r="E26" s="52">
        <v>2284277.09</v>
      </c>
      <c r="F26" s="14">
        <f t="shared" si="0"/>
        <v>52529.910000000149</v>
      </c>
      <c r="G26" s="12">
        <f t="shared" si="1"/>
        <v>-561996.47</v>
      </c>
    </row>
    <row r="27" spans="2:10" x14ac:dyDescent="0.2">
      <c r="B27" s="21" t="s">
        <v>20</v>
      </c>
      <c r="C27" s="22">
        <v>45689</v>
      </c>
      <c r="D27" s="19">
        <v>0</v>
      </c>
      <c r="E27" s="18">
        <v>0</v>
      </c>
      <c r="F27" s="18">
        <f t="shared" si="0"/>
        <v>0</v>
      </c>
      <c r="G27" s="19">
        <f t="shared" si="1"/>
        <v>-561996.47</v>
      </c>
    </row>
    <row r="28" spans="2:10" x14ac:dyDescent="0.2">
      <c r="B28" s="5"/>
      <c r="C28" s="23" t="s">
        <v>102</v>
      </c>
      <c r="D28" s="24"/>
      <c r="E28" s="24"/>
      <c r="F28" s="24"/>
      <c r="G28" s="25"/>
    </row>
    <row r="29" spans="2:10" x14ac:dyDescent="0.2">
      <c r="B29" s="2"/>
      <c r="C29" s="1"/>
      <c r="D29" s="1"/>
      <c r="E29" s="1"/>
      <c r="F29" s="1"/>
      <c r="G29" s="12"/>
    </row>
    <row r="30" spans="2:10" x14ac:dyDescent="0.2">
      <c r="B30" s="4"/>
      <c r="C30" s="3"/>
      <c r="D30" s="4" t="s">
        <v>21</v>
      </c>
      <c r="E30" s="4" t="s">
        <v>22</v>
      </c>
      <c r="F30" s="3"/>
      <c r="G30" s="17"/>
    </row>
    <row r="31" spans="2:10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</row>
    <row r="32" spans="2:10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91</v>
      </c>
      <c r="D35" s="12">
        <f t="shared" ref="D35:D40" si="2">-G13</f>
        <v>-231694</v>
      </c>
      <c r="E35" s="12">
        <f>D70</f>
        <v>231694</v>
      </c>
      <c r="F35" s="1"/>
      <c r="G35" s="12">
        <f t="shared" ref="G35:G40" si="3">D35+E35</f>
        <v>0</v>
      </c>
    </row>
    <row r="36" spans="2:7" x14ac:dyDescent="0.2">
      <c r="B36" s="27" t="s">
        <v>73</v>
      </c>
      <c r="C36" s="3" t="s">
        <v>79</v>
      </c>
      <c r="D36" s="17">
        <f t="shared" si="2"/>
        <v>387494.97</v>
      </c>
      <c r="E36" s="17">
        <v>0</v>
      </c>
      <c r="F36" s="3"/>
      <c r="G36" s="17">
        <f t="shared" si="3"/>
        <v>387494.97</v>
      </c>
    </row>
    <row r="37" spans="2:7" x14ac:dyDescent="0.2">
      <c r="B37" s="27" t="s">
        <v>80</v>
      </c>
      <c r="C37" s="3" t="s">
        <v>85</v>
      </c>
      <c r="D37" s="17">
        <f t="shared" si="2"/>
        <v>-202241.20999999996</v>
      </c>
      <c r="E37" s="17">
        <v>0</v>
      </c>
      <c r="F37" s="3"/>
      <c r="G37" s="17">
        <f t="shared" si="3"/>
        <v>-202241.20999999996</v>
      </c>
    </row>
    <row r="38" spans="2:7" x14ac:dyDescent="0.2">
      <c r="B38" s="27" t="s">
        <v>86</v>
      </c>
      <c r="C38" s="3" t="s">
        <v>92</v>
      </c>
      <c r="D38" s="17">
        <f t="shared" si="2"/>
        <v>208737.65000000002</v>
      </c>
      <c r="E38" s="17">
        <v>0</v>
      </c>
      <c r="F38" s="3"/>
      <c r="G38" s="17">
        <f t="shared" si="3"/>
        <v>208737.65000000002</v>
      </c>
    </row>
    <row r="39" spans="2:7" x14ac:dyDescent="0.2">
      <c r="B39" s="27" t="s">
        <v>93</v>
      </c>
      <c r="C39" s="3" t="s">
        <v>98</v>
      </c>
      <c r="D39" s="17">
        <f t="shared" si="2"/>
        <v>68757.179999999935</v>
      </c>
      <c r="E39" s="17">
        <v>0</v>
      </c>
      <c r="F39" s="3"/>
      <c r="G39" s="17">
        <f t="shared" si="3"/>
        <v>68757.179999999935</v>
      </c>
    </row>
    <row r="40" spans="2:7" x14ac:dyDescent="0.2">
      <c r="B40" s="27" t="s">
        <v>99</v>
      </c>
      <c r="C40" s="28" t="s">
        <v>103</v>
      </c>
      <c r="D40" s="19">
        <f t="shared" si="2"/>
        <v>-578836.72999999986</v>
      </c>
      <c r="E40" s="19">
        <v>0</v>
      </c>
      <c r="F40" s="28"/>
      <c r="G40" s="19">
        <f t="shared" si="3"/>
        <v>-578836.72999999986</v>
      </c>
    </row>
    <row r="41" spans="2:7" x14ac:dyDescent="0.2">
      <c r="B41" s="5" t="s">
        <v>47</v>
      </c>
      <c r="C41" s="29"/>
      <c r="D41" s="30"/>
      <c r="E41" s="30"/>
      <c r="F41" s="31" t="s">
        <v>35</v>
      </c>
      <c r="G41" s="19">
        <f>G35+G36+G37+G38+G39+G40</f>
        <v>-116088.1399999999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104</v>
      </c>
      <c r="D43" s="8"/>
      <c r="E43" s="8"/>
      <c r="F43" s="9"/>
      <c r="G43" s="35">
        <f>G25+G41</f>
        <v>-730614.52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74</v>
      </c>
      <c r="D45" s="8"/>
      <c r="E45" s="8"/>
      <c r="F45" s="9"/>
      <c r="G45" s="35">
        <f>G43/6</f>
        <v>-121769.08666666667</v>
      </c>
    </row>
    <row r="47" spans="2:7" x14ac:dyDescent="0.2">
      <c r="B47" s="1"/>
      <c r="C47" s="36" t="s">
        <v>36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37</v>
      </c>
      <c r="G49" s="41">
        <f>G19</f>
        <v>347782.1399999999</v>
      </c>
    </row>
    <row r="50" spans="2:7" x14ac:dyDescent="0.2">
      <c r="B50" s="4">
        <v>12</v>
      </c>
      <c r="C50" t="s">
        <v>38</v>
      </c>
      <c r="G50" s="42">
        <f>G41</f>
        <v>-116088.1399999999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39</v>
      </c>
      <c r="G52" s="43">
        <f>G49+G50</f>
        <v>231694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40</v>
      </c>
      <c r="G54" s="41">
        <f>G43</f>
        <v>-730614.52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41</v>
      </c>
      <c r="G56" s="42">
        <f>SUM(F20:F25)</f>
        <v>-962308.52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42</v>
      </c>
      <c r="G58" s="43">
        <f>G54-G56</f>
        <v>231694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43</v>
      </c>
    </row>
    <row r="62" spans="2:7" x14ac:dyDescent="0.2">
      <c r="B62" s="32"/>
      <c r="C62" s="1"/>
      <c r="D62" s="2" t="s">
        <v>44</v>
      </c>
      <c r="E62" s="27"/>
      <c r="F62" s="32"/>
      <c r="G62" s="32"/>
    </row>
    <row r="63" spans="2:7" x14ac:dyDescent="0.2">
      <c r="B63" s="32"/>
      <c r="C63" s="5" t="s">
        <v>11</v>
      </c>
      <c r="D63" s="5" t="s">
        <v>75</v>
      </c>
      <c r="E63" s="27"/>
      <c r="F63" s="32"/>
      <c r="G63" s="32"/>
    </row>
    <row r="64" spans="2:7" x14ac:dyDescent="0.2">
      <c r="C64" s="13">
        <v>45474</v>
      </c>
      <c r="D64" s="12">
        <v>115846</v>
      </c>
      <c r="E64" s="16"/>
      <c r="F64" s="33"/>
      <c r="G64" s="33"/>
    </row>
    <row r="65" spans="3:7" x14ac:dyDescent="0.2">
      <c r="C65" s="15">
        <v>45505</v>
      </c>
      <c r="D65" s="17">
        <v>115848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45</v>
      </c>
      <c r="D70" s="35">
        <f>SUM(D64:D69)</f>
        <v>231694</v>
      </c>
      <c r="E70" s="16"/>
      <c r="F70" s="33"/>
      <c r="G7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2025-10-15T15:51:15Z</dcterms:modified>
</cp:coreProperties>
</file>