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4E786A18-98D2-445D-A901-5C8EE834FE70}" xr6:coauthVersionLast="47" xr6:coauthVersionMax="47" xr10:uidLastSave="{00000000-0000-0000-0000-000000000000}"/>
  <bookViews>
    <workbookView xWindow="4545" yWindow="4545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L47" i="15"/>
  <c r="K47" i="15"/>
  <c r="J47" i="15"/>
  <c r="J46" i="15"/>
  <c r="L46" i="15" s="1"/>
  <c r="L45" i="15"/>
  <c r="J45" i="15"/>
  <c r="J44" i="15"/>
  <c r="L44" i="15" s="1"/>
  <c r="J43" i="15"/>
  <c r="L43" i="15" s="1"/>
  <c r="J42" i="15"/>
  <c r="L42" i="15" s="1"/>
  <c r="L41" i="15"/>
  <c r="J41" i="15"/>
  <c r="J40" i="15"/>
  <c r="L40" i="15" s="1"/>
  <c r="M40" i="15" s="1"/>
  <c r="M41" i="15" s="1"/>
  <c r="E35" i="15"/>
  <c r="D35" i="15"/>
  <c r="G35" i="15" s="1"/>
  <c r="L27" i="15"/>
  <c r="J27" i="15"/>
  <c r="E27" i="15"/>
  <c r="D27" i="15"/>
  <c r="F27" i="15" s="1"/>
  <c r="L26" i="15"/>
  <c r="E26" i="15"/>
  <c r="F26" i="15" s="1"/>
  <c r="D26" i="15"/>
  <c r="J25" i="15"/>
  <c r="L25" i="15" s="1"/>
  <c r="E25" i="15"/>
  <c r="F25" i="15" s="1"/>
  <c r="D25" i="15"/>
  <c r="L24" i="15"/>
  <c r="F24" i="15"/>
  <c r="E24" i="15"/>
  <c r="D24" i="15"/>
  <c r="L23" i="15"/>
  <c r="E23" i="15"/>
  <c r="F23" i="15" s="1"/>
  <c r="D23" i="15"/>
  <c r="J22" i="15"/>
  <c r="L22" i="15" s="1"/>
  <c r="E22" i="15"/>
  <c r="F22" i="15" s="1"/>
  <c r="D22" i="15"/>
  <c r="L21" i="15"/>
  <c r="F21" i="15"/>
  <c r="E21" i="15"/>
  <c r="D21" i="15"/>
  <c r="L20" i="15"/>
  <c r="M20" i="15" s="1"/>
  <c r="M21" i="15" s="1"/>
  <c r="M22" i="15" s="1"/>
  <c r="M23" i="15" s="1"/>
  <c r="M24" i="15" s="1"/>
  <c r="E20" i="15"/>
  <c r="F20" i="15" s="1"/>
  <c r="D20" i="15"/>
  <c r="D68" i="14"/>
  <c r="L46" i="14"/>
  <c r="J46" i="14"/>
  <c r="J45" i="14"/>
  <c r="L45" i="14" s="1"/>
  <c r="L44" i="14"/>
  <c r="J44" i="14"/>
  <c r="J43" i="14"/>
  <c r="L43" i="14" s="1"/>
  <c r="J42" i="14"/>
  <c r="L42" i="14" s="1"/>
  <c r="L41" i="14"/>
  <c r="J41" i="14"/>
  <c r="L40" i="14"/>
  <c r="J40" i="14"/>
  <c r="L39" i="14"/>
  <c r="M39" i="14" s="1"/>
  <c r="M40" i="14" s="1"/>
  <c r="M41" i="14" s="1"/>
  <c r="M42" i="14" s="1"/>
  <c r="M43" i="14" s="1"/>
  <c r="M44" i="14" s="1"/>
  <c r="J39" i="14"/>
  <c r="E34" i="14"/>
  <c r="G34" i="14" s="1"/>
  <c r="D34" i="14"/>
  <c r="L26" i="14"/>
  <c r="F26" i="14"/>
  <c r="E26" i="14"/>
  <c r="D26" i="14"/>
  <c r="L25" i="14"/>
  <c r="E25" i="14"/>
  <c r="D25" i="14"/>
  <c r="F25" i="14" s="1"/>
  <c r="L24" i="14"/>
  <c r="J24" i="14"/>
  <c r="E24" i="14"/>
  <c r="D24" i="14"/>
  <c r="F24" i="14" s="1"/>
  <c r="L23" i="14"/>
  <c r="J23" i="14"/>
  <c r="E23" i="14"/>
  <c r="D23" i="14"/>
  <c r="F23" i="14" s="1"/>
  <c r="L22" i="14"/>
  <c r="J22" i="14"/>
  <c r="E22" i="14"/>
  <c r="D22" i="14"/>
  <c r="F22" i="14" s="1"/>
  <c r="L21" i="14"/>
  <c r="E21" i="14"/>
  <c r="F21" i="14" s="1"/>
  <c r="D21" i="14"/>
  <c r="L20" i="14"/>
  <c r="E20" i="14"/>
  <c r="D20" i="14"/>
  <c r="F20" i="14" s="1"/>
  <c r="J19" i="14"/>
  <c r="L19" i="14" s="1"/>
  <c r="M19" i="14" s="1"/>
  <c r="M20" i="14" s="1"/>
  <c r="M21" i="14" s="1"/>
  <c r="M22" i="14" s="1"/>
  <c r="M23" i="14" s="1"/>
  <c r="M24" i="14" s="1"/>
  <c r="F19" i="14"/>
  <c r="E19" i="14"/>
  <c r="D19" i="14"/>
  <c r="D66" i="13"/>
  <c r="J45" i="13"/>
  <c r="L45" i="13" s="1"/>
  <c r="J44" i="13"/>
  <c r="L44" i="13" s="1"/>
  <c r="L43" i="13"/>
  <c r="K43" i="13"/>
  <c r="J43" i="13"/>
  <c r="K42" i="13"/>
  <c r="J42" i="13"/>
  <c r="L42" i="13" s="1"/>
  <c r="K41" i="13"/>
  <c r="J41" i="13"/>
  <c r="L41" i="13" s="1"/>
  <c r="K40" i="13"/>
  <c r="L40" i="13" s="1"/>
  <c r="J40" i="13"/>
  <c r="K39" i="13"/>
  <c r="J39" i="13"/>
  <c r="L39" i="13" s="1"/>
  <c r="K38" i="13"/>
  <c r="J38" i="13"/>
  <c r="L38" i="13" s="1"/>
  <c r="M38" i="13" s="1"/>
  <c r="M39" i="13" s="1"/>
  <c r="M40" i="13" s="1"/>
  <c r="M41" i="13" s="1"/>
  <c r="E33" i="13"/>
  <c r="D33" i="13"/>
  <c r="G33" i="13" s="1"/>
  <c r="L25" i="13"/>
  <c r="E25" i="13"/>
  <c r="D25" i="13"/>
  <c r="F25" i="13" s="1"/>
  <c r="L24" i="13"/>
  <c r="J24" i="13"/>
  <c r="E24" i="13"/>
  <c r="F24" i="13" s="1"/>
  <c r="D24" i="13"/>
  <c r="L23" i="13"/>
  <c r="E23" i="13"/>
  <c r="D23" i="13"/>
  <c r="F23" i="13" s="1"/>
  <c r="L22" i="13"/>
  <c r="E22" i="13"/>
  <c r="F22" i="13" s="1"/>
  <c r="D22" i="13"/>
  <c r="L21" i="13"/>
  <c r="E21" i="13"/>
  <c r="D21" i="13"/>
  <c r="F21" i="13" s="1"/>
  <c r="L20" i="13"/>
  <c r="E20" i="13"/>
  <c r="F20" i="13" s="1"/>
  <c r="D20" i="13"/>
  <c r="L19" i="13"/>
  <c r="E19" i="13"/>
  <c r="D19" i="13"/>
  <c r="F19" i="13" s="1"/>
  <c r="J18" i="13"/>
  <c r="L18" i="13" s="1"/>
  <c r="M18" i="13" s="1"/>
  <c r="M19" i="13" s="1"/>
  <c r="M20" i="13" s="1"/>
  <c r="M21" i="13" s="1"/>
  <c r="M22" i="13" s="1"/>
  <c r="M23" i="13" s="1"/>
  <c r="M27" i="13" s="1"/>
  <c r="M29" i="13" s="1"/>
  <c r="F18" i="13"/>
  <c r="E18" i="13"/>
  <c r="D18" i="13"/>
  <c r="D64" i="12"/>
  <c r="E32" i="12" s="1"/>
  <c r="K44" i="12"/>
  <c r="J44" i="12"/>
  <c r="L44" i="12" s="1"/>
  <c r="K43" i="12"/>
  <c r="J43" i="12"/>
  <c r="L43" i="12" s="1"/>
  <c r="K42" i="12"/>
  <c r="L42" i="12" s="1"/>
  <c r="J42" i="12"/>
  <c r="K41" i="12"/>
  <c r="J41" i="12"/>
  <c r="L41" i="12" s="1"/>
  <c r="K40" i="12"/>
  <c r="J40" i="12"/>
  <c r="L40" i="12" s="1"/>
  <c r="K39" i="12"/>
  <c r="L39" i="12" s="1"/>
  <c r="J39" i="12"/>
  <c r="K38" i="12"/>
  <c r="L38" i="12" s="1"/>
  <c r="J38" i="12"/>
  <c r="K37" i="12"/>
  <c r="J37" i="12"/>
  <c r="L37" i="12" s="1"/>
  <c r="M37" i="12" s="1"/>
  <c r="G32" i="12"/>
  <c r="D32" i="12"/>
  <c r="L24" i="12"/>
  <c r="E24" i="12"/>
  <c r="D24" i="12"/>
  <c r="F24" i="12" s="1"/>
  <c r="L23" i="12"/>
  <c r="J23" i="12"/>
  <c r="E23" i="12"/>
  <c r="D23" i="12"/>
  <c r="F23" i="12" s="1"/>
  <c r="L22" i="12"/>
  <c r="E22" i="12"/>
  <c r="D22" i="12"/>
  <c r="F22" i="12" s="1"/>
  <c r="L21" i="12"/>
  <c r="E21" i="12"/>
  <c r="D21" i="12"/>
  <c r="F21" i="12" s="1"/>
  <c r="L20" i="12"/>
  <c r="E20" i="12"/>
  <c r="D20" i="12"/>
  <c r="F20" i="12" s="1"/>
  <c r="L19" i="12"/>
  <c r="E19" i="12"/>
  <c r="D19" i="12"/>
  <c r="F19" i="12" s="1"/>
  <c r="L18" i="12"/>
  <c r="K18" i="12"/>
  <c r="E18" i="12"/>
  <c r="D18" i="12"/>
  <c r="F18" i="12" s="1"/>
  <c r="L17" i="12"/>
  <c r="M17" i="12" s="1"/>
  <c r="M18" i="12" s="1"/>
  <c r="M19" i="12" s="1"/>
  <c r="M20" i="12" s="1"/>
  <c r="M21" i="12" s="1"/>
  <c r="M22" i="12" s="1"/>
  <c r="E17" i="12"/>
  <c r="F17" i="12" s="1"/>
  <c r="G50" i="12" s="1"/>
  <c r="D17" i="12"/>
  <c r="D62" i="11"/>
  <c r="K43" i="11"/>
  <c r="L43" i="11" s="1"/>
  <c r="J43" i="11"/>
  <c r="K42" i="11"/>
  <c r="J42" i="11"/>
  <c r="L42" i="11" s="1"/>
  <c r="K41" i="11"/>
  <c r="J41" i="11"/>
  <c r="L41" i="11" s="1"/>
  <c r="K40" i="11"/>
  <c r="J40" i="11"/>
  <c r="L40" i="11" s="1"/>
  <c r="L39" i="11"/>
  <c r="K39" i="11"/>
  <c r="J39" i="11"/>
  <c r="K38" i="11"/>
  <c r="L38" i="11" s="1"/>
  <c r="J38" i="11"/>
  <c r="K37" i="11"/>
  <c r="J37" i="11"/>
  <c r="L37" i="11" s="1"/>
  <c r="M36" i="11"/>
  <c r="K36" i="11"/>
  <c r="J36" i="11"/>
  <c r="L36" i="11" s="1"/>
  <c r="E31" i="11"/>
  <c r="D31" i="11"/>
  <c r="G31" i="11" s="1"/>
  <c r="M25" i="11"/>
  <c r="M27" i="11" s="1"/>
  <c r="K23" i="11"/>
  <c r="L23" i="11" s="1"/>
  <c r="E23" i="11"/>
  <c r="D23" i="11"/>
  <c r="F23" i="11" s="1"/>
  <c r="L22" i="11"/>
  <c r="E22" i="11"/>
  <c r="F22" i="11" s="1"/>
  <c r="D22" i="11"/>
  <c r="L21" i="11"/>
  <c r="E21" i="11"/>
  <c r="D21" i="11"/>
  <c r="F21" i="11" s="1"/>
  <c r="L20" i="11"/>
  <c r="E20" i="11"/>
  <c r="F20" i="11" s="1"/>
  <c r="D20" i="11"/>
  <c r="L19" i="11"/>
  <c r="E19" i="11"/>
  <c r="D19" i="11"/>
  <c r="F19" i="11" s="1"/>
  <c r="L18" i="11"/>
  <c r="E18" i="11"/>
  <c r="F18" i="11" s="1"/>
  <c r="D18" i="11"/>
  <c r="L17" i="11"/>
  <c r="E17" i="11"/>
  <c r="D17" i="11"/>
  <c r="F17" i="11" s="1"/>
  <c r="L16" i="11"/>
  <c r="M16" i="11" s="1"/>
  <c r="M17" i="11" s="1"/>
  <c r="M18" i="11" s="1"/>
  <c r="M19" i="11" s="1"/>
  <c r="M20" i="11" s="1"/>
  <c r="M21" i="11" s="1"/>
  <c r="M22" i="11" s="1"/>
  <c r="E16" i="11"/>
  <c r="F16" i="11" s="1"/>
  <c r="G48" i="11" s="1"/>
  <c r="D16" i="11"/>
  <c r="D60" i="10"/>
  <c r="K42" i="10"/>
  <c r="L42" i="10" s="1"/>
  <c r="J42" i="10"/>
  <c r="K41" i="10"/>
  <c r="L41" i="10" s="1"/>
  <c r="J41" i="10"/>
  <c r="J40" i="10"/>
  <c r="L40" i="10" s="1"/>
  <c r="L39" i="10"/>
  <c r="J39" i="10"/>
  <c r="J38" i="10"/>
  <c r="L38" i="10" s="1"/>
  <c r="L37" i="10"/>
  <c r="J37" i="10"/>
  <c r="J36" i="10"/>
  <c r="L36" i="10" s="1"/>
  <c r="M35" i="10"/>
  <c r="M36" i="10" s="1"/>
  <c r="M37" i="10" s="1"/>
  <c r="M38" i="10" s="1"/>
  <c r="M39" i="10" s="1"/>
  <c r="M40" i="10" s="1"/>
  <c r="L35" i="10"/>
  <c r="J35" i="10"/>
  <c r="E30" i="10"/>
  <c r="G30" i="10" s="1"/>
  <c r="G31" i="10" s="1"/>
  <c r="G40" i="10" s="1"/>
  <c r="D30" i="10"/>
  <c r="L22" i="10"/>
  <c r="E22" i="10"/>
  <c r="D22" i="10"/>
  <c r="F22" i="10" s="1"/>
  <c r="L21" i="10"/>
  <c r="E21" i="10"/>
  <c r="D21" i="10"/>
  <c r="F21" i="10" s="1"/>
  <c r="L20" i="10"/>
  <c r="E20" i="10"/>
  <c r="D20" i="10"/>
  <c r="F20" i="10" s="1"/>
  <c r="L19" i="10"/>
  <c r="E19" i="10"/>
  <c r="D19" i="10"/>
  <c r="F19" i="10" s="1"/>
  <c r="L18" i="10"/>
  <c r="K18" i="10"/>
  <c r="E18" i="10"/>
  <c r="D18" i="10"/>
  <c r="F18" i="10" s="1"/>
  <c r="L17" i="10"/>
  <c r="K17" i="10"/>
  <c r="E17" i="10"/>
  <c r="D17" i="10"/>
  <c r="F17" i="10" s="1"/>
  <c r="L16" i="10"/>
  <c r="E16" i="10"/>
  <c r="F16" i="10" s="1"/>
  <c r="D16" i="10"/>
  <c r="M15" i="10"/>
  <c r="M16" i="10" s="1"/>
  <c r="M17" i="10" s="1"/>
  <c r="M18" i="10" s="1"/>
  <c r="M19" i="10" s="1"/>
  <c r="M20" i="10" s="1"/>
  <c r="L15" i="10"/>
  <c r="E15" i="10"/>
  <c r="D15" i="10"/>
  <c r="F15" i="10" s="1"/>
  <c r="G14" i="10"/>
  <c r="G39" i="10" s="1"/>
  <c r="M23" i="12" l="1"/>
  <c r="M24" i="12" s="1"/>
  <c r="M26" i="12"/>
  <c r="M28" i="12" s="1"/>
  <c r="G52" i="13"/>
  <c r="M28" i="14"/>
  <c r="M30" i="14" s="1"/>
  <c r="M25" i="14"/>
  <c r="M26" i="14" s="1"/>
  <c r="M23" i="11"/>
  <c r="G42" i="10"/>
  <c r="M41" i="10"/>
  <c r="M42" i="10" s="1"/>
  <c r="M44" i="10"/>
  <c r="M46" i="10" s="1"/>
  <c r="G46" i="10"/>
  <c r="G15" i="10"/>
  <c r="G16" i="10" s="1"/>
  <c r="G17" i="10" s="1"/>
  <c r="G18" i="10" s="1"/>
  <c r="G19" i="10" s="1"/>
  <c r="G20" i="10" s="1"/>
  <c r="M42" i="13"/>
  <c r="M43" i="13" s="1"/>
  <c r="M48" i="14"/>
  <c r="M50" i="14" s="1"/>
  <c r="M45" i="14"/>
  <c r="M46" i="14" s="1"/>
  <c r="M37" i="11"/>
  <c r="M38" i="11" s="1"/>
  <c r="M39" i="11" s="1"/>
  <c r="M40" i="11" s="1"/>
  <c r="M41" i="11" s="1"/>
  <c r="M38" i="12"/>
  <c r="M39" i="12" s="1"/>
  <c r="M40" i="12" s="1"/>
  <c r="M41" i="12" s="1"/>
  <c r="M42" i="12" s="1"/>
  <c r="G56" i="15"/>
  <c r="M24" i="10"/>
  <c r="M26" i="10" s="1"/>
  <c r="M21" i="10"/>
  <c r="M22" i="10" s="1"/>
  <c r="M25" i="15"/>
  <c r="M24" i="13"/>
  <c r="M25" i="13" s="1"/>
  <c r="G54" i="14"/>
  <c r="M42" i="15"/>
  <c r="M43" i="15" s="1"/>
  <c r="M44" i="15" s="1"/>
  <c r="M45" i="15" s="1"/>
  <c r="M46" i="12" l="1"/>
  <c r="M48" i="12" s="1"/>
  <c r="M43" i="12"/>
  <c r="M44" i="12" s="1"/>
  <c r="M42" i="11"/>
  <c r="M43" i="11" s="1"/>
  <c r="M45" i="11"/>
  <c r="M47" i="11" s="1"/>
  <c r="M46" i="15"/>
  <c r="M47" i="15" s="1"/>
  <c r="M49" i="15"/>
  <c r="M51" i="15" s="1"/>
  <c r="M29" i="15"/>
  <c r="M31" i="15" s="1"/>
  <c r="M26" i="15"/>
  <c r="M27" i="15" s="1"/>
  <c r="M47" i="13"/>
  <c r="M49" i="13" s="1"/>
  <c r="M44" i="13"/>
  <c r="M45" i="13" s="1"/>
  <c r="G33" i="10"/>
  <c r="G21" i="10"/>
  <c r="G22" i="10" s="1"/>
  <c r="G14" i="15" l="1"/>
  <c r="G35" i="10"/>
  <c r="G14" i="12"/>
  <c r="G44" i="10"/>
  <c r="G48" i="10" s="1"/>
  <c r="G14" i="13"/>
  <c r="G14" i="11"/>
  <c r="E8" i="9"/>
  <c r="G14" i="14"/>
  <c r="D33" i="12" l="1"/>
  <c r="G33" i="12" s="1"/>
  <c r="D35" i="14"/>
  <c r="G35" i="14" s="1"/>
  <c r="F8" i="9"/>
  <c r="G15" i="11"/>
  <c r="D32" i="11"/>
  <c r="G32" i="11" s="1"/>
  <c r="G33" i="11" s="1"/>
  <c r="G42" i="11" s="1"/>
  <c r="D34" i="13"/>
  <c r="G34" i="13" s="1"/>
  <c r="D36" i="15"/>
  <c r="G36" i="15" s="1"/>
  <c r="G41" i="11" l="1"/>
  <c r="G44" i="11" s="1"/>
  <c r="G16" i="11"/>
  <c r="G17" i="11" s="1"/>
  <c r="G18" i="11" s="1"/>
  <c r="G19" i="11" s="1"/>
  <c r="G20" i="11" s="1"/>
  <c r="G21" i="11" s="1"/>
  <c r="G35" i="11" l="1"/>
  <c r="G22" i="11"/>
  <c r="G23" i="11" s="1"/>
  <c r="G46" i="11" l="1"/>
  <c r="G50" i="11" s="1"/>
  <c r="E9" i="9"/>
  <c r="G15" i="12"/>
  <c r="G15" i="13"/>
  <c r="G15" i="14"/>
  <c r="G37" i="11"/>
  <c r="G15" i="15"/>
  <c r="D37" i="15" l="1"/>
  <c r="G37" i="15" s="1"/>
  <c r="D36" i="14"/>
  <c r="G36" i="14" s="1"/>
  <c r="D35" i="13"/>
  <c r="G35" i="13" s="1"/>
  <c r="D34" i="12"/>
  <c r="G34" i="12" s="1"/>
  <c r="G35" i="12" s="1"/>
  <c r="G44" i="12" s="1"/>
  <c r="G16" i="12"/>
  <c r="F9" i="9"/>
  <c r="G17" i="12" l="1"/>
  <c r="G18" i="12" s="1"/>
  <c r="G19" i="12" s="1"/>
  <c r="G20" i="12" s="1"/>
  <c r="G21" i="12" s="1"/>
  <c r="G22" i="12" s="1"/>
  <c r="G43" i="12"/>
  <c r="G46" i="12" s="1"/>
  <c r="G23" i="12" l="1"/>
  <c r="G24" i="12" s="1"/>
  <c r="G37" i="12"/>
  <c r="G16" i="13" l="1"/>
  <c r="G39" i="12"/>
  <c r="G16" i="14"/>
  <c r="E10" i="9"/>
  <c r="G48" i="12"/>
  <c r="G52" i="12" s="1"/>
  <c r="G16" i="15"/>
  <c r="D38" i="15" l="1"/>
  <c r="G38" i="15" s="1"/>
  <c r="F10" i="9"/>
  <c r="D37" i="14"/>
  <c r="G37" i="14" s="1"/>
  <c r="D36" i="13"/>
  <c r="G36" i="13" s="1"/>
  <c r="G37" i="13" s="1"/>
  <c r="G46" i="13" s="1"/>
  <c r="G17" i="13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50" i="13" l="1"/>
  <c r="G54" i="13" s="1"/>
  <c r="G41" i="13"/>
  <c r="G17" i="14"/>
  <c r="G17" i="15"/>
  <c r="E11" i="9"/>
  <c r="F11" i="9" l="1"/>
  <c r="D39" i="15"/>
  <c r="G39" i="15" s="1"/>
  <c r="D38" i="14"/>
  <c r="G38" i="14" s="1"/>
  <c r="G39" i="14" s="1"/>
  <c r="G48" i="14" s="1"/>
  <c r="G18" i="14"/>
  <c r="G19" i="14" l="1"/>
  <c r="G20" i="14" s="1"/>
  <c r="G21" i="14" s="1"/>
  <c r="G22" i="14" s="1"/>
  <c r="G23" i="14" s="1"/>
  <c r="G24" i="14" s="1"/>
  <c r="G47" i="14"/>
  <c r="G50" i="14" s="1"/>
  <c r="G41" i="14" l="1"/>
  <c r="G25" i="14"/>
  <c r="G26" i="14" s="1"/>
  <c r="G52" i="14" l="1"/>
  <c r="G56" i="14" s="1"/>
  <c r="E12" i="9"/>
  <c r="G18" i="15"/>
  <c r="G43" i="14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43" i="15" l="1"/>
  <c r="G26" i="15"/>
  <c r="G27" i="15" s="1"/>
  <c r="G54" i="15" l="1"/>
  <c r="G58" i="15" s="1"/>
  <c r="E13" i="9"/>
  <c r="G45" i="15"/>
  <c r="F13" i="9" l="1"/>
  <c r="E15" i="9"/>
  <c r="E24" i="9" l="1"/>
  <c r="F15" i="9"/>
  <c r="E22" i="9"/>
  <c r="E21" i="8" l="1"/>
  <c r="D21" i="8"/>
  <c r="D22" i="8"/>
  <c r="D16" i="8"/>
  <c r="K46" i="8"/>
  <c r="J46" i="8"/>
  <c r="K47" i="8"/>
  <c r="K27" i="8"/>
  <c r="E22" i="8"/>
  <c r="J47" i="8"/>
  <c r="J27" i="8"/>
  <c r="K45" i="8"/>
  <c r="K25" i="8"/>
  <c r="E20" i="8"/>
  <c r="K44" i="8"/>
  <c r="K24" i="8"/>
  <c r="E19" i="8"/>
  <c r="K43" i="8"/>
  <c r="E18" i="8"/>
  <c r="K42" i="8"/>
  <c r="K22" i="8"/>
  <c r="E17" i="8"/>
  <c r="K40" i="8"/>
  <c r="J25" i="8"/>
  <c r="J45" i="8"/>
  <c r="D20" i="8"/>
  <c r="J24" i="8"/>
  <c r="J44" i="8"/>
  <c r="D19" i="8"/>
  <c r="J23" i="8"/>
  <c r="J43" i="8"/>
  <c r="D18" i="8"/>
  <c r="J22" i="8"/>
  <c r="J42" i="8"/>
  <c r="D17" i="8"/>
  <c r="K41" i="8"/>
  <c r="J41" i="8"/>
  <c r="J40" i="8"/>
  <c r="J21" i="8"/>
  <c r="E16" i="8"/>
  <c r="E15" i="8"/>
  <c r="D15" i="8"/>
  <c r="G14" i="8"/>
  <c r="D60" i="8"/>
  <c r="E30" i="8" s="1"/>
  <c r="L47" i="8" l="1"/>
  <c r="L46" i="8"/>
  <c r="L45" i="8"/>
  <c r="L44" i="8"/>
  <c r="L43" i="8"/>
  <c r="L42" i="8"/>
  <c r="L41" i="8"/>
  <c r="L40" i="8"/>
  <c r="M40" i="8" s="1"/>
  <c r="M41" i="8" s="1"/>
  <c r="M42" i="8" s="1"/>
  <c r="L27" i="8"/>
  <c r="L26" i="8"/>
  <c r="L25" i="8"/>
  <c r="L24" i="8"/>
  <c r="L23" i="8"/>
  <c r="L22" i="8"/>
  <c r="L21" i="8"/>
  <c r="L20" i="8"/>
  <c r="M20" i="8" s="1"/>
  <c r="M21" i="8" s="1"/>
  <c r="M22" i="8" l="1"/>
  <c r="M43" i="8"/>
  <c r="M44" i="8" s="1"/>
  <c r="M45" i="8" s="1"/>
  <c r="M49" i="8" s="1"/>
  <c r="M51" i="8" s="1"/>
  <c r="M23" i="8"/>
  <c r="M24" i="8" s="1"/>
  <c r="M25" i="8" s="1"/>
  <c r="M29" i="8" s="1"/>
  <c r="M31" i="8" s="1"/>
  <c r="M46" i="8" l="1"/>
  <c r="M47" i="8" s="1"/>
  <c r="M26" i="8"/>
  <c r="M27" i="8" s="1"/>
  <c r="D30" i="8"/>
  <c r="F22" i="8"/>
  <c r="F21" i="8"/>
  <c r="F20" i="8"/>
  <c r="F19" i="8"/>
  <c r="F18" i="8"/>
  <c r="F17" i="8"/>
  <c r="F16" i="8"/>
  <c r="F15" i="8"/>
  <c r="G30" i="8" l="1"/>
  <c r="G31" i="8" s="1"/>
  <c r="G46" i="8"/>
  <c r="G40" i="8" l="1"/>
  <c r="G39" i="8" l="1"/>
  <c r="G42" i="8" s="1"/>
  <c r="G15" i="8"/>
  <c r="G16" i="8" s="1"/>
  <c r="G17" i="8" s="1"/>
  <c r="G18" i="8" s="1"/>
  <c r="G19" i="8" s="1"/>
  <c r="G20" i="8" s="1"/>
  <c r="G33" i="8" s="1"/>
  <c r="G35" i="8" s="1"/>
  <c r="G21" i="8" l="1"/>
  <c r="G22" i="8" s="1"/>
  <c r="G44" i="8" l="1"/>
  <c r="G4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4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109,949 kWhs added to billing (ES adj = $546)</t>
        </r>
      </text>
    </comment>
    <comment ref="K4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156,049 kWhs added to billing (ES adj = $1098)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17" authorId="0" shapeId="0" xr:uid="{1D1D2867-DE8F-4243-B77D-AE47A7C55A49}">
      <text>
        <r>
          <rPr>
            <b/>
            <sz val="9"/>
            <color indexed="81"/>
            <rFont val="Tahoma"/>
            <charset val="1"/>
          </rPr>
          <t>Ken Bickham:</t>
        </r>
        <r>
          <rPr>
            <sz val="9"/>
            <color indexed="81"/>
            <rFont val="Tahoma"/>
            <charset val="1"/>
          </rPr>
          <t xml:space="preserve">
Nurcor adj additional 109,949 kWhs added to billing (ES adj = $546)</t>
        </r>
      </text>
    </comment>
    <comment ref="K18" authorId="0" shapeId="0" xr:uid="{49E3EECE-2701-41BF-96C4-9716AA51F8CF}">
      <text>
        <r>
          <rPr>
            <b/>
            <sz val="9"/>
            <color indexed="81"/>
            <rFont val="Tahoma"/>
            <charset val="1"/>
          </rPr>
          <t>Ken Bickham:</t>
        </r>
        <r>
          <rPr>
            <sz val="9"/>
            <color indexed="81"/>
            <rFont val="Tahoma"/>
            <charset val="1"/>
          </rPr>
          <t xml:space="preserve">
Nurcor adj additional 156,049 kWhs added to billing (ES adj = $1098)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18" authorId="0" shapeId="0" xr:uid="{083DF63B-A326-469D-AEE2-56643A5636EE}">
      <text>
        <r>
          <rPr>
            <b/>
            <sz val="9"/>
            <color indexed="81"/>
            <rFont val="Tahoma"/>
            <charset val="1"/>
          </rPr>
          <t>Ken Bickham:</t>
        </r>
        <r>
          <rPr>
            <sz val="9"/>
            <color indexed="81"/>
            <rFont val="Tahoma"/>
            <charset val="1"/>
          </rPr>
          <t xml:space="preserve">
Nurcor adj additional 109,949 kWhs added to billing (ES adj = $546)</t>
        </r>
      </text>
    </comment>
    <comment ref="K19" authorId="0" shapeId="0" xr:uid="{5B410EAF-11EB-4DAC-9FBD-130155C1CB48}">
      <text>
        <r>
          <rPr>
            <b/>
            <sz val="9"/>
            <color indexed="81"/>
            <rFont val="Tahoma"/>
            <charset val="1"/>
          </rPr>
          <t>Ken Bickham:</t>
        </r>
        <r>
          <rPr>
            <sz val="9"/>
            <color indexed="81"/>
            <rFont val="Tahoma"/>
            <charset val="1"/>
          </rPr>
          <t xml:space="preserve">
Nurcor adj additional 156,049 kWhs added to billing (ES adj = $1098)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19" authorId="0" shapeId="0" xr:uid="{62C0DACF-E064-4600-BBB4-01AC2C4E9789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109,949 kWhs added to billing (ES adj = $546)</t>
        </r>
      </text>
    </comment>
    <comment ref="K20" authorId="0" shapeId="0" xr:uid="{AFEAAA22-CFB5-4901-9419-349CD8AE858B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156,049 kWhs added to billing (ES adj = $1098)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20" authorId="0" shapeId="0" xr:uid="{4A8E6D90-B8D7-4BE1-BA93-D6C76FCFBE6D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109,949 kWhs added to billing (ES adj = $546)</t>
        </r>
      </text>
    </comment>
    <comment ref="K21" authorId="0" shapeId="0" xr:uid="{A6A6C542-8B3B-40FF-8287-5C6DE946AF66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156,049 kWhs added to billing (ES adj = $1098)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41" authorId="0" shapeId="0" xr:uid="{67277A12-5E09-4CAB-BF16-069F59B01812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109,949 kWhs added to billing (ES adj = $546)</t>
        </r>
      </text>
    </comment>
    <comment ref="K42" authorId="0" shapeId="0" xr:uid="{40A05FAA-B621-4001-8DDA-EE5DF9F7EB05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156,049 kWhs added to billing (ES adj = $1098)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42" authorId="0" shapeId="0" xr:uid="{FAE746DD-80F1-42FA-80DE-8535BFBE1C5B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109,949 kWhs added to billing (ES adj = $546)</t>
        </r>
      </text>
    </comment>
    <comment ref="K43" authorId="0" shapeId="0" xr:uid="{7CDFBE43-578B-47C1-BCB6-C25F03EF389A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Nurcor adj additional 156,049 kWhs added to billing (ES adj = $1098)</t>
        </r>
      </text>
    </comment>
  </commentList>
</comments>
</file>

<file path=xl/sharedStrings.xml><?xml version="1.0" encoding="utf-8"?>
<sst xmlns="http://schemas.openxmlformats.org/spreadsheetml/2006/main" count="754" uniqueCount="111">
  <si>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</si>
  <si>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</si>
  <si>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</si>
  <si>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</si>
  <si>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</si>
  <si>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</si>
  <si>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</si>
  <si>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</si>
  <si>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</si>
  <si>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</si>
  <si>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</si>
  <si>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</si>
  <si>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</si>
  <si>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</si>
  <si>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</si>
  <si>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</si>
  <si>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</si>
  <si>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</si>
  <si>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</si>
  <si>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</si>
  <si>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</si>
  <si>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</si>
  <si>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</si>
  <si>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</si>
  <si>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</si>
  <si>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</si>
  <si>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</si>
  <si>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</si>
  <si>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</si>
  <si>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</si>
  <si>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</si>
  <si>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</si>
  <si>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</si>
  <si>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</si>
  <si>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</si>
  <si>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</si>
  <si>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</si>
  <si>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</si>
  <si>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</si>
  <si>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</si>
  <si>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</si>
  <si>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</si>
  <si>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</si>
  <si>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</si>
  <si>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</si>
  <si>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</si>
  <si>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</si>
  <si>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</si>
  <si>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(1)</t>
  </si>
  <si>
    <t>Cumulative 6-month (Over)/Under Recovery</t>
  </si>
  <si>
    <t>Monthly Recovery (per month for six months)</t>
  </si>
  <si>
    <t>Owen - Calculation of (Over)/Under Recovery</t>
  </si>
  <si>
    <t>Owen Electric Cooperative - Calculation of (Over)/Under Recovery - Direct Surcharge Pass-Throughs</t>
  </si>
  <si>
    <t>Special Contract</t>
  </si>
  <si>
    <t>Rate B Customers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</si>
  <si>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</si>
  <si>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</si>
  <si>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</si>
  <si>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Monthly recovery (per month for six months)</t>
  </si>
  <si>
    <t>2025-00013</t>
  </si>
  <si>
    <t>Staff DR1 Response 2 - Owen Surcharge Summary.xlsx</t>
  </si>
  <si>
    <t>Owen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</si>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</sst>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54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0" fontId="0" fillId="0" borderId="10" xfId="0" applyBorder="1"/>
    <xf numFmtId="5" fontId="0" fillId="0" borderId="0" xfId="0" applyNumberFormat="1" applyBorder="1"/>
    <xf numFmtId="0" fontId="1" fillId="0" borderId="0" xfId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6" fillId="0" borderId="0" xfId="0" applyFont="1" applyAlignment="1">
      <alignment horizontal="center"/>
    </xf>
    <xf numFmtId="43" fontId="0" fillId="0" borderId="0" xfId="4" applyFont="1"/>
    <xf numFmtId="5" fontId="0" fillId="0" borderId="0" xfId="4" applyNumberFormat="1" applyFont="1"/>
    <xf numFmtId="5" fontId="7" fillId="3" borderId="7" xfId="1" applyNumberFormat="1" applyFont="1" applyFill="1" applyBorder="1"/>
    <xf numFmtId="5" fontId="7" fillId="3" borderId="8" xfId="1" applyNumberFormat="1" applyFont="1" applyFill="1" applyBorder="1"/>
    <xf numFmtId="5" fontId="8" fillId="3" borderId="8" xfId="1" applyNumberFormat="1" applyFont="1" applyFill="1" applyBorder="1"/>
    <xf numFmtId="5" fontId="7" fillId="3" borderId="9" xfId="1" applyNumberFormat="1" applyFont="1" applyFill="1" applyBorder="1"/>
    <xf numFmtId="5" fontId="8" fillId="3" borderId="9" xfId="1" applyNumberFormat="1" applyFont="1" applyFill="1" applyBorder="1"/>
    <xf numFmtId="0" fontId="0" fillId="0" borderId="0" xfId="0" applyFont="1"/>
    <xf numFmtId="0" fontId="0" fillId="0" borderId="0" xfId="1" applyFont="1"/>
    <xf numFmtId="0" fontId="0" fillId="0" borderId="7" xfId="1" applyFont="1" applyBorder="1"/>
    <xf numFmtId="0" fontId="0" fillId="0" borderId="7" xfId="1" applyFont="1" applyBorder="1" applyAlignment="1">
      <alignment horizontal="center"/>
    </xf>
    <xf numFmtId="0" fontId="0" fillId="0" borderId="8" xfId="1" applyFont="1" applyBorder="1"/>
    <xf numFmtId="0" fontId="0" fillId="0" borderId="8" xfId="1" applyFont="1" applyBorder="1" applyAlignment="1">
      <alignment horizontal="center"/>
    </xf>
    <xf numFmtId="0" fontId="0" fillId="0" borderId="9" xfId="1" applyFont="1" applyBorder="1" applyAlignment="1">
      <alignment horizontal="center"/>
    </xf>
    <xf numFmtId="0" fontId="0" fillId="0" borderId="10" xfId="1" applyFont="1" applyBorder="1" applyAlignment="1">
      <alignment horizontal="center"/>
    </xf>
    <xf numFmtId="49" fontId="0" fillId="0" borderId="10" xfId="1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right"/>
    </xf>
    <xf numFmtId="5" fontId="0" fillId="3" borderId="7" xfId="1" applyNumberFormat="1" applyFont="1" applyFill="1" applyBorder="1"/>
    <xf numFmtId="5" fontId="0" fillId="0" borderId="7" xfId="1" applyNumberFormat="1" applyFont="1" applyBorder="1"/>
    <xf numFmtId="164" fontId="0" fillId="0" borderId="8" xfId="0" applyNumberFormat="1" applyFont="1" applyBorder="1" applyAlignment="1">
      <alignment horizontal="right"/>
    </xf>
    <xf numFmtId="5" fontId="0" fillId="3" borderId="8" xfId="1" applyNumberFormat="1" applyFont="1" applyFill="1" applyBorder="1"/>
    <xf numFmtId="5" fontId="0" fillId="0" borderId="8" xfId="1" applyNumberFormat="1" applyFont="1" applyBorder="1"/>
    <xf numFmtId="5" fontId="0" fillId="3" borderId="9" xfId="1" applyNumberFormat="1" applyFont="1" applyFill="1" applyBorder="1"/>
    <xf numFmtId="5" fontId="0" fillId="0" borderId="9" xfId="1" applyNumberFormat="1" applyFont="1" applyBorder="1"/>
    <xf numFmtId="164" fontId="0" fillId="0" borderId="9" xfId="0" applyNumberFormat="1" applyFont="1" applyBorder="1" applyAlignment="1">
      <alignment horizontal="right"/>
    </xf>
    <xf numFmtId="0" fontId="0" fillId="0" borderId="11" xfId="1" applyFont="1" applyBorder="1"/>
    <xf numFmtId="0" fontId="0" fillId="0" borderId="12" xfId="1" applyFont="1" applyBorder="1"/>
    <xf numFmtId="0" fontId="0" fillId="0" borderId="13" xfId="1" applyFont="1" applyBorder="1"/>
    <xf numFmtId="5" fontId="0" fillId="0" borderId="10" xfId="1" applyNumberFormat="1" applyFont="1" applyBorder="1"/>
    <xf numFmtId="5" fontId="0" fillId="0" borderId="0" xfId="1" applyNumberFormat="1" applyFont="1"/>
    <xf numFmtId="5" fontId="8" fillId="3" borderId="8" xfId="3" applyNumberFormat="1" applyFon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1"/>
    <xf numFmtId="0" fontId="2" fillId="0" borderId="7" xfId="1" applyBorder="1"/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49" fontId="2" fillId="0" borderId="10" xfId="1" applyNumberFormat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17" fontId="9" fillId="0" borderId="7" xfId="2" applyNumberFormat="1" applyFont="1" applyBorder="1"/>
    <xf numFmtId="5" fontId="2" fillId="3" borderId="7" xfId="1" applyNumberFormat="1" applyFill="1" applyBorder="1"/>
    <xf numFmtId="5" fontId="2" fillId="0" borderId="7" xfId="1" applyNumberFormat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17" fontId="9" fillId="0" borderId="8" xfId="2" applyNumberFormat="1" applyFont="1" applyBorder="1"/>
    <xf numFmtId="5" fontId="2" fillId="3" borderId="8" xfId="1" applyNumberFormat="1" applyFill="1" applyBorder="1"/>
    <xf numFmtId="5" fontId="2" fillId="0" borderId="8" xfId="1" applyNumberFormat="1" applyBorder="1"/>
    <xf numFmtId="5" fontId="9" fillId="3" borderId="8" xfId="1" applyNumberFormat="1" applyFont="1" applyFill="1" applyBorder="1"/>
    <xf numFmtId="17" fontId="9" fillId="0" borderId="9" xfId="2" applyNumberFormat="1" applyFont="1" applyBorder="1"/>
    <xf numFmtId="5" fontId="2" fillId="3" borderId="9" xfId="1" applyNumberFormat="1" applyFill="1" applyBorder="1"/>
    <xf numFmtId="5" fontId="2" fillId="0" borderId="9" xfId="1" applyNumberFormat="1" applyBorder="1"/>
    <xf numFmtId="5" fontId="0" fillId="3" borderId="9" xfId="0" applyNumberFormat="1" applyFill="1" applyBorder="1"/>
    <xf numFmtId="5" fontId="0" fillId="3" borderId="5" xfId="0" applyNumberFormat="1" applyFill="1" applyBorder="1"/>
    <xf numFmtId="0" fontId="2" fillId="0" borderId="11" xfId="1" applyBorder="1"/>
    <xf numFmtId="0" fontId="2" fillId="0" borderId="12" xfId="1" applyBorder="1"/>
    <xf numFmtId="0" fontId="2" fillId="0" borderId="13" xfId="1" applyBorder="1"/>
    <xf numFmtId="5" fontId="2" fillId="0" borderId="10" xfId="1" applyNumberFormat="1" applyBorder="1"/>
    <xf numFmtId="5" fontId="2" fillId="0" borderId="0" xfId="1" applyNumberFormat="1"/>
    <xf numFmtId="5" fontId="3" fillId="3" borderId="8" xfId="3" applyNumberFormat="1" applyFill="1" applyBorder="1"/>
    <xf numFmtId="5" fontId="0" fillId="3" borderId="10" xfId="0" applyNumberFormat="1" applyFill="1" applyBorder="1"/>
    <xf numFmtId="5" fontId="8" fillId="3" borderId="14" xfId="0" applyNumberFormat="1" applyFont="1" applyFill="1" applyBorder="1"/>
    <xf numFmtId="5" fontId="9" fillId="3" borderId="9" xfId="1" applyNumberFormat="1" applyFon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5">
    <cellStyle name="Comma" xfId="4" builtinId="3"/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0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9" max="9" width="12.625" style="64"/>
    <col min="10" max="11" width="16" style="64" bestFit="1" customWidth="1"/>
    <col min="12" max="13" width="14.625" style="64" bestFit="1" customWidth="1"/>
  </cols>
  <sheetData>
    <row r="1" spans="1:13" x14ac:dyDescent="0.2">
      <c r="A1" t="s">
        <v>60</v>
      </c>
    </row>
    <row r="4" spans="1:13" ht="14.25" customHeight="1" x14ac:dyDescent="0.2">
      <c r="B4" s="88" t="s">
        <v>51</v>
      </c>
      <c r="C4" s="89"/>
      <c r="D4" s="89"/>
      <c r="E4" s="89"/>
      <c r="F4" s="89"/>
      <c r="G4" s="90"/>
      <c r="I4" s="97" t="s">
        <v>52</v>
      </c>
      <c r="J4" s="98"/>
      <c r="K4" s="98"/>
      <c r="L4" s="98"/>
      <c r="M4" s="99"/>
    </row>
    <row r="5" spans="1:13" ht="14.25" customHeight="1" x14ac:dyDescent="0.2">
      <c r="B5" s="91"/>
      <c r="C5" s="92"/>
      <c r="D5" s="92"/>
      <c r="E5" s="92"/>
      <c r="F5" s="92"/>
      <c r="G5" s="93"/>
      <c r="I5" s="100"/>
      <c r="J5" s="101"/>
      <c r="K5" s="101"/>
      <c r="L5" s="101"/>
      <c r="M5" s="102"/>
    </row>
    <row r="6" spans="1:13" x14ac:dyDescent="0.2">
      <c r="I6" s="65"/>
      <c r="J6" s="65"/>
      <c r="K6" s="65"/>
      <c r="L6" s="65"/>
      <c r="M6" s="65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56"/>
      <c r="B12" s="2">
        <v>1</v>
      </c>
      <c r="C12" s="94" t="s">
        <v>15</v>
      </c>
      <c r="D12" s="95"/>
      <c r="E12" s="95"/>
      <c r="F12" s="95"/>
      <c r="G12" s="96"/>
      <c r="H12" s="56"/>
    </row>
    <row r="13" spans="1:13" ht="15" x14ac:dyDescent="0.25">
      <c r="A13" s="32"/>
      <c r="B13" s="2" t="s">
        <v>16</v>
      </c>
      <c r="C13" s="8" t="s">
        <v>55</v>
      </c>
      <c r="D13" s="8"/>
      <c r="E13" s="8"/>
      <c r="F13" s="9"/>
      <c r="G13" s="10">
        <v>1741005</v>
      </c>
      <c r="H13" s="32"/>
      <c r="I13" s="53" t="s">
        <v>53</v>
      </c>
      <c r="J13" s="65"/>
      <c r="K13" s="65"/>
      <c r="L13" s="65"/>
      <c r="M13" s="65"/>
    </row>
    <row r="14" spans="1:13" x14ac:dyDescent="0.2">
      <c r="B14" s="5" t="s">
        <v>17</v>
      </c>
      <c r="C14" s="8" t="s">
        <v>18</v>
      </c>
      <c r="D14" s="8"/>
      <c r="E14" s="8"/>
      <c r="F14" s="11"/>
      <c r="G14" s="12">
        <f>G13</f>
        <v>1741005</v>
      </c>
      <c r="I14" s="65"/>
      <c r="J14" s="65"/>
      <c r="K14" s="65"/>
      <c r="L14" s="65"/>
      <c r="M14" s="65"/>
    </row>
    <row r="15" spans="1:13" x14ac:dyDescent="0.2">
      <c r="B15" s="4">
        <v>2</v>
      </c>
      <c r="C15" s="13">
        <v>45658</v>
      </c>
      <c r="D15" s="59">
        <f>2055526-1184-2176</f>
        <v>2052166</v>
      </c>
      <c r="E15" s="59">
        <f>1769024.98+8827.34+268702.24+76440.82+694.33+43158.88</f>
        <v>2166848.59</v>
      </c>
      <c r="F15" s="14">
        <f t="shared" ref="F15:F22" si="0">D15-E15</f>
        <v>-114682.58999999985</v>
      </c>
      <c r="G15" s="12">
        <f t="shared" ref="G15:G22" si="1">G14+F15</f>
        <v>1626322.4100000001</v>
      </c>
      <c r="I15" s="66"/>
      <c r="J15" s="66"/>
      <c r="K15" s="67" t="s">
        <v>0</v>
      </c>
      <c r="L15" s="66"/>
      <c r="M15" s="66"/>
    </row>
    <row r="16" spans="1:13" x14ac:dyDescent="0.2">
      <c r="B16" s="4">
        <v>3</v>
      </c>
      <c r="C16" s="15">
        <v>45689</v>
      </c>
      <c r="D16" s="60">
        <f>1468673-1642-893</f>
        <v>1466138</v>
      </c>
      <c r="E16" s="60">
        <f>1346111.26+6596+212830.85+80292.59+468.83+38838.09</f>
        <v>1685137.6200000003</v>
      </c>
      <c r="F16" s="16">
        <f t="shared" si="0"/>
        <v>-218999.62000000034</v>
      </c>
      <c r="G16" s="17">
        <f t="shared" si="1"/>
        <v>1407322.7899999998</v>
      </c>
      <c r="I16" s="68"/>
      <c r="J16" s="69" t="s">
        <v>1</v>
      </c>
      <c r="K16" s="69" t="s">
        <v>2</v>
      </c>
      <c r="L16" s="68"/>
      <c r="M16" s="68"/>
    </row>
    <row r="17" spans="2:15" x14ac:dyDescent="0.2">
      <c r="B17" s="4">
        <v>4</v>
      </c>
      <c r="C17" s="15">
        <v>45717</v>
      </c>
      <c r="D17" s="60">
        <f>628332-932-506</f>
        <v>626894</v>
      </c>
      <c r="E17" s="60">
        <f>711132.31+4128.35+127144.51+142142.12+250.95+20414.58</f>
        <v>1005212.82</v>
      </c>
      <c r="F17" s="16">
        <f t="shared" si="0"/>
        <v>-378318.81999999995</v>
      </c>
      <c r="G17" s="17">
        <f t="shared" si="1"/>
        <v>1029003.9699999999</v>
      </c>
      <c r="I17" s="68"/>
      <c r="J17" s="69" t="s">
        <v>3</v>
      </c>
      <c r="K17" s="69" t="s">
        <v>4</v>
      </c>
      <c r="L17" s="69" t="s">
        <v>5</v>
      </c>
      <c r="M17" s="69" t="s">
        <v>6</v>
      </c>
    </row>
    <row r="18" spans="2:15" x14ac:dyDescent="0.2">
      <c r="B18" s="4">
        <v>5</v>
      </c>
      <c r="C18" s="15">
        <v>45748</v>
      </c>
      <c r="D18" s="60">
        <f>688876-1289-699</f>
        <v>686888</v>
      </c>
      <c r="E18" s="60">
        <f>-84824.85-566.4-29289.28-12527.66-29.94-2880.57</f>
        <v>-130118.70000000001</v>
      </c>
      <c r="F18" s="16">
        <f t="shared" si="0"/>
        <v>817006.7</v>
      </c>
      <c r="G18" s="17">
        <f t="shared" si="1"/>
        <v>1846010.67</v>
      </c>
      <c r="I18" s="70"/>
      <c r="J18" s="70" t="s">
        <v>7</v>
      </c>
      <c r="K18" s="70" t="s">
        <v>7</v>
      </c>
      <c r="L18" s="70" t="s">
        <v>8</v>
      </c>
      <c r="M18" s="70" t="s">
        <v>8</v>
      </c>
    </row>
    <row r="19" spans="2:15" x14ac:dyDescent="0.2">
      <c r="B19" s="4">
        <v>6</v>
      </c>
      <c r="C19" s="15">
        <v>45778</v>
      </c>
      <c r="D19" s="60">
        <f>983020-1930-1049</f>
        <v>980041</v>
      </c>
      <c r="E19" s="61">
        <f>626756.49+4824.86+147999.13-29823.39+245.08+20269.77</f>
        <v>770271.94</v>
      </c>
      <c r="F19" s="16">
        <f t="shared" si="0"/>
        <v>209769.06000000006</v>
      </c>
      <c r="G19" s="17">
        <f t="shared" si="1"/>
        <v>2055779.73</v>
      </c>
      <c r="I19" s="71" t="s">
        <v>10</v>
      </c>
      <c r="J19" s="72" t="s">
        <v>48</v>
      </c>
      <c r="K19" s="72" t="s">
        <v>11</v>
      </c>
      <c r="L19" s="72" t="s">
        <v>12</v>
      </c>
      <c r="M19" s="72" t="s">
        <v>13</v>
      </c>
    </row>
    <row r="20" spans="2:15" x14ac:dyDescent="0.2">
      <c r="B20" s="4">
        <v>7</v>
      </c>
      <c r="C20" s="15">
        <v>45809</v>
      </c>
      <c r="D20" s="62">
        <f>1520945-2279-1230</f>
        <v>1517436</v>
      </c>
      <c r="E20" s="63">
        <f>1253843.43+9167.99+289823.61+53192.5+419.12+39185.2</f>
        <v>1645631.8499999999</v>
      </c>
      <c r="F20" s="18">
        <f t="shared" si="0"/>
        <v>-128195.84999999986</v>
      </c>
      <c r="G20" s="19">
        <f t="shared" si="1"/>
        <v>1927583.8800000001</v>
      </c>
      <c r="I20" s="73">
        <v>45658</v>
      </c>
      <c r="J20" s="74">
        <v>1102426</v>
      </c>
      <c r="K20" s="74">
        <v>1102426</v>
      </c>
      <c r="L20" s="75">
        <f t="shared" ref="L20:L27" si="2">J20-K20</f>
        <v>0</v>
      </c>
      <c r="M20" s="75">
        <f>L20</f>
        <v>0</v>
      </c>
      <c r="O20" s="57"/>
    </row>
    <row r="21" spans="2:15" x14ac:dyDescent="0.2">
      <c r="B21" s="20" t="s">
        <v>19</v>
      </c>
      <c r="C21" s="13">
        <v>45839</v>
      </c>
      <c r="D21" s="59">
        <f>1992046-0-1412</f>
        <v>1990634</v>
      </c>
      <c r="E21" s="59">
        <f>1506545.37+8220.65+277975.83+25768.39+351.53+34322.16</f>
        <v>1853183.93</v>
      </c>
      <c r="F21" s="14">
        <f t="shared" si="0"/>
        <v>137450.07000000007</v>
      </c>
      <c r="G21" s="12">
        <f t="shared" si="1"/>
        <v>2065033.9500000002</v>
      </c>
      <c r="I21" s="76">
        <v>45689</v>
      </c>
      <c r="J21" s="77">
        <f>1139213</f>
        <v>1139213</v>
      </c>
      <c r="K21" s="77">
        <v>1139213</v>
      </c>
      <c r="L21" s="78">
        <f t="shared" si="2"/>
        <v>0</v>
      </c>
      <c r="M21" s="78">
        <f>M20+L21</f>
        <v>0</v>
      </c>
      <c r="O21" s="57"/>
    </row>
    <row r="22" spans="2:15" x14ac:dyDescent="0.2">
      <c r="B22" s="21" t="s">
        <v>20</v>
      </c>
      <c r="C22" s="22">
        <v>45870</v>
      </c>
      <c r="D22" s="62">
        <f>1560626-0-1289</f>
        <v>1559337</v>
      </c>
      <c r="E22" s="62">
        <f>1684698.11+9641.76+352944.13+125787.54+373.57+42986.89</f>
        <v>2216432</v>
      </c>
      <c r="F22" s="18">
        <f t="shared" si="0"/>
        <v>-657095</v>
      </c>
      <c r="G22" s="19">
        <f t="shared" si="1"/>
        <v>1407938.9500000002</v>
      </c>
      <c r="I22" s="76">
        <v>45717</v>
      </c>
      <c r="J22" s="77">
        <f>669690</f>
        <v>669690</v>
      </c>
      <c r="K22" s="77">
        <f>669690</f>
        <v>669690</v>
      </c>
      <c r="L22" s="78">
        <f t="shared" si="2"/>
        <v>0</v>
      </c>
      <c r="M22" s="78">
        <f t="shared" ref="M22:M25" si="3">M21+L22</f>
        <v>0</v>
      </c>
      <c r="O22" s="57"/>
    </row>
    <row r="23" spans="2:15" x14ac:dyDescent="0.2">
      <c r="B23" s="5"/>
      <c r="C23" s="23" t="s">
        <v>56</v>
      </c>
      <c r="D23" s="24"/>
      <c r="E23" s="24"/>
      <c r="F23" s="24"/>
      <c r="G23" s="25"/>
      <c r="I23" s="76">
        <v>45748</v>
      </c>
      <c r="J23" s="77">
        <f>646768</f>
        <v>646768</v>
      </c>
      <c r="K23" s="77">
        <v>646768</v>
      </c>
      <c r="L23" s="78">
        <f t="shared" si="2"/>
        <v>0</v>
      </c>
      <c r="M23" s="78">
        <f t="shared" si="3"/>
        <v>0</v>
      </c>
      <c r="O23" s="57"/>
    </row>
    <row r="24" spans="2:15" x14ac:dyDescent="0.2">
      <c r="B24" s="2"/>
      <c r="C24" s="1"/>
      <c r="D24" s="1"/>
      <c r="E24" s="1"/>
      <c r="F24" s="1"/>
      <c r="G24" s="12"/>
      <c r="I24" s="76">
        <v>45778</v>
      </c>
      <c r="J24" s="77">
        <f>1173756</f>
        <v>1173756</v>
      </c>
      <c r="K24" s="61">
        <f>1173756</f>
        <v>1173756</v>
      </c>
      <c r="L24" s="78">
        <f t="shared" si="2"/>
        <v>0</v>
      </c>
      <c r="M24" s="78">
        <f t="shared" si="3"/>
        <v>0</v>
      </c>
      <c r="O24" s="57"/>
    </row>
    <row r="25" spans="2:15" x14ac:dyDescent="0.2">
      <c r="B25" s="4"/>
      <c r="C25" s="3"/>
      <c r="D25" s="4" t="s">
        <v>21</v>
      </c>
      <c r="E25" s="4" t="s">
        <v>22</v>
      </c>
      <c r="F25" s="3"/>
      <c r="G25" s="17"/>
      <c r="I25" s="76">
        <v>45809</v>
      </c>
      <c r="J25" s="79">
        <f>1318425</f>
        <v>1318425</v>
      </c>
      <c r="K25" s="63">
        <f>1318425</f>
        <v>1318425</v>
      </c>
      <c r="L25" s="80">
        <f t="shared" si="2"/>
        <v>0</v>
      </c>
      <c r="M25" s="80">
        <f t="shared" si="3"/>
        <v>0</v>
      </c>
      <c r="O25" s="57"/>
    </row>
    <row r="26" spans="2:15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73">
        <v>45839</v>
      </c>
      <c r="J26" s="74">
        <v>1525399</v>
      </c>
      <c r="K26" s="74">
        <v>1525399</v>
      </c>
      <c r="L26" s="78">
        <f t="shared" si="2"/>
        <v>0</v>
      </c>
      <c r="M26" s="78">
        <f>M25+L26</f>
        <v>0</v>
      </c>
      <c r="O26" s="57"/>
    </row>
    <row r="27" spans="2:15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81">
        <v>45870</v>
      </c>
      <c r="J27" s="79">
        <f>1369640</f>
        <v>1369640</v>
      </c>
      <c r="K27" s="79">
        <f>1369640</f>
        <v>1369640</v>
      </c>
      <c r="L27" s="80">
        <f t="shared" si="2"/>
        <v>0</v>
      </c>
      <c r="M27" s="80">
        <f>M26+L27</f>
        <v>0</v>
      </c>
      <c r="O27" s="58"/>
    </row>
    <row r="28" spans="2:15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65"/>
      <c r="J28" s="65"/>
      <c r="K28" s="65"/>
      <c r="L28" s="65"/>
      <c r="M28" s="65"/>
    </row>
    <row r="29" spans="2:15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82" t="s">
        <v>49</v>
      </c>
      <c r="J29" s="83"/>
      <c r="K29" s="83"/>
      <c r="L29" s="84"/>
      <c r="M29" s="85">
        <f>M25</f>
        <v>0</v>
      </c>
    </row>
    <row r="30" spans="2:15" x14ac:dyDescent="0.2">
      <c r="B30" s="20" t="s">
        <v>34</v>
      </c>
      <c r="C30" s="51" t="s">
        <v>57</v>
      </c>
      <c r="D30" s="35">
        <f>-G13</f>
        <v>-1741005</v>
      </c>
      <c r="E30" s="35">
        <f>D60</f>
        <v>0</v>
      </c>
      <c r="F30" s="51"/>
      <c r="G30" s="35">
        <f t="shared" ref="G30" si="4">D30+E30</f>
        <v>-1741005</v>
      </c>
      <c r="I30" s="65"/>
      <c r="J30" s="65"/>
      <c r="K30" s="65"/>
      <c r="L30" s="65"/>
      <c r="M30" s="86"/>
    </row>
    <row r="31" spans="2:15" x14ac:dyDescent="0.2">
      <c r="B31" s="5" t="s">
        <v>35</v>
      </c>
      <c r="C31" s="29"/>
      <c r="D31" s="30"/>
      <c r="E31" s="30"/>
      <c r="F31" s="31" t="s">
        <v>36</v>
      </c>
      <c r="G31" s="19">
        <f>G30</f>
        <v>-1741005</v>
      </c>
      <c r="I31" s="82" t="s">
        <v>50</v>
      </c>
      <c r="J31" s="83"/>
      <c r="K31" s="83"/>
      <c r="L31" s="84"/>
      <c r="M31" s="85">
        <f>M29/6</f>
        <v>0</v>
      </c>
    </row>
    <row r="32" spans="2:15" x14ac:dyDescent="0.2">
      <c r="B32" s="32"/>
      <c r="G32" s="33"/>
      <c r="I32" s="65"/>
      <c r="J32" s="65"/>
      <c r="K32" s="65"/>
      <c r="L32" s="65"/>
      <c r="M32" s="65"/>
    </row>
    <row r="33" spans="2:13" ht="15" x14ac:dyDescent="0.25">
      <c r="B33" s="6">
        <v>9</v>
      </c>
      <c r="C33" s="34" t="s">
        <v>47</v>
      </c>
      <c r="D33" s="8"/>
      <c r="E33" s="8"/>
      <c r="F33" s="9"/>
      <c r="G33" s="35">
        <f>G20+G31</f>
        <v>186578.88000000012</v>
      </c>
      <c r="I33" s="53" t="s">
        <v>54</v>
      </c>
      <c r="J33" s="65"/>
      <c r="K33" s="65"/>
      <c r="L33" s="65"/>
      <c r="M33" s="65"/>
    </row>
    <row r="34" spans="2:13" x14ac:dyDescent="0.2">
      <c r="B34" s="32"/>
      <c r="G34" s="33"/>
      <c r="I34" s="65"/>
      <c r="J34" s="65"/>
      <c r="K34" s="65"/>
      <c r="L34" s="65"/>
      <c r="M34" s="65"/>
    </row>
    <row r="35" spans="2:13" x14ac:dyDescent="0.2">
      <c r="B35" s="6">
        <v>10</v>
      </c>
      <c r="C35" s="34" t="s">
        <v>58</v>
      </c>
      <c r="D35" s="8"/>
      <c r="E35" s="8"/>
      <c r="F35" s="9"/>
      <c r="G35" s="35">
        <f>G33/6</f>
        <v>31096.480000000021</v>
      </c>
      <c r="I35" s="66"/>
      <c r="J35" s="66"/>
      <c r="K35" s="67" t="s">
        <v>0</v>
      </c>
      <c r="L35" s="66"/>
      <c r="M35" s="66"/>
    </row>
    <row r="36" spans="2:13" x14ac:dyDescent="0.2">
      <c r="I36" s="68"/>
      <c r="J36" s="69" t="s">
        <v>1</v>
      </c>
      <c r="K36" s="69" t="s">
        <v>2</v>
      </c>
      <c r="L36" s="68"/>
      <c r="M36" s="68"/>
    </row>
    <row r="37" spans="2:13" x14ac:dyDescent="0.2">
      <c r="B37" s="1"/>
      <c r="C37" s="36" t="s">
        <v>37</v>
      </c>
      <c r="D37" s="37"/>
      <c r="E37" s="37"/>
      <c r="F37" s="37"/>
      <c r="G37" s="38"/>
      <c r="I37" s="68"/>
      <c r="J37" s="69" t="s">
        <v>3</v>
      </c>
      <c r="K37" s="69" t="s">
        <v>4</v>
      </c>
      <c r="L37" s="69" t="s">
        <v>5</v>
      </c>
      <c r="M37" s="69" t="s">
        <v>6</v>
      </c>
    </row>
    <row r="38" spans="2:13" x14ac:dyDescent="0.2">
      <c r="B38" s="1"/>
      <c r="C38" s="39"/>
      <c r="D38" s="39"/>
      <c r="E38" s="39"/>
      <c r="F38" s="39"/>
      <c r="G38" s="11"/>
      <c r="I38" s="70"/>
      <c r="J38" s="70" t="s">
        <v>7</v>
      </c>
      <c r="K38" s="70" t="s">
        <v>7</v>
      </c>
      <c r="L38" s="70" t="s">
        <v>8</v>
      </c>
      <c r="M38" s="70" t="s">
        <v>8</v>
      </c>
    </row>
    <row r="39" spans="2:13" x14ac:dyDescent="0.2">
      <c r="B39" s="4">
        <v>11</v>
      </c>
      <c r="C39" s="40" t="s">
        <v>38</v>
      </c>
      <c r="D39" s="40"/>
      <c r="E39" s="40"/>
      <c r="F39" s="40"/>
      <c r="G39" s="41">
        <f>G14</f>
        <v>1741005</v>
      </c>
      <c r="I39" s="71" t="s">
        <v>10</v>
      </c>
      <c r="J39" s="72" t="s">
        <v>48</v>
      </c>
      <c r="K39" s="72" t="s">
        <v>11</v>
      </c>
      <c r="L39" s="72" t="s">
        <v>12</v>
      </c>
      <c r="M39" s="72" t="s">
        <v>13</v>
      </c>
    </row>
    <row r="40" spans="2:13" x14ac:dyDescent="0.2">
      <c r="B40" s="4">
        <v>12</v>
      </c>
      <c r="C40" s="40" t="s">
        <v>39</v>
      </c>
      <c r="D40" s="40"/>
      <c r="E40" s="40"/>
      <c r="F40" s="40"/>
      <c r="G40" s="42">
        <f>G31</f>
        <v>-1741005</v>
      </c>
      <c r="I40" s="73">
        <v>45658</v>
      </c>
      <c r="J40" s="87">
        <f>249025+1184</f>
        <v>250209</v>
      </c>
      <c r="K40" s="74">
        <f>104481+17399+128329</f>
        <v>250209</v>
      </c>
      <c r="L40" s="75">
        <f>J40-K40</f>
        <v>0</v>
      </c>
      <c r="M40" s="75">
        <f>+L40</f>
        <v>0</v>
      </c>
    </row>
    <row r="41" spans="2:13" x14ac:dyDescent="0.2">
      <c r="B41" s="4"/>
      <c r="C41" s="40"/>
      <c r="D41" s="40"/>
      <c r="E41" s="40"/>
      <c r="F41" s="40"/>
      <c r="G41" s="41"/>
      <c r="I41" s="76">
        <v>45689</v>
      </c>
      <c r="J41" s="87">
        <f>229881+893</f>
        <v>230774</v>
      </c>
      <c r="K41" s="77">
        <f>230774</f>
        <v>230774</v>
      </c>
      <c r="L41" s="78">
        <f>J41-K41</f>
        <v>0</v>
      </c>
      <c r="M41" s="78">
        <f>M40+L41</f>
        <v>0</v>
      </c>
    </row>
    <row r="42" spans="2:13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  <c r="I42" s="76">
        <v>45717</v>
      </c>
      <c r="J42" s="77">
        <f>122543+506</f>
        <v>123049</v>
      </c>
      <c r="K42" s="77">
        <f>48706+8262+66081</f>
        <v>123049</v>
      </c>
      <c r="L42" s="78">
        <f t="shared" ref="L42:L45" si="5">J42-K42</f>
        <v>0</v>
      </c>
      <c r="M42" s="78">
        <f t="shared" ref="M42:M45" si="6">M41+L42</f>
        <v>0</v>
      </c>
    </row>
    <row r="43" spans="2:13" ht="15" thickTop="1" x14ac:dyDescent="0.2">
      <c r="B43" s="4"/>
      <c r="C43" s="40"/>
      <c r="D43" s="40"/>
      <c r="E43" s="40"/>
      <c r="F43" s="40"/>
      <c r="G43" s="41"/>
      <c r="I43" s="76">
        <v>45748</v>
      </c>
      <c r="J43" s="77">
        <f>699+138358</f>
        <v>139057</v>
      </c>
      <c r="K43" s="77">
        <f>58981+9524+70552</f>
        <v>139057</v>
      </c>
      <c r="L43" s="78">
        <f t="shared" si="5"/>
        <v>0</v>
      </c>
      <c r="M43" s="78">
        <f t="shared" si="6"/>
        <v>0</v>
      </c>
    </row>
    <row r="44" spans="2:13" x14ac:dyDescent="0.2">
      <c r="B44" s="4">
        <v>14</v>
      </c>
      <c r="C44" s="40" t="s">
        <v>41</v>
      </c>
      <c r="D44" s="40"/>
      <c r="E44" s="40"/>
      <c r="F44" s="40"/>
      <c r="G44" s="41">
        <f>G33</f>
        <v>186578.88000000012</v>
      </c>
      <c r="I44" s="76">
        <v>45778</v>
      </c>
      <c r="J44" s="77">
        <f>1049+216657</f>
        <v>217706</v>
      </c>
      <c r="K44" s="61">
        <f>83720+14329+119657</f>
        <v>217706</v>
      </c>
      <c r="L44" s="78">
        <f t="shared" si="5"/>
        <v>0</v>
      </c>
      <c r="M44" s="78">
        <f t="shared" si="6"/>
        <v>0</v>
      </c>
    </row>
    <row r="45" spans="2:13" x14ac:dyDescent="0.2">
      <c r="B45" s="4"/>
      <c r="C45" s="40"/>
      <c r="D45" s="40"/>
      <c r="E45" s="40"/>
      <c r="F45" s="40"/>
      <c r="G45" s="41"/>
      <c r="I45" s="76">
        <v>45809</v>
      </c>
      <c r="J45" s="79">
        <f>1230+245276</f>
        <v>246506</v>
      </c>
      <c r="K45" s="63">
        <f>100828+16344+129334</f>
        <v>246506</v>
      </c>
      <c r="L45" s="80">
        <f t="shared" si="5"/>
        <v>0</v>
      </c>
      <c r="M45" s="80">
        <f t="shared" si="6"/>
        <v>0</v>
      </c>
    </row>
    <row r="46" spans="2:13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186578.88</v>
      </c>
      <c r="I46" s="73">
        <v>45839</v>
      </c>
      <c r="J46" s="74">
        <f>300587+1412</f>
        <v>301999</v>
      </c>
      <c r="K46" s="74">
        <f>128805+20347+152847</f>
        <v>301999</v>
      </c>
      <c r="L46" s="78">
        <f>J46-K46</f>
        <v>0</v>
      </c>
      <c r="M46" s="78">
        <f>M45+L46</f>
        <v>0</v>
      </c>
    </row>
    <row r="47" spans="2:13" x14ac:dyDescent="0.2">
      <c r="B47" s="4"/>
      <c r="C47" s="40"/>
      <c r="D47" s="40"/>
      <c r="E47" s="40"/>
      <c r="F47" s="40"/>
      <c r="G47" s="41"/>
      <c r="I47" s="81">
        <v>45870</v>
      </c>
      <c r="J47" s="79">
        <f>267336+1289</f>
        <v>268625</v>
      </c>
      <c r="K47" s="79">
        <f>111599+17726+139300</f>
        <v>268625</v>
      </c>
      <c r="L47" s="80">
        <f>J47-K47</f>
        <v>0</v>
      </c>
      <c r="M47" s="80">
        <f>M46+L47</f>
        <v>0</v>
      </c>
    </row>
    <row r="48" spans="2:13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  <c r="I48" s="65"/>
      <c r="J48" s="65"/>
      <c r="K48" s="65"/>
      <c r="L48" s="65"/>
      <c r="M48" s="65"/>
    </row>
    <row r="49" spans="2:13" ht="15" thickTop="1" x14ac:dyDescent="0.2">
      <c r="B49" s="28"/>
      <c r="C49" s="44"/>
      <c r="D49" s="44"/>
      <c r="E49" s="44"/>
      <c r="F49" s="44"/>
      <c r="G49" s="45"/>
      <c r="I49" s="82" t="s">
        <v>49</v>
      </c>
      <c r="J49" s="83"/>
      <c r="K49" s="83"/>
      <c r="L49" s="84"/>
      <c r="M49" s="85">
        <f>M45</f>
        <v>0</v>
      </c>
    </row>
    <row r="50" spans="2:13" x14ac:dyDescent="0.2">
      <c r="I50" s="65"/>
      <c r="J50" s="65"/>
      <c r="K50" s="65"/>
      <c r="L50" s="65"/>
      <c r="M50" s="86"/>
    </row>
    <row r="51" spans="2:13" x14ac:dyDescent="0.2">
      <c r="B51" t="s">
        <v>44</v>
      </c>
      <c r="I51" s="82" t="s">
        <v>50</v>
      </c>
      <c r="J51" s="83"/>
      <c r="K51" s="83"/>
      <c r="L51" s="84"/>
      <c r="M51" s="85">
        <f>M49/6</f>
        <v>0</v>
      </c>
    </row>
    <row r="52" spans="2:13" x14ac:dyDescent="0.2">
      <c r="B52" s="32"/>
      <c r="C52" s="1"/>
      <c r="D52" s="2" t="s">
        <v>45</v>
      </c>
      <c r="E52" s="27"/>
      <c r="F52" s="54"/>
      <c r="G52" s="54"/>
    </row>
    <row r="53" spans="2:13" x14ac:dyDescent="0.2">
      <c r="B53" s="32"/>
      <c r="C53" s="5" t="s">
        <v>10</v>
      </c>
      <c r="D53" s="5" t="s">
        <v>59</v>
      </c>
      <c r="E53" s="27"/>
      <c r="F53" s="54"/>
      <c r="G53" s="54"/>
    </row>
    <row r="54" spans="2:13" x14ac:dyDescent="0.2">
      <c r="C54" s="13">
        <v>45658</v>
      </c>
      <c r="D54" s="46">
        <v>0</v>
      </c>
      <c r="E54" s="55"/>
      <c r="F54" s="52"/>
      <c r="G54" s="52"/>
    </row>
    <row r="55" spans="2:13" x14ac:dyDescent="0.2">
      <c r="C55" s="15">
        <v>45689</v>
      </c>
      <c r="D55" s="47">
        <v>0</v>
      </c>
      <c r="E55" s="55"/>
      <c r="F55" s="52"/>
      <c r="G55" s="52"/>
    </row>
    <row r="56" spans="2:13" x14ac:dyDescent="0.2">
      <c r="C56" s="15">
        <v>45717</v>
      </c>
      <c r="D56" s="47">
        <v>0</v>
      </c>
      <c r="E56" s="55"/>
      <c r="F56" s="52"/>
      <c r="G56" s="52"/>
    </row>
    <row r="57" spans="2:13" x14ac:dyDescent="0.2">
      <c r="C57" s="15">
        <v>45748</v>
      </c>
      <c r="D57" s="47">
        <v>0</v>
      </c>
      <c r="E57" s="55"/>
      <c r="F57" s="52"/>
      <c r="G57" s="52"/>
    </row>
    <row r="58" spans="2:13" x14ac:dyDescent="0.2">
      <c r="C58" s="15">
        <v>45778</v>
      </c>
      <c r="D58" s="47">
        <v>0</v>
      </c>
      <c r="E58" s="55"/>
      <c r="F58" s="52"/>
      <c r="G58" s="52"/>
    </row>
    <row r="59" spans="2:13" x14ac:dyDescent="0.2">
      <c r="C59" s="15">
        <v>45809</v>
      </c>
      <c r="D59" s="48">
        <v>0</v>
      </c>
      <c r="E59" s="55"/>
      <c r="F59" s="52"/>
      <c r="G59" s="52"/>
    </row>
    <row r="60" spans="2:13" x14ac:dyDescent="0.2">
      <c r="C60" s="49" t="s">
        <v>46</v>
      </c>
      <c r="D60" s="35">
        <f>SUM(D54:D59)</f>
        <v>0</v>
      </c>
      <c r="E60" s="16"/>
      <c r="F60" s="52"/>
      <c r="G60" s="52"/>
    </row>
  </sheetData>
  <mergeCells count="3">
    <mergeCell ref="B4:G5"/>
    <mergeCell ref="C12:G12"/>
    <mergeCell ref="I4:M5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3C8A-A53C-4CAC-B69B-A327D3F2D8F5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Owen Surcharge Summary.xlsx</v>
      </c>
    </row>
    <row r="3" spans="1:6" ht="15" x14ac:dyDescent="0.25">
      <c r="C3" s="103" t="s">
        <v>61</v>
      </c>
      <c r="D3" s="103"/>
      <c r="E3" s="103"/>
    </row>
    <row r="4" spans="1:6" ht="15" x14ac:dyDescent="0.25">
      <c r="B4" s="103" t="s">
        <v>62</v>
      </c>
      <c r="C4" s="103"/>
      <c r="D4" s="103"/>
      <c r="E4" s="103"/>
      <c r="F4" s="103"/>
    </row>
    <row r="6" spans="1:6" ht="15" thickBot="1" x14ac:dyDescent="0.25">
      <c r="E6" s="104" t="s">
        <v>63</v>
      </c>
    </row>
    <row r="7" spans="1:6" x14ac:dyDescent="0.2">
      <c r="B7" t="s">
        <v>64</v>
      </c>
    </row>
    <row r="8" spans="1:6" x14ac:dyDescent="0.2">
      <c r="B8" t="s">
        <v>65</v>
      </c>
      <c r="E8" s="105">
        <f>'A - 05-31-22'!G33</f>
        <v>98938.109999999753</v>
      </c>
      <c r="F8" s="106" t="str">
        <f>IF(E8&gt;0,"Under-Recovery","Over-Recovery")</f>
        <v>Under-Recovery</v>
      </c>
    </row>
    <row r="9" spans="1:6" x14ac:dyDescent="0.2">
      <c r="B9" t="s">
        <v>66</v>
      </c>
      <c r="E9" s="105">
        <f>'B - 11-30-22'!G35</f>
        <v>1463542.0900000003</v>
      </c>
      <c r="F9" s="106" t="str">
        <f t="shared" ref="F9:F13" si="0">IF(E9&gt;0,"Under-Recovery","Over-Recovery")</f>
        <v>Under-Recovery</v>
      </c>
    </row>
    <row r="10" spans="1:6" x14ac:dyDescent="0.2">
      <c r="B10" t="s">
        <v>67</v>
      </c>
      <c r="E10" s="105">
        <f>'C - 05-31-23'!G37</f>
        <v>189267.58999999939</v>
      </c>
      <c r="F10" s="106" t="str">
        <f t="shared" si="0"/>
        <v>Under-Recovery</v>
      </c>
    </row>
    <row r="11" spans="1:6" x14ac:dyDescent="0.2">
      <c r="B11" t="s">
        <v>68</v>
      </c>
      <c r="E11" s="105">
        <f>'D - 11-30-23'!G39</f>
        <v>-184226.28999999957</v>
      </c>
      <c r="F11" s="106" t="str">
        <f t="shared" si="0"/>
        <v>Over-Recovery</v>
      </c>
    </row>
    <row r="12" spans="1:6" x14ac:dyDescent="0.2">
      <c r="B12" t="s">
        <v>69</v>
      </c>
      <c r="E12" s="105">
        <f>'E - 05-31-24'!G41</f>
        <v>760499.30999999959</v>
      </c>
      <c r="F12" s="106" t="str">
        <f t="shared" si="0"/>
        <v>Under-Recovery</v>
      </c>
    </row>
    <row r="13" spans="1:6" x14ac:dyDescent="0.2">
      <c r="B13" t="s">
        <v>70</v>
      </c>
      <c r="E13" s="105">
        <f>'F - 11-30-24'!G43</f>
        <v>-587015.59000000032</v>
      </c>
      <c r="F13" s="106" t="str">
        <f t="shared" si="0"/>
        <v>Over-Recovery</v>
      </c>
    </row>
    <row r="14" spans="1:6" x14ac:dyDescent="0.2">
      <c r="E14" s="105"/>
    </row>
    <row r="15" spans="1:6" ht="15" thickBot="1" x14ac:dyDescent="0.25">
      <c r="B15" t="s">
        <v>71</v>
      </c>
      <c r="E15" s="107">
        <f>SUM(E8:E13)</f>
        <v>1741005.2199999993</v>
      </c>
      <c r="F15" s="106" t="str">
        <f>IF(E15&gt;0,"Under-Recovery","Over-Recovery")</f>
        <v>Under-Recovery</v>
      </c>
    </row>
    <row r="16" spans="1:6" ht="15" thickTop="1" x14ac:dyDescent="0.2"/>
    <row r="20" spans="2:6" ht="15" x14ac:dyDescent="0.25">
      <c r="B20" s="103" t="s">
        <v>72</v>
      </c>
      <c r="C20" s="103"/>
      <c r="D20" s="103"/>
      <c r="E20" s="103"/>
      <c r="F20" s="103"/>
    </row>
    <row r="22" spans="2:6" x14ac:dyDescent="0.2">
      <c r="B22" t="s">
        <v>73</v>
      </c>
      <c r="E22" s="105">
        <f>ROUND(E15/6,0)</f>
        <v>290168</v>
      </c>
    </row>
    <row r="23" spans="2:6" x14ac:dyDescent="0.2">
      <c r="E23" s="105"/>
    </row>
    <row r="24" spans="2:6" x14ac:dyDescent="0.2">
      <c r="B24" t="s">
        <v>74</v>
      </c>
      <c r="E24" s="105">
        <f>ROUND(E15/12,0)</f>
        <v>145084</v>
      </c>
    </row>
    <row r="25" spans="2:6" x14ac:dyDescent="0.2">
      <c r="E25" s="105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E572-9CA3-4BFA-838B-A87A9971B59C}">
  <dimension ref="A1:M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ht="15.75" x14ac:dyDescent="0.25">
      <c r="B8" s="3"/>
      <c r="C8" s="3"/>
      <c r="D8" s="4" t="s">
        <v>1</v>
      </c>
      <c r="E8" s="4" t="s">
        <v>2</v>
      </c>
      <c r="F8" s="3"/>
      <c r="G8" s="3"/>
      <c r="I8" s="53" t="s">
        <v>53</v>
      </c>
      <c r="J8" s="114"/>
      <c r="K8" s="114"/>
      <c r="L8" s="114"/>
      <c r="M8" s="114"/>
    </row>
    <row r="9" spans="1:13" ht="15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114"/>
      <c r="J9" s="114"/>
      <c r="K9" s="114"/>
      <c r="L9" s="114"/>
      <c r="M9" s="114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115"/>
      <c r="J10" s="115"/>
      <c r="K10" s="116" t="s">
        <v>0</v>
      </c>
      <c r="L10" s="115"/>
      <c r="M10" s="115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117"/>
      <c r="J11" s="118" t="s">
        <v>1</v>
      </c>
      <c r="K11" s="118" t="s">
        <v>2</v>
      </c>
      <c r="L11" s="117"/>
      <c r="M11" s="117"/>
    </row>
    <row r="12" spans="1:13" ht="15" x14ac:dyDescent="0.2">
      <c r="B12" s="2">
        <v>1</v>
      </c>
      <c r="C12" s="94" t="s">
        <v>15</v>
      </c>
      <c r="D12" s="95"/>
      <c r="E12" s="95"/>
      <c r="F12" s="95"/>
      <c r="G12" s="96"/>
      <c r="I12" s="117"/>
      <c r="J12" s="118" t="s">
        <v>3</v>
      </c>
      <c r="K12" s="118" t="s">
        <v>4</v>
      </c>
      <c r="L12" s="118" t="s">
        <v>5</v>
      </c>
      <c r="M12" s="118" t="s">
        <v>6</v>
      </c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719899</v>
      </c>
      <c r="I13" s="119"/>
      <c r="J13" s="119" t="s">
        <v>7</v>
      </c>
      <c r="K13" s="119" t="s">
        <v>7</v>
      </c>
      <c r="L13" s="119" t="s">
        <v>8</v>
      </c>
      <c r="M13" s="119" t="s">
        <v>8</v>
      </c>
    </row>
    <row r="14" spans="1:13" ht="15" x14ac:dyDescent="0.2">
      <c r="B14" s="5" t="s">
        <v>17</v>
      </c>
      <c r="C14" s="8" t="s">
        <v>18</v>
      </c>
      <c r="D14" s="8"/>
      <c r="E14" s="8"/>
      <c r="F14" s="11"/>
      <c r="G14" s="12">
        <f>G13</f>
        <v>719899</v>
      </c>
      <c r="I14" s="120" t="s">
        <v>10</v>
      </c>
      <c r="J14" s="121" t="s">
        <v>48</v>
      </c>
      <c r="K14" s="121" t="s">
        <v>11</v>
      </c>
      <c r="L14" s="121" t="s">
        <v>12</v>
      </c>
      <c r="M14" s="121" t="s">
        <v>13</v>
      </c>
    </row>
    <row r="15" spans="1:13" ht="15" x14ac:dyDescent="0.2">
      <c r="B15" s="4">
        <v>2</v>
      </c>
      <c r="C15" s="13">
        <v>44562</v>
      </c>
      <c r="D15" s="122">
        <f>1176557-1330-(795+0)</f>
        <v>1174432</v>
      </c>
      <c r="E15" s="123">
        <f>1003059.91+5798.47+170196.33+149659.04+458.3+23764.36</f>
        <v>1352936.4100000001</v>
      </c>
      <c r="F15" s="14">
        <f t="shared" ref="F15:F22" si="0">D15-E15</f>
        <v>-178504.41000000015</v>
      </c>
      <c r="G15" s="12">
        <f t="shared" ref="G15:G22" si="1">G14+F15</f>
        <v>541394.58999999985</v>
      </c>
      <c r="I15" s="124">
        <v>44562</v>
      </c>
      <c r="J15" s="125">
        <v>314570</v>
      </c>
      <c r="K15" s="125">
        <v>314570</v>
      </c>
      <c r="L15" s="126">
        <f t="shared" ref="L15:L22" si="2">J15-K15</f>
        <v>0</v>
      </c>
      <c r="M15" s="126">
        <f>L15</f>
        <v>0</v>
      </c>
    </row>
    <row r="16" spans="1:13" ht="15" x14ac:dyDescent="0.2">
      <c r="B16" s="4">
        <v>3</v>
      </c>
      <c r="C16" s="15">
        <v>44593</v>
      </c>
      <c r="D16" s="127">
        <f>991925-1313-(781+0)</f>
        <v>989831</v>
      </c>
      <c r="E16" s="128">
        <f>1114802.81+5722.9+186012.6+32469.18+393.83+30670.46</f>
        <v>1370071.78</v>
      </c>
      <c r="F16" s="16">
        <f t="shared" si="0"/>
        <v>-380240.78</v>
      </c>
      <c r="G16" s="17">
        <f t="shared" si="1"/>
        <v>161153.80999999982</v>
      </c>
      <c r="I16" s="129">
        <v>44593</v>
      </c>
      <c r="J16" s="130">
        <v>513844</v>
      </c>
      <c r="K16" s="130">
        <v>513844</v>
      </c>
      <c r="L16" s="131">
        <f t="shared" si="2"/>
        <v>0</v>
      </c>
      <c r="M16" s="131">
        <f>M15+L16</f>
        <v>0</v>
      </c>
    </row>
    <row r="17" spans="2:13" ht="15" x14ac:dyDescent="0.2">
      <c r="B17" s="4">
        <v>4</v>
      </c>
      <c r="C17" s="15">
        <v>44621</v>
      </c>
      <c r="D17" s="127">
        <f>651300-1011-(601+0)</f>
        <v>649688</v>
      </c>
      <c r="E17" s="128">
        <f>773411.8+5397.15+144884.74+53200.69+319.55+22600.53</f>
        <v>999814.4600000002</v>
      </c>
      <c r="F17" s="16">
        <f t="shared" si="0"/>
        <v>-350126.4600000002</v>
      </c>
      <c r="G17" s="17">
        <f t="shared" si="1"/>
        <v>-188972.65000000037</v>
      </c>
      <c r="I17" s="129">
        <v>44621</v>
      </c>
      <c r="J17" s="130">
        <v>464134</v>
      </c>
      <c r="K17" s="130">
        <f>463588+546</f>
        <v>464134</v>
      </c>
      <c r="L17" s="131">
        <f t="shared" si="2"/>
        <v>0</v>
      </c>
      <c r="M17" s="131">
        <f t="shared" ref="M17:M20" si="3">M16+L17</f>
        <v>0</v>
      </c>
    </row>
    <row r="18" spans="2:13" ht="15" x14ac:dyDescent="0.2">
      <c r="B18" s="4">
        <v>5</v>
      </c>
      <c r="C18" s="15">
        <v>44652</v>
      </c>
      <c r="D18" s="127">
        <f>816856-1488-(881+0)</f>
        <v>814487</v>
      </c>
      <c r="E18" s="128">
        <f>293446.66+2267.74+55480.23-20780.78+121.81+8921.44</f>
        <v>339457.1</v>
      </c>
      <c r="F18" s="16">
        <f t="shared" si="0"/>
        <v>475029.9</v>
      </c>
      <c r="G18" s="17">
        <f t="shared" si="1"/>
        <v>286057.24999999965</v>
      </c>
      <c r="I18" s="129">
        <v>44652</v>
      </c>
      <c r="J18" s="130">
        <v>608473</v>
      </c>
      <c r="K18" s="130">
        <f>607375+1098</f>
        <v>608473</v>
      </c>
      <c r="L18" s="131">
        <f t="shared" si="2"/>
        <v>0</v>
      </c>
      <c r="M18" s="131">
        <f t="shared" si="3"/>
        <v>0</v>
      </c>
    </row>
    <row r="19" spans="2:13" ht="15" x14ac:dyDescent="0.2">
      <c r="B19" s="4">
        <v>6</v>
      </c>
      <c r="C19" s="15">
        <v>44682</v>
      </c>
      <c r="D19" s="127">
        <f>980119-1584-(935+0)</f>
        <v>977600</v>
      </c>
      <c r="E19" s="128">
        <f>679524.88+5787.44+158781.56+13959.74+269.49+20861.09</f>
        <v>879184.19999999984</v>
      </c>
      <c r="F19" s="16">
        <f t="shared" si="0"/>
        <v>98415.800000000163</v>
      </c>
      <c r="G19" s="17">
        <f t="shared" si="1"/>
        <v>384473.04999999981</v>
      </c>
      <c r="I19" s="129">
        <v>44682</v>
      </c>
      <c r="J19" s="130">
        <v>630504</v>
      </c>
      <c r="K19" s="132">
        <v>630504</v>
      </c>
      <c r="L19" s="131">
        <f t="shared" si="2"/>
        <v>0</v>
      </c>
      <c r="M19" s="131">
        <f t="shared" si="3"/>
        <v>0</v>
      </c>
    </row>
    <row r="20" spans="2:13" ht="15" x14ac:dyDescent="0.2">
      <c r="B20" s="4">
        <v>7</v>
      </c>
      <c r="C20" s="15">
        <v>44713</v>
      </c>
      <c r="D20" s="127">
        <f>1335707-337-(1051+0)</f>
        <v>1334319</v>
      </c>
      <c r="E20" s="128">
        <f>713969.45+5425.74+149739.07+10198.78+230.72+20391.18</f>
        <v>899954.94000000006</v>
      </c>
      <c r="F20" s="18">
        <f t="shared" si="0"/>
        <v>434364.05999999994</v>
      </c>
      <c r="G20" s="19">
        <f t="shared" si="1"/>
        <v>818837.10999999975</v>
      </c>
      <c r="I20" s="133">
        <v>44713</v>
      </c>
      <c r="J20" s="134">
        <v>544866</v>
      </c>
      <c r="K20" s="134">
        <v>544866</v>
      </c>
      <c r="L20" s="135">
        <f t="shared" si="2"/>
        <v>0</v>
      </c>
      <c r="M20" s="135">
        <f t="shared" si="3"/>
        <v>0</v>
      </c>
    </row>
    <row r="21" spans="2:13" ht="15" x14ac:dyDescent="0.2">
      <c r="B21" s="20" t="s">
        <v>19</v>
      </c>
      <c r="C21" s="13">
        <v>44743</v>
      </c>
      <c r="D21" s="122">
        <f>1557265-1718-(1011+0)</f>
        <v>1554536</v>
      </c>
      <c r="E21" s="123">
        <f>1060314.68+6614.63+205924.18+18571.38+273.83+23262.69</f>
        <v>1314961.3899999997</v>
      </c>
      <c r="F21" s="14">
        <f t="shared" si="0"/>
        <v>239574.61000000034</v>
      </c>
      <c r="G21" s="12">
        <f t="shared" si="1"/>
        <v>1058411.7200000002</v>
      </c>
      <c r="I21" s="129">
        <v>44743</v>
      </c>
      <c r="J21" s="125">
        <v>806432</v>
      </c>
      <c r="K21" s="125">
        <v>806432</v>
      </c>
      <c r="L21" s="131">
        <f t="shared" si="2"/>
        <v>0</v>
      </c>
      <c r="M21" s="131">
        <f>M20+L21</f>
        <v>0</v>
      </c>
    </row>
    <row r="22" spans="2:13" ht="15" x14ac:dyDescent="0.2">
      <c r="B22" s="21" t="s">
        <v>20</v>
      </c>
      <c r="C22" s="22">
        <v>44774</v>
      </c>
      <c r="D22" s="136">
        <f>1169390-274-(828+0)</f>
        <v>1168288</v>
      </c>
      <c r="E22" s="137">
        <f>1009438.36+6799.81+220382.35+117644.36+285.4+24755.14</f>
        <v>1379305.42</v>
      </c>
      <c r="F22" s="18">
        <f t="shared" si="0"/>
        <v>-211017.41999999993</v>
      </c>
      <c r="G22" s="19">
        <f t="shared" si="1"/>
        <v>847394.30000000028</v>
      </c>
      <c r="I22" s="133">
        <v>44774</v>
      </c>
      <c r="J22" s="134">
        <v>737707</v>
      </c>
      <c r="K22" s="134">
        <v>737707</v>
      </c>
      <c r="L22" s="135">
        <f t="shared" si="2"/>
        <v>0</v>
      </c>
      <c r="M22" s="135">
        <f>M21+L22</f>
        <v>0</v>
      </c>
    </row>
    <row r="23" spans="2:13" ht="15" x14ac:dyDescent="0.2">
      <c r="B23" s="5"/>
      <c r="C23" s="23" t="s">
        <v>76</v>
      </c>
      <c r="D23" s="24"/>
      <c r="E23" s="24"/>
      <c r="F23" s="24"/>
      <c r="G23" s="25"/>
      <c r="I23" s="114"/>
      <c r="J23" s="114"/>
      <c r="K23" s="114"/>
      <c r="L23" s="114"/>
      <c r="M23" s="114"/>
    </row>
    <row r="24" spans="2:13" ht="15" x14ac:dyDescent="0.2">
      <c r="B24" s="2"/>
      <c r="C24" s="1"/>
      <c r="D24" s="1"/>
      <c r="E24" s="1"/>
      <c r="F24" s="1"/>
      <c r="G24" s="12"/>
      <c r="I24" s="138" t="s">
        <v>49</v>
      </c>
      <c r="J24" s="139"/>
      <c r="K24" s="139"/>
      <c r="L24" s="140"/>
      <c r="M24" s="141">
        <f>M20</f>
        <v>0</v>
      </c>
    </row>
    <row r="25" spans="2:13" ht="15" x14ac:dyDescent="0.2">
      <c r="B25" s="4"/>
      <c r="C25" s="3"/>
      <c r="D25" s="4" t="s">
        <v>21</v>
      </c>
      <c r="E25" s="4" t="s">
        <v>22</v>
      </c>
      <c r="F25" s="3"/>
      <c r="G25" s="17"/>
      <c r="I25" s="114"/>
      <c r="J25" s="114"/>
      <c r="K25" s="114"/>
      <c r="L25" s="114"/>
      <c r="M25" s="142"/>
    </row>
    <row r="26" spans="2:13" ht="15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138" t="s">
        <v>50</v>
      </c>
      <c r="J26" s="139"/>
      <c r="K26" s="139"/>
      <c r="L26" s="140"/>
      <c r="M26" s="141">
        <f>M24/6</f>
        <v>0</v>
      </c>
    </row>
    <row r="27" spans="2:13" ht="15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114"/>
      <c r="J27" s="114"/>
      <c r="K27" s="114"/>
      <c r="L27" s="114"/>
      <c r="M27" s="114"/>
    </row>
    <row r="28" spans="2:13" ht="15.75" x14ac:dyDescent="0.25">
      <c r="B28" s="4"/>
      <c r="C28" s="3"/>
      <c r="D28" s="4" t="s">
        <v>28</v>
      </c>
      <c r="E28" s="4" t="s">
        <v>29</v>
      </c>
      <c r="F28" s="3"/>
      <c r="G28" s="26" t="s">
        <v>30</v>
      </c>
      <c r="I28" s="53" t="s">
        <v>54</v>
      </c>
      <c r="J28" s="114"/>
      <c r="K28" s="114"/>
      <c r="L28" s="114"/>
      <c r="M28" s="114"/>
    </row>
    <row r="29" spans="2:13" ht="15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114"/>
      <c r="J29" s="114"/>
      <c r="K29" s="114"/>
      <c r="L29" s="114"/>
      <c r="M29" s="114"/>
    </row>
    <row r="30" spans="2:13" ht="15" x14ac:dyDescent="0.2">
      <c r="B30" s="2" t="s">
        <v>34</v>
      </c>
      <c r="C30" s="51" t="s">
        <v>77</v>
      </c>
      <c r="D30" s="35">
        <f>-G13</f>
        <v>-719899</v>
      </c>
      <c r="E30" s="35">
        <f>D60</f>
        <v>0</v>
      </c>
      <c r="F30" s="51"/>
      <c r="G30" s="35">
        <f>D30+E30</f>
        <v>-719899</v>
      </c>
      <c r="I30" s="115"/>
      <c r="J30" s="115"/>
      <c r="K30" s="116" t="s">
        <v>0</v>
      </c>
      <c r="L30" s="115"/>
      <c r="M30" s="115"/>
    </row>
    <row r="31" spans="2:13" ht="15" x14ac:dyDescent="0.2">
      <c r="B31" s="5" t="s">
        <v>35</v>
      </c>
      <c r="C31" s="29"/>
      <c r="D31" s="30"/>
      <c r="E31" s="30"/>
      <c r="F31" s="31" t="s">
        <v>36</v>
      </c>
      <c r="G31" s="19">
        <f>G30</f>
        <v>-719899</v>
      </c>
      <c r="I31" s="117"/>
      <c r="J31" s="118" t="s">
        <v>1</v>
      </c>
      <c r="K31" s="118" t="s">
        <v>2</v>
      </c>
      <c r="L31" s="117"/>
      <c r="M31" s="117"/>
    </row>
    <row r="32" spans="2:13" ht="15" x14ac:dyDescent="0.2">
      <c r="B32" s="32"/>
      <c r="G32" s="33"/>
      <c r="I32" s="117"/>
      <c r="J32" s="118" t="s">
        <v>3</v>
      </c>
      <c r="K32" s="118" t="s">
        <v>4</v>
      </c>
      <c r="L32" s="118" t="s">
        <v>5</v>
      </c>
      <c r="M32" s="118" t="s">
        <v>6</v>
      </c>
    </row>
    <row r="33" spans="2:13" ht="15" x14ac:dyDescent="0.2">
      <c r="B33" s="6">
        <v>9</v>
      </c>
      <c r="C33" s="34" t="s">
        <v>47</v>
      </c>
      <c r="D33" s="8"/>
      <c r="E33" s="8"/>
      <c r="F33" s="9"/>
      <c r="G33" s="35">
        <f>G20+G31</f>
        <v>98938.109999999753</v>
      </c>
      <c r="I33" s="119"/>
      <c r="J33" s="119" t="s">
        <v>7</v>
      </c>
      <c r="K33" s="119" t="s">
        <v>7</v>
      </c>
      <c r="L33" s="119" t="s">
        <v>8</v>
      </c>
      <c r="M33" s="119" t="s">
        <v>8</v>
      </c>
    </row>
    <row r="34" spans="2:13" ht="15" x14ac:dyDescent="0.2">
      <c r="B34" s="32"/>
      <c r="G34" s="33"/>
      <c r="I34" s="120" t="s">
        <v>10</v>
      </c>
      <c r="J34" s="121" t="s">
        <v>48</v>
      </c>
      <c r="K34" s="121" t="s">
        <v>11</v>
      </c>
      <c r="L34" s="121" t="s">
        <v>12</v>
      </c>
      <c r="M34" s="121" t="s">
        <v>13</v>
      </c>
    </row>
    <row r="35" spans="2:13" ht="15" x14ac:dyDescent="0.2">
      <c r="B35" s="6">
        <v>10</v>
      </c>
      <c r="C35" s="34" t="s">
        <v>78</v>
      </c>
      <c r="D35" s="8"/>
      <c r="E35" s="8"/>
      <c r="F35" s="9"/>
      <c r="G35" s="35">
        <f>G33/6</f>
        <v>16489.684999999958</v>
      </c>
      <c r="I35" s="124">
        <v>44562</v>
      </c>
      <c r="J35" s="143">
        <f>171913+(795+0)</f>
        <v>172708</v>
      </c>
      <c r="K35" s="125">
        <v>172708</v>
      </c>
      <c r="L35" s="126">
        <f>J35-K35</f>
        <v>0</v>
      </c>
      <c r="M35" s="126">
        <f>+L35</f>
        <v>0</v>
      </c>
    </row>
    <row r="36" spans="2:13" ht="15" x14ac:dyDescent="0.2">
      <c r="I36" s="129">
        <v>44593</v>
      </c>
      <c r="J36" s="143">
        <f>177298+(781+0)</f>
        <v>178079</v>
      </c>
      <c r="K36" s="130">
        <v>178079</v>
      </c>
      <c r="L36" s="131">
        <f>J36-K36</f>
        <v>0</v>
      </c>
      <c r="M36" s="131">
        <f>M35+L36</f>
        <v>0</v>
      </c>
    </row>
    <row r="37" spans="2:13" ht="15" x14ac:dyDescent="0.2">
      <c r="B37" s="1"/>
      <c r="C37" s="36" t="s">
        <v>37</v>
      </c>
      <c r="D37" s="37"/>
      <c r="E37" s="37"/>
      <c r="F37" s="37"/>
      <c r="G37" s="38"/>
      <c r="I37" s="129">
        <v>44621</v>
      </c>
      <c r="J37" s="130">
        <f>153976+(601+0)</f>
        <v>154577</v>
      </c>
      <c r="K37" s="130">
        <v>154577</v>
      </c>
      <c r="L37" s="131">
        <f t="shared" ref="L37:L40" si="4">J37-K37</f>
        <v>0</v>
      </c>
      <c r="M37" s="131">
        <f t="shared" ref="M37:M40" si="5">M36+L37</f>
        <v>0</v>
      </c>
    </row>
    <row r="38" spans="2:13" ht="15" x14ac:dyDescent="0.2">
      <c r="B38" s="1"/>
      <c r="C38" s="39"/>
      <c r="D38" s="39"/>
      <c r="E38" s="39"/>
      <c r="F38" s="39"/>
      <c r="G38" s="11"/>
      <c r="I38" s="129">
        <v>44652</v>
      </c>
      <c r="J38" s="130">
        <f>195994+(881+0)</f>
        <v>196875</v>
      </c>
      <c r="K38" s="130">
        <v>196875</v>
      </c>
      <c r="L38" s="131">
        <f t="shared" si="4"/>
        <v>0</v>
      </c>
      <c r="M38" s="131">
        <f t="shared" si="5"/>
        <v>0</v>
      </c>
    </row>
    <row r="39" spans="2:13" ht="15" x14ac:dyDescent="0.2">
      <c r="B39" s="4">
        <v>11</v>
      </c>
      <c r="C39" t="s">
        <v>38</v>
      </c>
      <c r="G39" s="41">
        <f>G14</f>
        <v>719899</v>
      </c>
      <c r="I39" s="129">
        <v>44682</v>
      </c>
      <c r="J39" s="130">
        <f>220149+(935+0)</f>
        <v>221084</v>
      </c>
      <c r="K39" s="132">
        <v>221084</v>
      </c>
      <c r="L39" s="131">
        <f t="shared" si="4"/>
        <v>0</v>
      </c>
      <c r="M39" s="131">
        <f t="shared" si="5"/>
        <v>0</v>
      </c>
    </row>
    <row r="40" spans="2:13" ht="15" x14ac:dyDescent="0.2">
      <c r="B40" s="4">
        <v>12</v>
      </c>
      <c r="C40" t="s">
        <v>39</v>
      </c>
      <c r="G40" s="42">
        <f>G31</f>
        <v>-719899</v>
      </c>
      <c r="I40" s="133">
        <v>44713</v>
      </c>
      <c r="J40" s="134">
        <f>253958+(1051+0)</f>
        <v>255009</v>
      </c>
      <c r="K40" s="134">
        <v>255009</v>
      </c>
      <c r="L40" s="135">
        <f t="shared" si="4"/>
        <v>0</v>
      </c>
      <c r="M40" s="135">
        <f t="shared" si="5"/>
        <v>0</v>
      </c>
    </row>
    <row r="41" spans="2:13" ht="15" x14ac:dyDescent="0.2">
      <c r="B41" s="4"/>
      <c r="G41" s="41"/>
      <c r="I41" s="129">
        <v>44743</v>
      </c>
      <c r="J41" s="125">
        <f>287481+(1011+0)</f>
        <v>288492</v>
      </c>
      <c r="K41" s="125">
        <f>104939+19607+163946</f>
        <v>288492</v>
      </c>
      <c r="L41" s="131">
        <f>J41-K41</f>
        <v>0</v>
      </c>
      <c r="M41" s="131">
        <f>M40+L41</f>
        <v>0</v>
      </c>
    </row>
    <row r="42" spans="2:13" ht="15.75" thickBot="1" x14ac:dyDescent="0.25">
      <c r="B42" s="4">
        <v>13</v>
      </c>
      <c r="C42" t="s">
        <v>40</v>
      </c>
      <c r="G42" s="43">
        <f>G39+G40</f>
        <v>0</v>
      </c>
      <c r="I42" s="133">
        <v>44774</v>
      </c>
      <c r="J42" s="134">
        <f>220837+(828+0)</f>
        <v>221665</v>
      </c>
      <c r="K42" s="134">
        <f>88032+15370+118263</f>
        <v>221665</v>
      </c>
      <c r="L42" s="135">
        <f>J42-K42</f>
        <v>0</v>
      </c>
      <c r="M42" s="135">
        <f>M41+L42</f>
        <v>0</v>
      </c>
    </row>
    <row r="43" spans="2:13" ht="15.75" thickTop="1" x14ac:dyDescent="0.2">
      <c r="B43" s="4"/>
      <c r="G43" s="41"/>
      <c r="I43" s="114"/>
      <c r="J43" s="114"/>
      <c r="K43" s="114"/>
      <c r="L43" s="114"/>
      <c r="M43" s="114"/>
    </row>
    <row r="44" spans="2:13" ht="15" x14ac:dyDescent="0.2">
      <c r="B44" s="4">
        <v>14</v>
      </c>
      <c r="C44" t="s">
        <v>41</v>
      </c>
      <c r="G44" s="41">
        <f>G33</f>
        <v>98938.109999999753</v>
      </c>
      <c r="I44" s="138" t="s">
        <v>49</v>
      </c>
      <c r="J44" s="139"/>
      <c r="K44" s="139"/>
      <c r="L44" s="140"/>
      <c r="M44" s="141">
        <f>M40</f>
        <v>0</v>
      </c>
    </row>
    <row r="45" spans="2:13" ht="15" x14ac:dyDescent="0.2">
      <c r="B45" s="4"/>
      <c r="G45" s="41"/>
      <c r="I45" s="114"/>
      <c r="J45" s="114"/>
      <c r="K45" s="114"/>
      <c r="L45" s="114"/>
      <c r="M45" s="142"/>
    </row>
    <row r="46" spans="2:13" ht="15" x14ac:dyDescent="0.2">
      <c r="B46" s="4">
        <v>15</v>
      </c>
      <c r="C46" t="s">
        <v>42</v>
      </c>
      <c r="G46" s="42">
        <f>SUM(F15:F20)</f>
        <v>98938.109999999753</v>
      </c>
      <c r="I46" s="138" t="s">
        <v>50</v>
      </c>
      <c r="J46" s="139"/>
      <c r="K46" s="139"/>
      <c r="L46" s="140"/>
      <c r="M46" s="141">
        <f>M44/6</f>
        <v>0</v>
      </c>
    </row>
    <row r="47" spans="2:13" x14ac:dyDescent="0.2">
      <c r="B47" s="4"/>
      <c r="G47" s="41"/>
    </row>
    <row r="48" spans="2:13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79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67FC0-C16C-4406-BF0E-BA613E9E7E1F}">
  <dimension ref="A1:M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3" t="s">
        <v>53</v>
      </c>
      <c r="J9" s="114"/>
      <c r="K9" s="114"/>
      <c r="L9" s="114"/>
      <c r="M9" s="114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114"/>
      <c r="J10" s="114"/>
      <c r="K10" s="114"/>
      <c r="L10" s="114"/>
      <c r="M10" s="114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115"/>
      <c r="J11" s="115"/>
      <c r="K11" s="116" t="s">
        <v>0</v>
      </c>
      <c r="L11" s="115"/>
      <c r="M11" s="115"/>
    </row>
    <row r="12" spans="1:13" ht="15" x14ac:dyDescent="0.2">
      <c r="B12" s="2">
        <v>1</v>
      </c>
      <c r="C12" s="94" t="s">
        <v>15</v>
      </c>
      <c r="D12" s="95"/>
      <c r="E12" s="95"/>
      <c r="F12" s="95"/>
      <c r="G12" s="96"/>
      <c r="I12" s="117"/>
      <c r="J12" s="118" t="s">
        <v>1</v>
      </c>
      <c r="K12" s="118" t="s">
        <v>2</v>
      </c>
      <c r="L12" s="117"/>
      <c r="M12" s="117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719899</v>
      </c>
      <c r="I13" s="117"/>
      <c r="J13" s="118" t="s">
        <v>3</v>
      </c>
      <c r="K13" s="118" t="s">
        <v>4</v>
      </c>
      <c r="L13" s="118" t="s">
        <v>5</v>
      </c>
      <c r="M13" s="118" t="s">
        <v>6</v>
      </c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44">
        <f>'A - 05-31-22'!G33</f>
        <v>98938.109999999753</v>
      </c>
      <c r="I14" s="119"/>
      <c r="J14" s="119" t="s">
        <v>7</v>
      </c>
      <c r="K14" s="119" t="s">
        <v>7</v>
      </c>
      <c r="L14" s="119" t="s">
        <v>8</v>
      </c>
      <c r="M14" s="119" t="s">
        <v>8</v>
      </c>
    </row>
    <row r="15" spans="1:13" ht="15" x14ac:dyDescent="0.2">
      <c r="B15" s="5" t="s">
        <v>81</v>
      </c>
      <c r="C15" s="8" t="s">
        <v>18</v>
      </c>
      <c r="D15" s="8"/>
      <c r="E15" s="8"/>
      <c r="F15" s="11"/>
      <c r="G15" s="12">
        <f>G13+G14</f>
        <v>818837.10999999975</v>
      </c>
      <c r="I15" s="120" t="s">
        <v>10</v>
      </c>
      <c r="J15" s="121" t="s">
        <v>48</v>
      </c>
      <c r="K15" s="121" t="s">
        <v>11</v>
      </c>
      <c r="L15" s="121" t="s">
        <v>12</v>
      </c>
      <c r="M15" s="121" t="s">
        <v>13</v>
      </c>
    </row>
    <row r="16" spans="1:13" ht="15" x14ac:dyDescent="0.2">
      <c r="B16" s="4">
        <v>2</v>
      </c>
      <c r="C16" s="13">
        <v>44743</v>
      </c>
      <c r="D16" s="122">
        <f>1557265-1718-(1011+0)</f>
        <v>1554536</v>
      </c>
      <c r="E16" s="123">
        <f>1060314.68+6614.63+205924.18+18571.38+273.83+23262.69</f>
        <v>1314961.3899999997</v>
      </c>
      <c r="F16" s="14">
        <f t="shared" ref="F16:F23" si="0">D16-E16</f>
        <v>239574.61000000034</v>
      </c>
      <c r="G16" s="12">
        <f t="shared" ref="G16:G23" si="1">G15+F16</f>
        <v>1058411.7200000002</v>
      </c>
      <c r="I16" s="124">
        <v>44743</v>
      </c>
      <c r="J16" s="125">
        <v>806432</v>
      </c>
      <c r="K16" s="125">
        <v>806432</v>
      </c>
      <c r="L16" s="126">
        <f t="shared" ref="L16:L23" si="2">J16-K16</f>
        <v>0</v>
      </c>
      <c r="M16" s="126">
        <f>L16</f>
        <v>0</v>
      </c>
    </row>
    <row r="17" spans="2:13" ht="15" x14ac:dyDescent="0.2">
      <c r="B17" s="4">
        <v>3</v>
      </c>
      <c r="C17" s="15">
        <v>44774</v>
      </c>
      <c r="D17" s="127">
        <f>1169390-274-(828+0)</f>
        <v>1168288</v>
      </c>
      <c r="E17" s="128">
        <f>1009438.36+6799.81+220382.35+117644.36+285.4+24755.14</f>
        <v>1379305.42</v>
      </c>
      <c r="F17" s="16">
        <f t="shared" si="0"/>
        <v>-211017.41999999993</v>
      </c>
      <c r="G17" s="17">
        <f t="shared" si="1"/>
        <v>847394.30000000028</v>
      </c>
      <c r="I17" s="129">
        <v>44774</v>
      </c>
      <c r="J17" s="130">
        <v>737707</v>
      </c>
      <c r="K17" s="130">
        <v>737707</v>
      </c>
      <c r="L17" s="131">
        <f t="shared" si="2"/>
        <v>0</v>
      </c>
      <c r="M17" s="131">
        <f>M16+L17</f>
        <v>0</v>
      </c>
    </row>
    <row r="18" spans="2:13" ht="15" x14ac:dyDescent="0.2">
      <c r="B18" s="4">
        <v>4</v>
      </c>
      <c r="C18" s="15">
        <v>44805</v>
      </c>
      <c r="D18" s="127">
        <f>835470-0-(657+0)</f>
        <v>834813</v>
      </c>
      <c r="E18" s="128">
        <f>506555.87+3296.62+110975.13+64187.83+179.56+15341.98</f>
        <v>700536.99</v>
      </c>
      <c r="F18" s="16">
        <f t="shared" si="0"/>
        <v>134276.01</v>
      </c>
      <c r="G18" s="17">
        <f t="shared" si="1"/>
        <v>981670.31000000029</v>
      </c>
      <c r="I18" s="129">
        <v>44805</v>
      </c>
      <c r="J18" s="130">
        <v>655365</v>
      </c>
      <c r="K18" s="130">
        <v>655365</v>
      </c>
      <c r="L18" s="131">
        <f t="shared" si="2"/>
        <v>0</v>
      </c>
      <c r="M18" s="131">
        <f t="shared" ref="M18:M21" si="3">M17+L18</f>
        <v>0</v>
      </c>
    </row>
    <row r="19" spans="2:13" ht="15" x14ac:dyDescent="0.2">
      <c r="B19" s="4">
        <v>5</v>
      </c>
      <c r="C19" s="15">
        <v>44835</v>
      </c>
      <c r="D19" s="127">
        <f>826951-1321-(780+0)</f>
        <v>824850</v>
      </c>
      <c r="E19" s="128">
        <f>259800.14+2276.1+61352.66-10790.15+133.36+9582.14</f>
        <v>322354.25</v>
      </c>
      <c r="F19" s="16">
        <f t="shared" si="0"/>
        <v>502495.75</v>
      </c>
      <c r="G19" s="17">
        <f t="shared" si="1"/>
        <v>1484166.0600000003</v>
      </c>
      <c r="I19" s="129">
        <v>44835</v>
      </c>
      <c r="J19" s="130">
        <v>845630</v>
      </c>
      <c r="K19" s="130">
        <v>845630</v>
      </c>
      <c r="L19" s="131">
        <f t="shared" si="2"/>
        <v>0</v>
      </c>
      <c r="M19" s="131">
        <f t="shared" si="3"/>
        <v>0</v>
      </c>
    </row>
    <row r="20" spans="2:13" ht="15" x14ac:dyDescent="0.2">
      <c r="B20" s="4">
        <v>6</v>
      </c>
      <c r="C20" s="15">
        <v>44866</v>
      </c>
      <c r="D20" s="127">
        <f>1023284-1471-(865+0)</f>
        <v>1020948</v>
      </c>
      <c r="E20" s="128">
        <f>569656.93+4814.72+136992.06+342.57+17884.98+45169.04</f>
        <v>774860.29999999993</v>
      </c>
      <c r="F20" s="16">
        <f t="shared" si="0"/>
        <v>246087.70000000007</v>
      </c>
      <c r="G20" s="17">
        <f t="shared" si="1"/>
        <v>1730253.7600000002</v>
      </c>
      <c r="I20" s="129">
        <v>44866</v>
      </c>
      <c r="J20" s="130">
        <v>813453</v>
      </c>
      <c r="K20" s="132">
        <v>813453</v>
      </c>
      <c r="L20" s="131">
        <f t="shared" si="2"/>
        <v>0</v>
      </c>
      <c r="M20" s="131">
        <f t="shared" si="3"/>
        <v>0</v>
      </c>
    </row>
    <row r="21" spans="2:13" ht="15" x14ac:dyDescent="0.2">
      <c r="B21" s="4">
        <v>7</v>
      </c>
      <c r="C21" s="15">
        <v>44896</v>
      </c>
      <c r="D21" s="127">
        <f>1519073-1574-(925+0)</f>
        <v>1516574</v>
      </c>
      <c r="E21" s="145">
        <f>761076.13+4839.36+145199.31+32569.44+383.53+20380.79</f>
        <v>964448.56</v>
      </c>
      <c r="F21" s="18">
        <f t="shared" si="0"/>
        <v>552125.43999999994</v>
      </c>
      <c r="G21" s="19">
        <f t="shared" si="1"/>
        <v>2282379.2000000002</v>
      </c>
      <c r="I21" s="133">
        <v>44896</v>
      </c>
      <c r="J21" s="134">
        <v>877876</v>
      </c>
      <c r="K21" s="146">
        <v>877876</v>
      </c>
      <c r="L21" s="135">
        <f t="shared" si="2"/>
        <v>0</v>
      </c>
      <c r="M21" s="135">
        <f t="shared" si="3"/>
        <v>0</v>
      </c>
    </row>
    <row r="22" spans="2:13" ht="15" x14ac:dyDescent="0.2">
      <c r="B22" s="20" t="s">
        <v>19</v>
      </c>
      <c r="C22" s="13">
        <v>44927</v>
      </c>
      <c r="D22" s="122">
        <f>1190768-1355-(803+0)</f>
        <v>1188610</v>
      </c>
      <c r="E22" s="123">
        <f>1066394.86+5848.9+179604.45+39440.9+474.73+27043.86</f>
        <v>1318807.7</v>
      </c>
      <c r="F22" s="14">
        <f t="shared" si="0"/>
        <v>-130197.69999999995</v>
      </c>
      <c r="G22" s="12">
        <f t="shared" si="1"/>
        <v>2152181.5</v>
      </c>
      <c r="I22" s="129">
        <v>44927</v>
      </c>
      <c r="J22" s="125">
        <v>987361</v>
      </c>
      <c r="K22" s="125">
        <v>987361</v>
      </c>
      <c r="L22" s="131">
        <f t="shared" si="2"/>
        <v>0</v>
      </c>
      <c r="M22" s="131">
        <f>M21+L22</f>
        <v>0</v>
      </c>
    </row>
    <row r="23" spans="2:13" ht="15" x14ac:dyDescent="0.2">
      <c r="B23" s="21" t="s">
        <v>20</v>
      </c>
      <c r="C23" s="22">
        <v>44958</v>
      </c>
      <c r="D23" s="136">
        <f>605631-910-(538+0)</f>
        <v>604183</v>
      </c>
      <c r="E23" s="137">
        <f>661786.74+4227+124709.44+139410.33+282.72+18229.61</f>
        <v>948645.83999999985</v>
      </c>
      <c r="F23" s="18">
        <f t="shared" si="0"/>
        <v>-344462.83999999985</v>
      </c>
      <c r="G23" s="19">
        <f t="shared" si="1"/>
        <v>1807718.6600000001</v>
      </c>
      <c r="I23" s="133">
        <v>44958</v>
      </c>
      <c r="J23" s="134">
        <v>487285</v>
      </c>
      <c r="K23" s="134">
        <f>487285</f>
        <v>487285</v>
      </c>
      <c r="L23" s="135">
        <f t="shared" si="2"/>
        <v>0</v>
      </c>
      <c r="M23" s="135">
        <f>M22+L23</f>
        <v>0</v>
      </c>
    </row>
    <row r="24" spans="2:13" ht="15" x14ac:dyDescent="0.2">
      <c r="B24" s="5"/>
      <c r="C24" s="23" t="s">
        <v>82</v>
      </c>
      <c r="D24" s="24"/>
      <c r="E24" s="24"/>
      <c r="F24" s="24"/>
      <c r="G24" s="25"/>
      <c r="I24" s="114"/>
      <c r="J24" s="114"/>
      <c r="K24" s="114"/>
      <c r="L24" s="114"/>
      <c r="M24" s="114"/>
    </row>
    <row r="25" spans="2:13" ht="15" x14ac:dyDescent="0.2">
      <c r="B25" s="2"/>
      <c r="C25" s="1"/>
      <c r="D25" s="1"/>
      <c r="E25" s="1"/>
      <c r="F25" s="1"/>
      <c r="G25" s="12"/>
      <c r="I25" s="138" t="s">
        <v>49</v>
      </c>
      <c r="J25" s="139"/>
      <c r="K25" s="139"/>
      <c r="L25" s="140"/>
      <c r="M25" s="141">
        <f>M21</f>
        <v>0</v>
      </c>
    </row>
    <row r="26" spans="2:13" ht="15" x14ac:dyDescent="0.2">
      <c r="B26" s="4"/>
      <c r="C26" s="3"/>
      <c r="D26" s="4" t="s">
        <v>21</v>
      </c>
      <c r="E26" s="4" t="s">
        <v>22</v>
      </c>
      <c r="F26" s="3"/>
      <c r="G26" s="17"/>
      <c r="I26" s="114"/>
      <c r="J26" s="114"/>
      <c r="K26" s="114"/>
      <c r="L26" s="114"/>
      <c r="M26" s="142"/>
    </row>
    <row r="27" spans="2:13" ht="15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138" t="s">
        <v>50</v>
      </c>
      <c r="J27" s="139"/>
      <c r="K27" s="139"/>
      <c r="L27" s="140"/>
      <c r="M27" s="141">
        <f>M25/6</f>
        <v>0</v>
      </c>
    </row>
    <row r="28" spans="2:13" ht="15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114"/>
      <c r="J28" s="114"/>
      <c r="K28" s="114"/>
      <c r="L28" s="114"/>
      <c r="M28" s="114"/>
    </row>
    <row r="29" spans="2:13" ht="15.75" x14ac:dyDescent="0.25">
      <c r="B29" s="4"/>
      <c r="C29" s="3"/>
      <c r="D29" s="4" t="s">
        <v>28</v>
      </c>
      <c r="E29" s="4" t="s">
        <v>29</v>
      </c>
      <c r="F29" s="3"/>
      <c r="G29" s="26" t="s">
        <v>30</v>
      </c>
      <c r="I29" s="53" t="s">
        <v>54</v>
      </c>
      <c r="J29" s="114"/>
      <c r="K29" s="114"/>
      <c r="L29" s="114"/>
      <c r="M29" s="114"/>
    </row>
    <row r="30" spans="2:13" ht="15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114"/>
      <c r="J30" s="114"/>
      <c r="K30" s="114"/>
      <c r="L30" s="114"/>
      <c r="M30" s="114"/>
    </row>
    <row r="31" spans="2:13" ht="15" x14ac:dyDescent="0.2">
      <c r="B31" s="20" t="s">
        <v>34</v>
      </c>
      <c r="C31" s="1" t="s">
        <v>77</v>
      </c>
      <c r="D31" s="12">
        <f>-G13</f>
        <v>-719899</v>
      </c>
      <c r="E31" s="12">
        <f>D62</f>
        <v>0</v>
      </c>
      <c r="F31" s="1"/>
      <c r="G31" s="12">
        <f>D31+E31</f>
        <v>-719899</v>
      </c>
      <c r="I31" s="115"/>
      <c r="J31" s="115"/>
      <c r="K31" s="116" t="s">
        <v>0</v>
      </c>
      <c r="L31" s="115"/>
      <c r="M31" s="115"/>
    </row>
    <row r="32" spans="2:13" ht="15" x14ac:dyDescent="0.2">
      <c r="B32" s="27" t="s">
        <v>35</v>
      </c>
      <c r="C32" s="28" t="s">
        <v>83</v>
      </c>
      <c r="D32" s="19">
        <f>-G14</f>
        <v>-98938.109999999753</v>
      </c>
      <c r="E32" s="19">
        <v>0</v>
      </c>
      <c r="F32" s="28"/>
      <c r="G32" s="19">
        <f>D32+E32</f>
        <v>-98938.109999999753</v>
      </c>
      <c r="I32" s="117"/>
      <c r="J32" s="118" t="s">
        <v>1</v>
      </c>
      <c r="K32" s="118" t="s">
        <v>2</v>
      </c>
      <c r="L32" s="117"/>
      <c r="M32" s="117"/>
    </row>
    <row r="33" spans="2:13" ht="15" x14ac:dyDescent="0.2">
      <c r="B33" s="5" t="s">
        <v>84</v>
      </c>
      <c r="C33" s="29"/>
      <c r="D33" s="30"/>
      <c r="E33" s="30"/>
      <c r="F33" s="31" t="s">
        <v>36</v>
      </c>
      <c r="G33" s="19">
        <f>G31+G32</f>
        <v>-818837.10999999975</v>
      </c>
      <c r="I33" s="117"/>
      <c r="J33" s="118" t="s">
        <v>3</v>
      </c>
      <c r="K33" s="118" t="s">
        <v>4</v>
      </c>
      <c r="L33" s="118" t="s">
        <v>5</v>
      </c>
      <c r="M33" s="118" t="s">
        <v>6</v>
      </c>
    </row>
    <row r="34" spans="2:13" ht="15" x14ac:dyDescent="0.2">
      <c r="B34" s="32"/>
      <c r="G34" s="33"/>
      <c r="I34" s="119"/>
      <c r="J34" s="119" t="s">
        <v>7</v>
      </c>
      <c r="K34" s="119" t="s">
        <v>7</v>
      </c>
      <c r="L34" s="119" t="s">
        <v>8</v>
      </c>
      <c r="M34" s="119" t="s">
        <v>8</v>
      </c>
    </row>
    <row r="35" spans="2:13" ht="15" x14ac:dyDescent="0.2">
      <c r="B35" s="6">
        <v>9</v>
      </c>
      <c r="C35" s="34" t="s">
        <v>85</v>
      </c>
      <c r="D35" s="8"/>
      <c r="E35" s="8"/>
      <c r="F35" s="9"/>
      <c r="G35" s="35">
        <f>G21+G33</f>
        <v>1463542.0900000003</v>
      </c>
      <c r="I35" s="120" t="s">
        <v>10</v>
      </c>
      <c r="J35" s="121" t="s">
        <v>48</v>
      </c>
      <c r="K35" s="121" t="s">
        <v>11</v>
      </c>
      <c r="L35" s="121" t="s">
        <v>12</v>
      </c>
      <c r="M35" s="121" t="s">
        <v>13</v>
      </c>
    </row>
    <row r="36" spans="2:13" ht="15" x14ac:dyDescent="0.2">
      <c r="B36" s="32"/>
      <c r="G36" s="33"/>
      <c r="I36" s="124">
        <v>44743</v>
      </c>
      <c r="J36" s="143">
        <f>287481+(1011+0)</f>
        <v>288492</v>
      </c>
      <c r="K36" s="125">
        <f>104939+19607+163946</f>
        <v>288492</v>
      </c>
      <c r="L36" s="126">
        <f>J36-K36</f>
        <v>0</v>
      </c>
      <c r="M36" s="126">
        <f>+L36</f>
        <v>0</v>
      </c>
    </row>
    <row r="37" spans="2:13" ht="15" x14ac:dyDescent="0.2">
      <c r="B37" s="6">
        <v>10</v>
      </c>
      <c r="C37" s="34" t="s">
        <v>78</v>
      </c>
      <c r="D37" s="8"/>
      <c r="E37" s="8"/>
      <c r="F37" s="9"/>
      <c r="G37" s="35">
        <f>G35/6</f>
        <v>243923.68166666673</v>
      </c>
      <c r="I37" s="129">
        <v>44774</v>
      </c>
      <c r="J37" s="143">
        <f>220837+(828+0)</f>
        <v>221665</v>
      </c>
      <c r="K37" s="130">
        <f>88032+15370+118263</f>
        <v>221665</v>
      </c>
      <c r="L37" s="131">
        <f>J37-K37</f>
        <v>0</v>
      </c>
      <c r="M37" s="131">
        <f>M36+L37</f>
        <v>0</v>
      </c>
    </row>
    <row r="38" spans="2:13" ht="15" x14ac:dyDescent="0.2">
      <c r="I38" s="129">
        <v>44805</v>
      </c>
      <c r="J38" s="130">
        <f>187501+(657+0)</f>
        <v>188158</v>
      </c>
      <c r="K38" s="130">
        <f>68538+12253+107367</f>
        <v>188158</v>
      </c>
      <c r="L38" s="131">
        <f t="shared" ref="L38:L41" si="4">J38-K38</f>
        <v>0</v>
      </c>
      <c r="M38" s="131">
        <f t="shared" ref="M38:M41" si="5">M37+L38</f>
        <v>0</v>
      </c>
    </row>
    <row r="39" spans="2:13" ht="15" x14ac:dyDescent="0.2">
      <c r="B39" s="1"/>
      <c r="C39" s="36" t="s">
        <v>37</v>
      </c>
      <c r="D39" s="37"/>
      <c r="E39" s="37"/>
      <c r="F39" s="37"/>
      <c r="G39" s="38"/>
      <c r="I39" s="129">
        <v>44835</v>
      </c>
      <c r="J39" s="130">
        <f>223656+(780+0)</f>
        <v>224436</v>
      </c>
      <c r="K39" s="130">
        <f>76403+14405+133628</f>
        <v>224436</v>
      </c>
      <c r="L39" s="131">
        <f t="shared" si="4"/>
        <v>0</v>
      </c>
      <c r="M39" s="131">
        <f t="shared" si="5"/>
        <v>0</v>
      </c>
    </row>
    <row r="40" spans="2:13" ht="15" x14ac:dyDescent="0.2">
      <c r="B40" s="1"/>
      <c r="C40" s="39"/>
      <c r="D40" s="39"/>
      <c r="E40" s="39"/>
      <c r="F40" s="39"/>
      <c r="G40" s="11"/>
      <c r="I40" s="129">
        <v>44866</v>
      </c>
      <c r="J40" s="130">
        <f>217630+(865+0)</f>
        <v>218495</v>
      </c>
      <c r="K40" s="132">
        <f>74893+13770+129832</f>
        <v>218495</v>
      </c>
      <c r="L40" s="131">
        <f t="shared" si="4"/>
        <v>0</v>
      </c>
      <c r="M40" s="131">
        <f t="shared" si="5"/>
        <v>0</v>
      </c>
    </row>
    <row r="41" spans="2:13" ht="15" x14ac:dyDescent="0.2">
      <c r="B41" s="4">
        <v>11</v>
      </c>
      <c r="C41" t="s">
        <v>38</v>
      </c>
      <c r="G41" s="41">
        <f>G15</f>
        <v>818837.10999999975</v>
      </c>
      <c r="I41" s="133">
        <v>44896</v>
      </c>
      <c r="J41" s="134">
        <f>225500+(925+0)</f>
        <v>226425</v>
      </c>
      <c r="K41" s="134">
        <f>84481+13851+128093</f>
        <v>226425</v>
      </c>
      <c r="L41" s="135">
        <f t="shared" si="4"/>
        <v>0</v>
      </c>
      <c r="M41" s="135">
        <f t="shared" si="5"/>
        <v>0</v>
      </c>
    </row>
    <row r="42" spans="2:13" ht="15" x14ac:dyDescent="0.2">
      <c r="B42" s="4">
        <v>12</v>
      </c>
      <c r="C42" t="s">
        <v>39</v>
      </c>
      <c r="G42" s="42">
        <f>G33</f>
        <v>-818837.10999999975</v>
      </c>
      <c r="I42" s="129">
        <v>44927</v>
      </c>
      <c r="J42" s="125">
        <f>232483+(803+0)</f>
        <v>233286</v>
      </c>
      <c r="K42" s="125">
        <f>85121+14977+133188</f>
        <v>233286</v>
      </c>
      <c r="L42" s="131">
        <f>J42-K42</f>
        <v>0</v>
      </c>
      <c r="M42" s="131">
        <f>M41+L42</f>
        <v>0</v>
      </c>
    </row>
    <row r="43" spans="2:13" ht="15" x14ac:dyDescent="0.2">
      <c r="B43" s="4"/>
      <c r="G43" s="41"/>
      <c r="I43" s="133">
        <v>44958</v>
      </c>
      <c r="J43" s="134">
        <f>121600+(538+0)</f>
        <v>122138</v>
      </c>
      <c r="K43" s="134">
        <f>43424+8005+70709</f>
        <v>122138</v>
      </c>
      <c r="L43" s="135">
        <f>J43-K43</f>
        <v>0</v>
      </c>
      <c r="M43" s="135">
        <f>M42+L43</f>
        <v>0</v>
      </c>
    </row>
    <row r="44" spans="2:13" ht="15.75" thickBot="1" x14ac:dyDescent="0.25">
      <c r="B44" s="4">
        <v>13</v>
      </c>
      <c r="C44" t="s">
        <v>40</v>
      </c>
      <c r="G44" s="43">
        <f>G41+G42</f>
        <v>0</v>
      </c>
      <c r="I44" s="114"/>
      <c r="J44" s="114"/>
      <c r="K44" s="114"/>
      <c r="L44" s="114"/>
      <c r="M44" s="114"/>
    </row>
    <row r="45" spans="2:13" ht="15.75" thickTop="1" x14ac:dyDescent="0.2">
      <c r="B45" s="4"/>
      <c r="G45" s="41"/>
      <c r="I45" s="138" t="s">
        <v>49</v>
      </c>
      <c r="J45" s="139"/>
      <c r="K45" s="139"/>
      <c r="L45" s="140"/>
      <c r="M45" s="141">
        <f>M41</f>
        <v>0</v>
      </c>
    </row>
    <row r="46" spans="2:13" ht="15" x14ac:dyDescent="0.2">
      <c r="B46" s="4">
        <v>14</v>
      </c>
      <c r="C46" t="s">
        <v>41</v>
      </c>
      <c r="G46" s="41">
        <f>G35</f>
        <v>1463542.0900000003</v>
      </c>
      <c r="I46" s="114"/>
      <c r="J46" s="114"/>
      <c r="K46" s="114"/>
      <c r="L46" s="114"/>
      <c r="M46" s="142"/>
    </row>
    <row r="47" spans="2:13" ht="15" x14ac:dyDescent="0.2">
      <c r="B47" s="4"/>
      <c r="G47" s="41"/>
      <c r="I47" s="138" t="s">
        <v>50</v>
      </c>
      <c r="J47" s="139"/>
      <c r="K47" s="139"/>
      <c r="L47" s="140"/>
      <c r="M47" s="141">
        <f>M45/6</f>
        <v>0</v>
      </c>
    </row>
    <row r="48" spans="2:13" x14ac:dyDescent="0.2">
      <c r="B48" s="4">
        <v>15</v>
      </c>
      <c r="C48" t="s">
        <v>42</v>
      </c>
      <c r="G48" s="42">
        <f>SUM(F16:F21)</f>
        <v>1463542.0900000003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79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0438-61C3-4FF8-876E-57CEAE5AA4D4}">
  <dimension ref="A1:M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3" t="s">
        <v>53</v>
      </c>
      <c r="J10" s="114"/>
      <c r="K10" s="114"/>
      <c r="L10" s="114"/>
      <c r="M10" s="114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114"/>
      <c r="J11" s="114"/>
      <c r="K11" s="114"/>
      <c r="L11" s="114"/>
      <c r="M11" s="114"/>
    </row>
    <row r="12" spans="1:13" ht="15" x14ac:dyDescent="0.2">
      <c r="B12" s="2">
        <v>1</v>
      </c>
      <c r="C12" s="94" t="s">
        <v>15</v>
      </c>
      <c r="D12" s="95"/>
      <c r="E12" s="95"/>
      <c r="F12" s="95"/>
      <c r="G12" s="96"/>
      <c r="I12" s="115"/>
      <c r="J12" s="115"/>
      <c r="K12" s="116" t="s">
        <v>0</v>
      </c>
      <c r="L12" s="115"/>
      <c r="M12" s="115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719899</v>
      </c>
      <c r="I13" s="117"/>
      <c r="J13" s="118" t="s">
        <v>1</v>
      </c>
      <c r="K13" s="118" t="s">
        <v>2</v>
      </c>
      <c r="L13" s="117"/>
      <c r="M13" s="117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44">
        <f>'A - 05-31-22'!G33</f>
        <v>98938.109999999753</v>
      </c>
      <c r="I14" s="117"/>
      <c r="J14" s="118" t="s">
        <v>3</v>
      </c>
      <c r="K14" s="118" t="s">
        <v>4</v>
      </c>
      <c r="L14" s="118" t="s">
        <v>5</v>
      </c>
      <c r="M14" s="118" t="s">
        <v>6</v>
      </c>
    </row>
    <row r="15" spans="1:13" ht="15" x14ac:dyDescent="0.2">
      <c r="B15" s="4" t="s">
        <v>81</v>
      </c>
      <c r="C15" s="8" t="s">
        <v>86</v>
      </c>
      <c r="D15" s="8"/>
      <c r="E15" s="8"/>
      <c r="F15" s="9"/>
      <c r="G15" s="144">
        <f>'B - 11-30-22'!G35</f>
        <v>1463542.0900000003</v>
      </c>
      <c r="I15" s="119"/>
      <c r="J15" s="119" t="s">
        <v>7</v>
      </c>
      <c r="K15" s="119" t="s">
        <v>7</v>
      </c>
      <c r="L15" s="119" t="s">
        <v>8</v>
      </c>
      <c r="M15" s="119" t="s">
        <v>8</v>
      </c>
    </row>
    <row r="16" spans="1:13" ht="15" x14ac:dyDescent="0.2">
      <c r="B16" s="5" t="s">
        <v>87</v>
      </c>
      <c r="C16" s="8" t="s">
        <v>18</v>
      </c>
      <c r="D16" s="8"/>
      <c r="E16" s="8"/>
      <c r="F16" s="11"/>
      <c r="G16" s="12">
        <f>G13+G14+G15</f>
        <v>2282379.2000000002</v>
      </c>
      <c r="I16" s="120" t="s">
        <v>10</v>
      </c>
      <c r="J16" s="121" t="s">
        <v>48</v>
      </c>
      <c r="K16" s="121" t="s">
        <v>11</v>
      </c>
      <c r="L16" s="121" t="s">
        <v>12</v>
      </c>
      <c r="M16" s="121" t="s">
        <v>13</v>
      </c>
    </row>
    <row r="17" spans="2:13" ht="15" x14ac:dyDescent="0.2">
      <c r="B17" s="4">
        <v>2</v>
      </c>
      <c r="C17" s="13">
        <v>44927</v>
      </c>
      <c r="D17" s="122">
        <f>1190768-1355-(803+0)</f>
        <v>1188610</v>
      </c>
      <c r="E17" s="123">
        <f>1066394.86+5848.9+179604.45+39440.9+474.73+27043.86</f>
        <v>1318807.7</v>
      </c>
      <c r="F17" s="14">
        <f t="shared" ref="F17:F24" si="0">D17-E17</f>
        <v>-130197.69999999995</v>
      </c>
      <c r="G17" s="12">
        <f t="shared" ref="G17:G24" si="1">G16+F17</f>
        <v>2152181.5</v>
      </c>
      <c r="I17" s="124">
        <v>44927</v>
      </c>
      <c r="J17" s="125">
        <v>987361</v>
      </c>
      <c r="K17" s="125">
        <v>987361</v>
      </c>
      <c r="L17" s="126">
        <f t="shared" ref="L17:L24" si="2">J17-K17</f>
        <v>0</v>
      </c>
      <c r="M17" s="126">
        <f>L17</f>
        <v>0</v>
      </c>
    </row>
    <row r="18" spans="2:13" ht="15" x14ac:dyDescent="0.2">
      <c r="B18" s="4">
        <v>3</v>
      </c>
      <c r="C18" s="15">
        <v>44958</v>
      </c>
      <c r="D18" s="127">
        <f>605631-910-(538+0)</f>
        <v>604183</v>
      </c>
      <c r="E18" s="128">
        <f>661786.74+4227+124709.44+139410.33+282.72+18229.61</f>
        <v>948645.83999999985</v>
      </c>
      <c r="F18" s="16">
        <f t="shared" si="0"/>
        <v>-344462.83999999985</v>
      </c>
      <c r="G18" s="17">
        <f t="shared" si="1"/>
        <v>1807718.6600000001</v>
      </c>
      <c r="I18" s="129">
        <v>44958</v>
      </c>
      <c r="J18" s="130">
        <v>487285</v>
      </c>
      <c r="K18" s="130">
        <f>487285</f>
        <v>487285</v>
      </c>
      <c r="L18" s="131">
        <f t="shared" si="2"/>
        <v>0</v>
      </c>
      <c r="M18" s="131">
        <f>M17+L18</f>
        <v>0</v>
      </c>
    </row>
    <row r="19" spans="2:13" ht="15" x14ac:dyDescent="0.2">
      <c r="B19" s="4">
        <v>4</v>
      </c>
      <c r="C19" s="15">
        <v>44986</v>
      </c>
      <c r="D19" s="127">
        <f>774616-1180-(685)</f>
        <v>772751</v>
      </c>
      <c r="E19" s="128">
        <f>48167.99+307.89+1436.33-36047.62+24.77+1440.8</f>
        <v>15330.159999999996</v>
      </c>
      <c r="F19" s="16">
        <f t="shared" si="0"/>
        <v>757420.84</v>
      </c>
      <c r="G19" s="17">
        <f t="shared" si="1"/>
        <v>2565139.5</v>
      </c>
      <c r="I19" s="129">
        <v>44986</v>
      </c>
      <c r="J19" s="130">
        <v>620468</v>
      </c>
      <c r="K19" s="130">
        <v>620468</v>
      </c>
      <c r="L19" s="131">
        <f t="shared" si="2"/>
        <v>0</v>
      </c>
      <c r="M19" s="131">
        <f t="shared" ref="M19:M22" si="3">M18+L19</f>
        <v>0</v>
      </c>
    </row>
    <row r="20" spans="2:13" ht="15" x14ac:dyDescent="0.2">
      <c r="B20" s="4">
        <v>5</v>
      </c>
      <c r="C20" s="15">
        <v>45017</v>
      </c>
      <c r="D20" s="127">
        <f>858202-1616-932</f>
        <v>855654</v>
      </c>
      <c r="E20" s="128">
        <f>710351.13+5578.29+156813.89-3628.07+312.09+22939.24</f>
        <v>892366.57000000007</v>
      </c>
      <c r="F20" s="16">
        <f t="shared" si="0"/>
        <v>-36712.570000000065</v>
      </c>
      <c r="G20" s="17">
        <f t="shared" si="1"/>
        <v>2528426.9299999997</v>
      </c>
      <c r="I20" s="129">
        <v>45017</v>
      </c>
      <c r="J20" s="130">
        <v>947842</v>
      </c>
      <c r="K20" s="130">
        <v>947842</v>
      </c>
      <c r="L20" s="131">
        <f t="shared" si="2"/>
        <v>0</v>
      </c>
      <c r="M20" s="131">
        <f t="shared" si="3"/>
        <v>0</v>
      </c>
    </row>
    <row r="21" spans="2:13" ht="15" x14ac:dyDescent="0.2">
      <c r="B21" s="4">
        <v>6</v>
      </c>
      <c r="C21" s="15">
        <v>45047</v>
      </c>
      <c r="D21" s="127">
        <f>952063-1583-907</f>
        <v>949573</v>
      </c>
      <c r="E21" s="128">
        <f>890447.71+8052.56+213376.65+32793.55+371.27+27138.8</f>
        <v>1172180.54</v>
      </c>
      <c r="F21" s="16">
        <f t="shared" si="0"/>
        <v>-222607.54000000004</v>
      </c>
      <c r="G21" s="17">
        <f t="shared" si="1"/>
        <v>2305819.3899999997</v>
      </c>
      <c r="I21" s="129">
        <v>45047</v>
      </c>
      <c r="J21" s="130">
        <v>982569</v>
      </c>
      <c r="K21" s="132">
        <v>982569</v>
      </c>
      <c r="L21" s="131">
        <f t="shared" si="2"/>
        <v>0</v>
      </c>
      <c r="M21" s="131">
        <f t="shared" si="3"/>
        <v>0</v>
      </c>
    </row>
    <row r="22" spans="2:13" ht="15" x14ac:dyDescent="0.2">
      <c r="B22" s="4">
        <v>7</v>
      </c>
      <c r="C22" s="15">
        <v>45078</v>
      </c>
      <c r="D22" s="127">
        <f>1094262-1884-1071</f>
        <v>1091307</v>
      </c>
      <c r="E22" s="128">
        <f>710043.54+5739.77+155167.53+33201.63+259.66+21067.47</f>
        <v>925479.60000000009</v>
      </c>
      <c r="F22" s="18">
        <f t="shared" si="0"/>
        <v>165827.39999999991</v>
      </c>
      <c r="G22" s="19">
        <f t="shared" si="1"/>
        <v>2471646.7899999996</v>
      </c>
      <c r="I22" s="133">
        <v>45078</v>
      </c>
      <c r="J22" s="134">
        <v>1040432</v>
      </c>
      <c r="K22" s="146">
        <v>1040432</v>
      </c>
      <c r="L22" s="135">
        <f t="shared" si="2"/>
        <v>0</v>
      </c>
      <c r="M22" s="135">
        <f t="shared" si="3"/>
        <v>0</v>
      </c>
    </row>
    <row r="23" spans="2:13" ht="15" x14ac:dyDescent="0.2">
      <c r="B23" s="20" t="s">
        <v>19</v>
      </c>
      <c r="C23" s="13">
        <v>45108</v>
      </c>
      <c r="D23" s="122">
        <f>1420935-1952-1109</f>
        <v>1417874</v>
      </c>
      <c r="E23" s="123">
        <f>1117483.53+7892.5+238693.81+36895.15+355.13+25006.26</f>
        <v>1426326.38</v>
      </c>
      <c r="F23" s="14">
        <f t="shared" si="0"/>
        <v>-8452.3799999998882</v>
      </c>
      <c r="G23" s="12">
        <f t="shared" si="1"/>
        <v>2463194.4099999997</v>
      </c>
      <c r="I23" s="129">
        <v>45108</v>
      </c>
      <c r="J23" s="125">
        <f>1111028</f>
        <v>1111028</v>
      </c>
      <c r="K23" s="125">
        <v>1111028</v>
      </c>
      <c r="L23" s="131">
        <f t="shared" si="2"/>
        <v>0</v>
      </c>
      <c r="M23" s="131">
        <f>M22+L23</f>
        <v>0</v>
      </c>
    </row>
    <row r="24" spans="2:13" ht="15" x14ac:dyDescent="0.2">
      <c r="B24" s="21" t="s">
        <v>20</v>
      </c>
      <c r="C24" s="22">
        <v>45139</v>
      </c>
      <c r="D24" s="136">
        <f>1493774-0-1110</f>
        <v>1492664</v>
      </c>
      <c r="E24" s="137">
        <f>1129060.01+7937.86+235665.65+32833.6+324.45+26623.39</f>
        <v>1432444.96</v>
      </c>
      <c r="F24" s="18">
        <f t="shared" si="0"/>
        <v>60219.040000000037</v>
      </c>
      <c r="G24" s="19">
        <f t="shared" si="1"/>
        <v>2523413.4499999997</v>
      </c>
      <c r="I24" s="133">
        <v>45139</v>
      </c>
      <c r="J24" s="134">
        <v>1165900</v>
      </c>
      <c r="K24" s="134">
        <v>1165900</v>
      </c>
      <c r="L24" s="135">
        <f t="shared" si="2"/>
        <v>0</v>
      </c>
      <c r="M24" s="135">
        <f>M23+L24</f>
        <v>0</v>
      </c>
    </row>
    <row r="25" spans="2:13" ht="15" x14ac:dyDescent="0.2">
      <c r="B25" s="5"/>
      <c r="C25" s="23" t="s">
        <v>88</v>
      </c>
      <c r="D25" s="24"/>
      <c r="E25" s="24"/>
      <c r="F25" s="24"/>
      <c r="G25" s="25"/>
      <c r="I25" s="114"/>
      <c r="J25" s="114"/>
      <c r="K25" s="114"/>
      <c r="L25" s="114"/>
      <c r="M25" s="114"/>
    </row>
    <row r="26" spans="2:13" ht="15" x14ac:dyDescent="0.2">
      <c r="B26" s="2"/>
      <c r="C26" s="1"/>
      <c r="D26" s="1"/>
      <c r="E26" s="1"/>
      <c r="F26" s="1"/>
      <c r="G26" s="12"/>
      <c r="I26" s="138" t="s">
        <v>49</v>
      </c>
      <c r="J26" s="139"/>
      <c r="K26" s="139"/>
      <c r="L26" s="140"/>
      <c r="M26" s="141">
        <f>M22</f>
        <v>0</v>
      </c>
    </row>
    <row r="27" spans="2:13" ht="15" x14ac:dyDescent="0.2">
      <c r="B27" s="4"/>
      <c r="C27" s="3"/>
      <c r="D27" s="4" t="s">
        <v>21</v>
      </c>
      <c r="E27" s="4" t="s">
        <v>22</v>
      </c>
      <c r="F27" s="3"/>
      <c r="G27" s="17"/>
      <c r="I27" s="114"/>
      <c r="J27" s="114"/>
      <c r="K27" s="114"/>
      <c r="L27" s="114"/>
      <c r="M27" s="142"/>
    </row>
    <row r="28" spans="2:13" ht="15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138" t="s">
        <v>50</v>
      </c>
      <c r="J28" s="139"/>
      <c r="K28" s="139"/>
      <c r="L28" s="140"/>
      <c r="M28" s="141">
        <f>M26/6</f>
        <v>0</v>
      </c>
    </row>
    <row r="29" spans="2:13" ht="15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  <c r="I29" s="114"/>
      <c r="J29" s="114"/>
      <c r="K29" s="114"/>
      <c r="L29" s="114"/>
      <c r="M29" s="114"/>
    </row>
    <row r="30" spans="2:13" ht="15.75" x14ac:dyDescent="0.25">
      <c r="B30" s="4"/>
      <c r="C30" s="3"/>
      <c r="D30" s="4" t="s">
        <v>28</v>
      </c>
      <c r="E30" s="4" t="s">
        <v>29</v>
      </c>
      <c r="F30" s="3"/>
      <c r="G30" s="26" t="s">
        <v>30</v>
      </c>
      <c r="I30" s="53" t="s">
        <v>54</v>
      </c>
      <c r="J30" s="114"/>
      <c r="K30" s="114"/>
      <c r="L30" s="114"/>
      <c r="M30" s="114"/>
    </row>
    <row r="31" spans="2:13" ht="15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  <c r="I31" s="114"/>
      <c r="J31" s="114"/>
      <c r="K31" s="114"/>
      <c r="L31" s="114"/>
      <c r="M31" s="114"/>
    </row>
    <row r="32" spans="2:13" ht="15" x14ac:dyDescent="0.2">
      <c r="B32" s="20" t="s">
        <v>34</v>
      </c>
      <c r="C32" s="1" t="s">
        <v>77</v>
      </c>
      <c r="D32" s="12">
        <f>-G13</f>
        <v>-719899</v>
      </c>
      <c r="E32" s="12">
        <f>D64</f>
        <v>0</v>
      </c>
      <c r="F32" s="1"/>
      <c r="G32" s="12">
        <f t="shared" ref="G32:G34" si="4">D32+E32</f>
        <v>-719899</v>
      </c>
      <c r="I32" s="115"/>
      <c r="J32" s="115"/>
      <c r="K32" s="116" t="s">
        <v>0</v>
      </c>
      <c r="L32" s="115"/>
      <c r="M32" s="115"/>
    </row>
    <row r="33" spans="2:13" ht="15" x14ac:dyDescent="0.2">
      <c r="B33" s="27" t="s">
        <v>35</v>
      </c>
      <c r="C33" s="147" t="s">
        <v>83</v>
      </c>
      <c r="D33" s="17">
        <f>-G14</f>
        <v>-98938.109999999753</v>
      </c>
      <c r="E33" s="17">
        <v>0</v>
      </c>
      <c r="F33" s="3"/>
      <c r="G33" s="17">
        <f t="shared" si="4"/>
        <v>-98938.109999999753</v>
      </c>
      <c r="I33" s="117"/>
      <c r="J33" s="118" t="s">
        <v>1</v>
      </c>
      <c r="K33" s="118" t="s">
        <v>2</v>
      </c>
      <c r="L33" s="117"/>
      <c r="M33" s="117"/>
    </row>
    <row r="34" spans="2:13" ht="15" x14ac:dyDescent="0.2">
      <c r="B34" s="27" t="s">
        <v>84</v>
      </c>
      <c r="C34" s="45" t="s">
        <v>89</v>
      </c>
      <c r="D34" s="19">
        <f>-G15</f>
        <v>-1463542.0900000003</v>
      </c>
      <c r="E34" s="19">
        <v>0</v>
      </c>
      <c r="F34" s="28"/>
      <c r="G34" s="19">
        <f t="shared" si="4"/>
        <v>-1463542.0900000003</v>
      </c>
      <c r="I34" s="117"/>
      <c r="J34" s="118" t="s">
        <v>3</v>
      </c>
      <c r="K34" s="118" t="s">
        <v>4</v>
      </c>
      <c r="L34" s="118" t="s">
        <v>5</v>
      </c>
      <c r="M34" s="118" t="s">
        <v>6</v>
      </c>
    </row>
    <row r="35" spans="2:13" ht="15" x14ac:dyDescent="0.2">
      <c r="B35" s="5" t="s">
        <v>90</v>
      </c>
      <c r="C35" s="29"/>
      <c r="D35" s="30"/>
      <c r="E35" s="30"/>
      <c r="F35" s="31" t="s">
        <v>36</v>
      </c>
      <c r="G35" s="19">
        <f>G32+G33+G34</f>
        <v>-2282379.2000000002</v>
      </c>
      <c r="I35" s="119"/>
      <c r="J35" s="119" t="s">
        <v>7</v>
      </c>
      <c r="K35" s="119" t="s">
        <v>7</v>
      </c>
      <c r="L35" s="119" t="s">
        <v>8</v>
      </c>
      <c r="M35" s="119" t="s">
        <v>8</v>
      </c>
    </row>
    <row r="36" spans="2:13" ht="15" x14ac:dyDescent="0.2">
      <c r="B36" s="32"/>
      <c r="G36" s="33"/>
      <c r="I36" s="120" t="s">
        <v>10</v>
      </c>
      <c r="J36" s="121" t="s">
        <v>48</v>
      </c>
      <c r="K36" s="121" t="s">
        <v>11</v>
      </c>
      <c r="L36" s="121" t="s">
        <v>12</v>
      </c>
      <c r="M36" s="121" t="s">
        <v>13</v>
      </c>
    </row>
    <row r="37" spans="2:13" ht="15" x14ac:dyDescent="0.2">
      <c r="B37" s="6">
        <v>9</v>
      </c>
      <c r="C37" s="34" t="s">
        <v>91</v>
      </c>
      <c r="D37" s="8"/>
      <c r="E37" s="8"/>
      <c r="F37" s="9"/>
      <c r="G37" s="35">
        <f>G22+G35</f>
        <v>189267.58999999939</v>
      </c>
      <c r="I37" s="124">
        <v>44927</v>
      </c>
      <c r="J37" s="143">
        <f>232483+(803+0)</f>
        <v>233286</v>
      </c>
      <c r="K37" s="125">
        <f>85121+14977+133188</f>
        <v>233286</v>
      </c>
      <c r="L37" s="126">
        <f>J37-K37</f>
        <v>0</v>
      </c>
      <c r="M37" s="126">
        <f>+L37</f>
        <v>0</v>
      </c>
    </row>
    <row r="38" spans="2:13" ht="15" x14ac:dyDescent="0.2">
      <c r="B38" s="32"/>
      <c r="G38" s="33"/>
      <c r="I38" s="129">
        <v>44958</v>
      </c>
      <c r="J38" s="143">
        <f>121600+(538+0)</f>
        <v>122138</v>
      </c>
      <c r="K38" s="130">
        <f>43424+8005+70709</f>
        <v>122138</v>
      </c>
      <c r="L38" s="131">
        <f>J38-K38</f>
        <v>0</v>
      </c>
      <c r="M38" s="131">
        <f>M37+L38</f>
        <v>0</v>
      </c>
    </row>
    <row r="39" spans="2:13" ht="15" x14ac:dyDescent="0.2">
      <c r="B39" s="6">
        <v>10</v>
      </c>
      <c r="C39" s="34" t="s">
        <v>78</v>
      </c>
      <c r="D39" s="8"/>
      <c r="E39" s="8"/>
      <c r="F39" s="9"/>
      <c r="G39" s="35">
        <f>G37/6</f>
        <v>31544.59833333323</v>
      </c>
      <c r="I39" s="129">
        <v>44986</v>
      </c>
      <c r="J39" s="130">
        <f>168242+(685)</f>
        <v>168927</v>
      </c>
      <c r="K39" s="130">
        <f>59380+10067+99480</f>
        <v>168927</v>
      </c>
      <c r="L39" s="131">
        <f t="shared" ref="L39:L42" si="5">J39-K39</f>
        <v>0</v>
      </c>
      <c r="M39" s="131">
        <f t="shared" ref="M39:M42" si="6">M38+L39</f>
        <v>0</v>
      </c>
    </row>
    <row r="40" spans="2:13" ht="15" x14ac:dyDescent="0.2">
      <c r="I40" s="129">
        <v>45017</v>
      </c>
      <c r="J40" s="130">
        <f>214210+932</f>
        <v>215142</v>
      </c>
      <c r="K40" s="130">
        <f>77016+13799+124327</f>
        <v>215142</v>
      </c>
      <c r="L40" s="131">
        <f t="shared" si="5"/>
        <v>0</v>
      </c>
      <c r="M40" s="131">
        <f t="shared" si="6"/>
        <v>0</v>
      </c>
    </row>
    <row r="41" spans="2:13" ht="15" x14ac:dyDescent="0.2">
      <c r="B41" s="1"/>
      <c r="C41" s="36" t="s">
        <v>37</v>
      </c>
      <c r="D41" s="37"/>
      <c r="E41" s="37"/>
      <c r="F41" s="37"/>
      <c r="G41" s="38"/>
      <c r="I41" s="129">
        <v>45047</v>
      </c>
      <c r="J41" s="130">
        <f>235900+907</f>
        <v>236807</v>
      </c>
      <c r="K41" s="132">
        <f>82226+15228+139353</f>
        <v>236807</v>
      </c>
      <c r="L41" s="131">
        <f t="shared" si="5"/>
        <v>0</v>
      </c>
      <c r="M41" s="131">
        <f t="shared" si="6"/>
        <v>0</v>
      </c>
    </row>
    <row r="42" spans="2:13" ht="15" x14ac:dyDescent="0.2">
      <c r="B42" s="1"/>
      <c r="C42" s="39"/>
      <c r="D42" s="39"/>
      <c r="E42" s="39"/>
      <c r="F42" s="39"/>
      <c r="G42" s="11"/>
      <c r="I42" s="133">
        <v>45078</v>
      </c>
      <c r="J42" s="134">
        <f>248221+1071</f>
        <v>249292</v>
      </c>
      <c r="K42" s="134">
        <f>88558+16335+144399</f>
        <v>249292</v>
      </c>
      <c r="L42" s="135">
        <f t="shared" si="5"/>
        <v>0</v>
      </c>
      <c r="M42" s="135">
        <f t="shared" si="6"/>
        <v>0</v>
      </c>
    </row>
    <row r="43" spans="2:13" ht="15" x14ac:dyDescent="0.2">
      <c r="B43" s="4">
        <v>11</v>
      </c>
      <c r="C43" t="s">
        <v>38</v>
      </c>
      <c r="G43" s="41">
        <f>G16</f>
        <v>2282379.2000000002</v>
      </c>
      <c r="I43" s="129">
        <v>45108</v>
      </c>
      <c r="J43" s="125">
        <f>272466+1109</f>
        <v>273575</v>
      </c>
      <c r="K43" s="125">
        <f>99810+17194+156571</f>
        <v>273575</v>
      </c>
      <c r="L43" s="131">
        <f>J43-K43</f>
        <v>0</v>
      </c>
      <c r="M43" s="131">
        <f>M42+L43</f>
        <v>0</v>
      </c>
    </row>
    <row r="44" spans="2:13" ht="15" x14ac:dyDescent="0.2">
      <c r="B44" s="4">
        <v>12</v>
      </c>
      <c r="C44" t="s">
        <v>39</v>
      </c>
      <c r="G44" s="42">
        <f>G35</f>
        <v>-2282379.2000000002</v>
      </c>
      <c r="I44" s="133">
        <v>45139</v>
      </c>
      <c r="J44" s="134">
        <f>300065+1110</f>
        <v>301175</v>
      </c>
      <c r="K44" s="134">
        <f>111115+19185+170875</f>
        <v>301175</v>
      </c>
      <c r="L44" s="135">
        <f>J44-K44</f>
        <v>0</v>
      </c>
      <c r="M44" s="135">
        <f>M43+L44</f>
        <v>0</v>
      </c>
    </row>
    <row r="45" spans="2:13" ht="15" x14ac:dyDescent="0.2">
      <c r="B45" s="4"/>
      <c r="G45" s="41"/>
      <c r="I45" s="114"/>
      <c r="J45" s="114"/>
      <c r="K45" s="114"/>
      <c r="L45" s="114"/>
      <c r="M45" s="114"/>
    </row>
    <row r="46" spans="2:13" ht="15.75" thickBot="1" x14ac:dyDescent="0.25">
      <c r="B46" s="4">
        <v>13</v>
      </c>
      <c r="C46" t="s">
        <v>40</v>
      </c>
      <c r="G46" s="43">
        <f>G43+G44</f>
        <v>0</v>
      </c>
      <c r="I46" s="138" t="s">
        <v>49</v>
      </c>
      <c r="J46" s="139"/>
      <c r="K46" s="139"/>
      <c r="L46" s="140"/>
      <c r="M46" s="141">
        <f>M42</f>
        <v>0</v>
      </c>
    </row>
    <row r="47" spans="2:13" ht="15.75" thickTop="1" x14ac:dyDescent="0.2">
      <c r="B47" s="4"/>
      <c r="G47" s="41"/>
      <c r="I47" s="114"/>
      <c r="J47" s="114"/>
      <c r="K47" s="114"/>
      <c r="L47" s="114"/>
      <c r="M47" s="142"/>
    </row>
    <row r="48" spans="2:13" ht="15" x14ac:dyDescent="0.2">
      <c r="B48" s="4">
        <v>14</v>
      </c>
      <c r="C48" t="s">
        <v>41</v>
      </c>
      <c r="G48" s="41">
        <f>G37</f>
        <v>189267.58999999939</v>
      </c>
      <c r="I48" s="138" t="s">
        <v>50</v>
      </c>
      <c r="J48" s="139"/>
      <c r="K48" s="139"/>
      <c r="L48" s="140"/>
      <c r="M48" s="141">
        <f>M46/6</f>
        <v>0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189267.58999999997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-5.8207660913467407E-10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79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E3C6-55C9-4D2D-B85D-6B77D83CF9BF}">
  <dimension ref="A1:M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3" t="s">
        <v>53</v>
      </c>
      <c r="J11" s="114"/>
      <c r="K11" s="114"/>
      <c r="L11" s="114"/>
      <c r="M11" s="114"/>
    </row>
    <row r="12" spans="1:13" ht="15" x14ac:dyDescent="0.2">
      <c r="B12" s="2">
        <v>1</v>
      </c>
      <c r="C12" s="94" t="s">
        <v>15</v>
      </c>
      <c r="D12" s="95"/>
      <c r="E12" s="95"/>
      <c r="F12" s="95"/>
      <c r="G12" s="96"/>
      <c r="I12" s="114"/>
      <c r="J12" s="114"/>
      <c r="K12" s="114"/>
      <c r="L12" s="114"/>
      <c r="M12" s="114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719899</v>
      </c>
      <c r="I13" s="115"/>
      <c r="J13" s="115"/>
      <c r="K13" s="116" t="s">
        <v>0</v>
      </c>
      <c r="L13" s="115"/>
      <c r="M13" s="115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44">
        <f>'A - 05-31-22'!G33</f>
        <v>98938.109999999753</v>
      </c>
      <c r="I14" s="117"/>
      <c r="J14" s="118" t="s">
        <v>1</v>
      </c>
      <c r="K14" s="118" t="s">
        <v>2</v>
      </c>
      <c r="L14" s="117"/>
      <c r="M14" s="117"/>
    </row>
    <row r="15" spans="1:13" ht="15" x14ac:dyDescent="0.2">
      <c r="B15" s="4" t="s">
        <v>81</v>
      </c>
      <c r="C15" s="8" t="s">
        <v>86</v>
      </c>
      <c r="D15" s="8"/>
      <c r="E15" s="8"/>
      <c r="F15" s="9"/>
      <c r="G15" s="144">
        <f>'B - 11-30-22'!G35</f>
        <v>1463542.0900000003</v>
      </c>
      <c r="I15" s="117"/>
      <c r="J15" s="118" t="s">
        <v>3</v>
      </c>
      <c r="K15" s="118" t="s">
        <v>4</v>
      </c>
      <c r="L15" s="118" t="s">
        <v>5</v>
      </c>
      <c r="M15" s="118" t="s">
        <v>6</v>
      </c>
    </row>
    <row r="16" spans="1:13" ht="15" x14ac:dyDescent="0.2">
      <c r="B16" s="4" t="s">
        <v>87</v>
      </c>
      <c r="C16" s="8" t="s">
        <v>92</v>
      </c>
      <c r="D16" s="8"/>
      <c r="E16" s="8"/>
      <c r="F16" s="11"/>
      <c r="G16" s="122">
        <f>'C - 05-31-23'!G37</f>
        <v>189267.58999999939</v>
      </c>
      <c r="I16" s="119"/>
      <c r="J16" s="119" t="s">
        <v>7</v>
      </c>
      <c r="K16" s="119" t="s">
        <v>7</v>
      </c>
      <c r="L16" s="119" t="s">
        <v>8</v>
      </c>
      <c r="M16" s="119" t="s">
        <v>8</v>
      </c>
    </row>
    <row r="17" spans="2:13" ht="15" x14ac:dyDescent="0.2">
      <c r="B17" s="5" t="s">
        <v>93</v>
      </c>
      <c r="C17" s="8" t="s">
        <v>18</v>
      </c>
      <c r="D17" s="8"/>
      <c r="E17" s="8"/>
      <c r="F17" s="11"/>
      <c r="G17" s="12">
        <f>G13+G14+G15+G16</f>
        <v>2471646.7899999996</v>
      </c>
      <c r="I17" s="120" t="s">
        <v>10</v>
      </c>
      <c r="J17" s="121" t="s">
        <v>48</v>
      </c>
      <c r="K17" s="121" t="s">
        <v>11</v>
      </c>
      <c r="L17" s="121" t="s">
        <v>12</v>
      </c>
      <c r="M17" s="121" t="s">
        <v>13</v>
      </c>
    </row>
    <row r="18" spans="2:13" ht="15" x14ac:dyDescent="0.2">
      <c r="B18" s="4">
        <v>2</v>
      </c>
      <c r="C18" s="13">
        <v>45108</v>
      </c>
      <c r="D18" s="122">
        <f>1420935-1952-1109</f>
        <v>1417874</v>
      </c>
      <c r="E18" s="123">
        <f>1117483.53+7892.5+238693.81+36895.15+355.13+25006.26</f>
        <v>1426326.38</v>
      </c>
      <c r="F18" s="14">
        <f t="shared" ref="F18:F25" si="0">D18-E18</f>
        <v>-8452.3799999998882</v>
      </c>
      <c r="G18" s="12">
        <f t="shared" ref="G18:G25" si="1">G17+F18</f>
        <v>2463194.4099999997</v>
      </c>
      <c r="I18" s="13">
        <v>45108</v>
      </c>
      <c r="J18" s="125">
        <f>1111028</f>
        <v>1111028</v>
      </c>
      <c r="K18" s="125">
        <v>1111028</v>
      </c>
      <c r="L18" s="126">
        <f t="shared" ref="L18:L25" si="2">J18-K18</f>
        <v>0</v>
      </c>
      <c r="M18" s="126">
        <f>L18</f>
        <v>0</v>
      </c>
    </row>
    <row r="19" spans="2:13" ht="15" x14ac:dyDescent="0.2">
      <c r="B19" s="4">
        <v>3</v>
      </c>
      <c r="C19" s="15">
        <v>45139</v>
      </c>
      <c r="D19" s="127">
        <f>1493774-0-1110</f>
        <v>1492664</v>
      </c>
      <c r="E19" s="128">
        <f>1129060.01+7937.86+235665.65+32833.6+324.45+26623.39</f>
        <v>1432444.96</v>
      </c>
      <c r="F19" s="16">
        <f t="shared" si="0"/>
        <v>60219.040000000037</v>
      </c>
      <c r="G19" s="17">
        <f t="shared" si="1"/>
        <v>2523413.4499999997</v>
      </c>
      <c r="I19" s="15">
        <v>45139</v>
      </c>
      <c r="J19" s="130">
        <v>1165900</v>
      </c>
      <c r="K19" s="130">
        <v>1165900</v>
      </c>
      <c r="L19" s="131">
        <f t="shared" si="2"/>
        <v>0</v>
      </c>
      <c r="M19" s="131">
        <f>M18+L19</f>
        <v>0</v>
      </c>
    </row>
    <row r="20" spans="2:13" ht="15" x14ac:dyDescent="0.2">
      <c r="B20" s="4">
        <v>4</v>
      </c>
      <c r="C20" s="15">
        <v>45170</v>
      </c>
      <c r="D20" s="127">
        <f>975287-0-868</f>
        <v>974419</v>
      </c>
      <c r="E20" s="128">
        <f>1045576.94+7438.72+231684.48+144923.17+321.64+31313.1</f>
        <v>1461258.0499999998</v>
      </c>
      <c r="F20" s="16">
        <f t="shared" si="0"/>
        <v>-486839.04999999981</v>
      </c>
      <c r="G20" s="17">
        <f t="shared" si="1"/>
        <v>2036574.4</v>
      </c>
      <c r="I20" s="15">
        <v>45170</v>
      </c>
      <c r="J20" s="130">
        <v>808644</v>
      </c>
      <c r="K20" s="130">
        <v>808644</v>
      </c>
      <c r="L20" s="131">
        <f t="shared" si="2"/>
        <v>0</v>
      </c>
      <c r="M20" s="131">
        <f t="shared" ref="M20:M23" si="3">M19+L20</f>
        <v>0</v>
      </c>
    </row>
    <row r="21" spans="2:13" ht="15" x14ac:dyDescent="0.2">
      <c r="B21" s="4">
        <v>5</v>
      </c>
      <c r="C21" s="15">
        <v>45200</v>
      </c>
      <c r="D21" s="127">
        <f>804251-1500-847</f>
        <v>801904</v>
      </c>
      <c r="E21" s="128">
        <f>427193.35+3764.1+104303.06+32613.46+180.22+18959.92</f>
        <v>587014.11</v>
      </c>
      <c r="F21" s="16">
        <f t="shared" si="0"/>
        <v>214889.89</v>
      </c>
      <c r="G21" s="17">
        <f t="shared" si="1"/>
        <v>2251464.29</v>
      </c>
      <c r="I21" s="15">
        <v>45200</v>
      </c>
      <c r="J21" s="130">
        <v>904377</v>
      </c>
      <c r="K21" s="130">
        <v>904377</v>
      </c>
      <c r="L21" s="131">
        <f t="shared" si="2"/>
        <v>0</v>
      </c>
      <c r="M21" s="131">
        <f t="shared" si="3"/>
        <v>0</v>
      </c>
    </row>
    <row r="22" spans="2:13" ht="15" x14ac:dyDescent="0.2">
      <c r="B22" s="4">
        <v>6</v>
      </c>
      <c r="C22" s="15">
        <v>45231</v>
      </c>
      <c r="D22" s="127">
        <f>1080306-1799-1001</f>
        <v>1077506</v>
      </c>
      <c r="E22" s="128">
        <f>650858.35+4962.63+158090.31+58860.99+418.16+20981.02</f>
        <v>894171.46000000008</v>
      </c>
      <c r="F22" s="16">
        <f t="shared" si="0"/>
        <v>183334.53999999992</v>
      </c>
      <c r="G22" s="17">
        <f t="shared" si="1"/>
        <v>2434798.83</v>
      </c>
      <c r="I22" s="15">
        <v>45231</v>
      </c>
      <c r="J22" s="130">
        <v>1115117</v>
      </c>
      <c r="K22" s="132">
        <v>1115117</v>
      </c>
      <c r="L22" s="131">
        <f t="shared" si="2"/>
        <v>0</v>
      </c>
      <c r="M22" s="131">
        <f t="shared" si="3"/>
        <v>0</v>
      </c>
    </row>
    <row r="23" spans="2:13" ht="15" x14ac:dyDescent="0.2">
      <c r="B23" s="4">
        <v>7</v>
      </c>
      <c r="C23" s="15">
        <v>45261</v>
      </c>
      <c r="D23" s="127">
        <f>1201868-1859-1028</f>
        <v>1198981</v>
      </c>
      <c r="E23" s="128">
        <f>1054098.9+6203.76+204869.91+51860.04+508.97+28817.75</f>
        <v>1346359.3299999998</v>
      </c>
      <c r="F23" s="18">
        <f t="shared" si="0"/>
        <v>-147378.32999999984</v>
      </c>
      <c r="G23" s="19">
        <f t="shared" si="1"/>
        <v>2287420.5</v>
      </c>
      <c r="I23" s="15">
        <v>45261</v>
      </c>
      <c r="J23" s="134">
        <v>1058636</v>
      </c>
      <c r="K23" s="146">
        <v>1058636</v>
      </c>
      <c r="L23" s="135">
        <f t="shared" si="2"/>
        <v>0</v>
      </c>
      <c r="M23" s="135">
        <f t="shared" si="3"/>
        <v>0</v>
      </c>
    </row>
    <row r="24" spans="2:13" ht="15" x14ac:dyDescent="0.2">
      <c r="B24" s="20" t="s">
        <v>19</v>
      </c>
      <c r="C24" s="13">
        <v>45292</v>
      </c>
      <c r="D24" s="122">
        <f>1464512-1725-950</f>
        <v>1461837</v>
      </c>
      <c r="E24" s="123">
        <f>1137794.05+5336.15+177809.39+55432.61+435.22+25991.95</f>
        <v>1402799.3699999999</v>
      </c>
      <c r="F24" s="14">
        <f t="shared" si="0"/>
        <v>59037.630000000121</v>
      </c>
      <c r="G24" s="12">
        <f t="shared" si="1"/>
        <v>2346458.13</v>
      </c>
      <c r="I24" s="13">
        <v>45292</v>
      </c>
      <c r="J24" s="125">
        <f>1011220</f>
        <v>1011220</v>
      </c>
      <c r="K24" s="125">
        <v>1011220</v>
      </c>
      <c r="L24" s="131">
        <f t="shared" si="2"/>
        <v>0</v>
      </c>
      <c r="M24" s="131">
        <f>M23+L24</f>
        <v>0</v>
      </c>
    </row>
    <row r="25" spans="2:13" ht="15" x14ac:dyDescent="0.2">
      <c r="B25" s="21" t="s">
        <v>20</v>
      </c>
      <c r="C25" s="22">
        <v>45323</v>
      </c>
      <c r="D25" s="136">
        <f>1073797-1594-877</f>
        <v>1071326</v>
      </c>
      <c r="E25" s="137">
        <f>893179.73+4742.69+157885.01+45256.7+352.79+26800.15</f>
        <v>1128217.0699999998</v>
      </c>
      <c r="F25" s="18">
        <f t="shared" si="0"/>
        <v>-56891.069999999832</v>
      </c>
      <c r="G25" s="19">
        <f t="shared" si="1"/>
        <v>2289567.06</v>
      </c>
      <c r="I25" s="22">
        <v>45323</v>
      </c>
      <c r="J25" s="134">
        <v>1033521</v>
      </c>
      <c r="K25" s="134">
        <v>1033521</v>
      </c>
      <c r="L25" s="135">
        <f t="shared" si="2"/>
        <v>0</v>
      </c>
      <c r="M25" s="135">
        <f>M24+L25</f>
        <v>0</v>
      </c>
    </row>
    <row r="26" spans="2:13" ht="15" x14ac:dyDescent="0.2">
      <c r="B26" s="5"/>
      <c r="C26" s="23" t="s">
        <v>94</v>
      </c>
      <c r="D26" s="24"/>
      <c r="E26" s="24"/>
      <c r="F26" s="24"/>
      <c r="G26" s="25"/>
      <c r="I26" s="114"/>
      <c r="J26" s="114"/>
      <c r="K26" s="114"/>
      <c r="L26" s="114"/>
      <c r="M26" s="114"/>
    </row>
    <row r="27" spans="2:13" ht="15" x14ac:dyDescent="0.2">
      <c r="B27" s="2"/>
      <c r="C27" s="1"/>
      <c r="D27" s="1"/>
      <c r="E27" s="1"/>
      <c r="F27" s="1"/>
      <c r="G27" s="12"/>
      <c r="I27" s="138" t="s">
        <v>49</v>
      </c>
      <c r="J27" s="139"/>
      <c r="K27" s="139"/>
      <c r="L27" s="140"/>
      <c r="M27" s="141">
        <f>M23</f>
        <v>0</v>
      </c>
    </row>
    <row r="28" spans="2:13" ht="15" x14ac:dyDescent="0.2">
      <c r="B28" s="4"/>
      <c r="C28" s="3"/>
      <c r="D28" s="4" t="s">
        <v>21</v>
      </c>
      <c r="E28" s="4" t="s">
        <v>22</v>
      </c>
      <c r="F28" s="3"/>
      <c r="G28" s="17"/>
      <c r="I28" s="114"/>
      <c r="J28" s="114"/>
      <c r="K28" s="114"/>
      <c r="L28" s="114"/>
      <c r="M28" s="142"/>
    </row>
    <row r="29" spans="2:13" ht="15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138" t="s">
        <v>50</v>
      </c>
      <c r="J29" s="139"/>
      <c r="K29" s="139"/>
      <c r="L29" s="140"/>
      <c r="M29" s="141">
        <f>M27/6</f>
        <v>0</v>
      </c>
    </row>
    <row r="30" spans="2:13" ht="15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  <c r="I30" s="114"/>
      <c r="J30" s="114"/>
      <c r="K30" s="114"/>
      <c r="L30" s="114"/>
      <c r="M30" s="114"/>
    </row>
    <row r="31" spans="2:13" ht="15.75" x14ac:dyDescent="0.25">
      <c r="B31" s="4"/>
      <c r="C31" s="3"/>
      <c r="D31" s="4" t="s">
        <v>28</v>
      </c>
      <c r="E31" s="4" t="s">
        <v>29</v>
      </c>
      <c r="F31" s="3"/>
      <c r="G31" s="26" t="s">
        <v>30</v>
      </c>
      <c r="I31" s="53" t="s">
        <v>54</v>
      </c>
      <c r="J31" s="114"/>
      <c r="K31" s="114"/>
      <c r="L31" s="114"/>
      <c r="M31" s="114"/>
    </row>
    <row r="32" spans="2:13" ht="15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  <c r="I32" s="114"/>
      <c r="J32" s="114"/>
      <c r="K32" s="114"/>
      <c r="L32" s="114"/>
      <c r="M32" s="114"/>
    </row>
    <row r="33" spans="2:13" ht="15" x14ac:dyDescent="0.2">
      <c r="B33" s="20" t="s">
        <v>34</v>
      </c>
      <c r="C33" s="148" t="s">
        <v>95</v>
      </c>
      <c r="D33" s="149">
        <f>-G13</f>
        <v>-719899</v>
      </c>
      <c r="E33" s="149">
        <f>D66</f>
        <v>0</v>
      </c>
      <c r="F33" s="39"/>
      <c r="G33" s="150">
        <f t="shared" ref="G33:G36" si="4">D33+E33</f>
        <v>-719899</v>
      </c>
      <c r="I33" s="115"/>
      <c r="J33" s="115"/>
      <c r="K33" s="116" t="s">
        <v>0</v>
      </c>
      <c r="L33" s="115"/>
      <c r="M33" s="115"/>
    </row>
    <row r="34" spans="2:13" ht="15" x14ac:dyDescent="0.2">
      <c r="B34" s="27" t="s">
        <v>35</v>
      </c>
      <c r="C34" s="151" t="s">
        <v>83</v>
      </c>
      <c r="D34" s="33">
        <f>-G14</f>
        <v>-98938.109999999753</v>
      </c>
      <c r="E34" s="33">
        <v>0</v>
      </c>
      <c r="G34" s="41">
        <f t="shared" si="4"/>
        <v>-98938.109999999753</v>
      </c>
      <c r="I34" s="117"/>
      <c r="J34" s="118" t="s">
        <v>1</v>
      </c>
      <c r="K34" s="118" t="s">
        <v>2</v>
      </c>
      <c r="L34" s="117"/>
      <c r="M34" s="117"/>
    </row>
    <row r="35" spans="2:13" ht="15" x14ac:dyDescent="0.2">
      <c r="B35" s="27" t="s">
        <v>84</v>
      </c>
      <c r="C35" s="151" t="s">
        <v>89</v>
      </c>
      <c r="D35" s="33">
        <f>-G15</f>
        <v>-1463542.0900000003</v>
      </c>
      <c r="E35" s="33">
        <v>0</v>
      </c>
      <c r="G35" s="41">
        <f t="shared" si="4"/>
        <v>-1463542.0900000003</v>
      </c>
      <c r="I35" s="117"/>
      <c r="J35" s="118" t="s">
        <v>3</v>
      </c>
      <c r="K35" s="118" t="s">
        <v>4</v>
      </c>
      <c r="L35" s="118" t="s">
        <v>5</v>
      </c>
      <c r="M35" s="118" t="s">
        <v>6</v>
      </c>
    </row>
    <row r="36" spans="2:13" ht="15" x14ac:dyDescent="0.2">
      <c r="B36" s="27" t="s">
        <v>90</v>
      </c>
      <c r="C36" s="152" t="s">
        <v>96</v>
      </c>
      <c r="D36" s="153">
        <f>-G16</f>
        <v>-189267.58999999939</v>
      </c>
      <c r="E36" s="153">
        <v>0</v>
      </c>
      <c r="F36" s="44"/>
      <c r="G36" s="42">
        <f t="shared" si="4"/>
        <v>-189267.58999999939</v>
      </c>
      <c r="I36" s="119"/>
      <c r="J36" s="119" t="s">
        <v>7</v>
      </c>
      <c r="K36" s="119" t="s">
        <v>7</v>
      </c>
      <c r="L36" s="119" t="s">
        <v>8</v>
      </c>
      <c r="M36" s="119" t="s">
        <v>8</v>
      </c>
    </row>
    <row r="37" spans="2:13" ht="15" x14ac:dyDescent="0.2">
      <c r="B37" s="5" t="s">
        <v>97</v>
      </c>
      <c r="C37" s="29"/>
      <c r="D37" s="30"/>
      <c r="E37" s="30"/>
      <c r="F37" s="31" t="s">
        <v>36</v>
      </c>
      <c r="G37" s="19">
        <f>G33+G34+G35+G36</f>
        <v>-2471646.7899999996</v>
      </c>
      <c r="I37" s="120" t="s">
        <v>10</v>
      </c>
      <c r="J37" s="121" t="s">
        <v>48</v>
      </c>
      <c r="K37" s="121" t="s">
        <v>11</v>
      </c>
      <c r="L37" s="121" t="s">
        <v>12</v>
      </c>
      <c r="M37" s="121" t="s">
        <v>13</v>
      </c>
    </row>
    <row r="38" spans="2:13" ht="15" x14ac:dyDescent="0.2">
      <c r="B38" s="32"/>
      <c r="G38" s="33"/>
      <c r="I38" s="13">
        <v>45108</v>
      </c>
      <c r="J38" s="143">
        <f>272466+1109</f>
        <v>273575</v>
      </c>
      <c r="K38" s="125">
        <f>99810+17194+156571</f>
        <v>273575</v>
      </c>
      <c r="L38" s="126">
        <f>J38-K38</f>
        <v>0</v>
      </c>
      <c r="M38" s="126">
        <f>+L38</f>
        <v>0</v>
      </c>
    </row>
    <row r="39" spans="2:13" ht="15" x14ac:dyDescent="0.2">
      <c r="B39" s="6">
        <v>9</v>
      </c>
      <c r="C39" s="34" t="s">
        <v>98</v>
      </c>
      <c r="D39" s="8"/>
      <c r="E39" s="8"/>
      <c r="F39" s="9"/>
      <c r="G39" s="35">
        <f>G23+G37</f>
        <v>-184226.28999999957</v>
      </c>
      <c r="I39" s="15">
        <v>45139</v>
      </c>
      <c r="J39" s="143">
        <f>300065+1110</f>
        <v>301175</v>
      </c>
      <c r="K39" s="130">
        <f>111115+19185+170875</f>
        <v>301175</v>
      </c>
      <c r="L39" s="131">
        <f>J39-K39</f>
        <v>0</v>
      </c>
      <c r="M39" s="131">
        <f>M38+L39</f>
        <v>0</v>
      </c>
    </row>
    <row r="40" spans="2:13" ht="15" x14ac:dyDescent="0.2">
      <c r="B40" s="32"/>
      <c r="G40" s="33"/>
      <c r="I40" s="15">
        <v>45170</v>
      </c>
      <c r="J40" s="130">
        <f>209046+868</f>
        <v>209914</v>
      </c>
      <c r="K40" s="130">
        <f>78012+13715+118187</f>
        <v>209914</v>
      </c>
      <c r="L40" s="131">
        <f t="shared" ref="L40:L43" si="5">J40-K40</f>
        <v>0</v>
      </c>
      <c r="M40" s="131">
        <f t="shared" ref="M40:M43" si="6">M39+L40</f>
        <v>0</v>
      </c>
    </row>
    <row r="41" spans="2:13" ht="15" x14ac:dyDescent="0.2">
      <c r="B41" s="6">
        <v>10</v>
      </c>
      <c r="C41" s="34" t="s">
        <v>78</v>
      </c>
      <c r="D41" s="8"/>
      <c r="E41" s="8"/>
      <c r="F41" s="9"/>
      <c r="G41" s="35">
        <f>G39/6</f>
        <v>-30704.381666666595</v>
      </c>
      <c r="I41" s="15">
        <v>45200</v>
      </c>
      <c r="J41" s="130">
        <f>208513+847</f>
        <v>209360</v>
      </c>
      <c r="K41" s="130">
        <f>75684+13174+120502</f>
        <v>209360</v>
      </c>
      <c r="L41" s="131">
        <f t="shared" si="5"/>
        <v>0</v>
      </c>
      <c r="M41" s="131">
        <f t="shared" si="6"/>
        <v>0</v>
      </c>
    </row>
    <row r="42" spans="2:13" ht="15" x14ac:dyDescent="0.2">
      <c r="I42" s="15">
        <v>45231</v>
      </c>
      <c r="J42" s="130">
        <f>1001+193478</f>
        <v>194479</v>
      </c>
      <c r="K42" s="132">
        <f>80728+13300+100451</f>
        <v>194479</v>
      </c>
      <c r="L42" s="131">
        <f t="shared" si="5"/>
        <v>0</v>
      </c>
      <c r="M42" s="131">
        <f t="shared" si="6"/>
        <v>0</v>
      </c>
    </row>
    <row r="43" spans="2:13" ht="15" x14ac:dyDescent="0.2">
      <c r="B43" s="1"/>
      <c r="C43" s="36" t="s">
        <v>37</v>
      </c>
      <c r="D43" s="37"/>
      <c r="E43" s="37"/>
      <c r="F43" s="37"/>
      <c r="G43" s="38"/>
      <c r="I43" s="15">
        <v>45261</v>
      </c>
      <c r="J43" s="134">
        <f>1028+196599</f>
        <v>197627</v>
      </c>
      <c r="K43" s="134">
        <f>81273+12353+104001</f>
        <v>197627</v>
      </c>
      <c r="L43" s="135">
        <f t="shared" si="5"/>
        <v>0</v>
      </c>
      <c r="M43" s="135">
        <f t="shared" si="6"/>
        <v>0</v>
      </c>
    </row>
    <row r="44" spans="2:13" ht="15" x14ac:dyDescent="0.2">
      <c r="B44" s="1"/>
      <c r="C44" s="39"/>
      <c r="D44" s="39"/>
      <c r="E44" s="39"/>
      <c r="F44" s="39"/>
      <c r="G44" s="11"/>
      <c r="I44" s="13">
        <v>45292</v>
      </c>
      <c r="J44" s="125">
        <f>191495+950</f>
        <v>192445</v>
      </c>
      <c r="K44" s="125">
        <v>192445</v>
      </c>
      <c r="L44" s="131">
        <f>J44-K44</f>
        <v>0</v>
      </c>
      <c r="M44" s="131">
        <f>M43+L44</f>
        <v>0</v>
      </c>
    </row>
    <row r="45" spans="2:13" ht="15" x14ac:dyDescent="0.2">
      <c r="B45" s="4">
        <v>11</v>
      </c>
      <c r="C45" t="s">
        <v>38</v>
      </c>
      <c r="G45" s="41">
        <f>G17</f>
        <v>2471646.7899999996</v>
      </c>
      <c r="I45" s="22">
        <v>45323</v>
      </c>
      <c r="J45" s="134">
        <f>877+191084</f>
        <v>191961</v>
      </c>
      <c r="K45" s="134">
        <v>191961</v>
      </c>
      <c r="L45" s="135">
        <f>J45-K45</f>
        <v>0</v>
      </c>
      <c r="M45" s="135">
        <f>M44+L45</f>
        <v>0</v>
      </c>
    </row>
    <row r="46" spans="2:13" ht="15" x14ac:dyDescent="0.2">
      <c r="B46" s="4">
        <v>12</v>
      </c>
      <c r="C46" t="s">
        <v>39</v>
      </c>
      <c r="G46" s="42">
        <f>G37</f>
        <v>-2471646.7899999996</v>
      </c>
      <c r="I46" s="114"/>
      <c r="J46" s="114"/>
      <c r="K46" s="114"/>
      <c r="L46" s="114"/>
      <c r="M46" s="114"/>
    </row>
    <row r="47" spans="2:13" ht="15" x14ac:dyDescent="0.2">
      <c r="B47" s="4"/>
      <c r="G47" s="41"/>
      <c r="I47" s="138" t="s">
        <v>49</v>
      </c>
      <c r="J47" s="139"/>
      <c r="K47" s="139"/>
      <c r="L47" s="140"/>
      <c r="M47" s="141">
        <f>M43</f>
        <v>0</v>
      </c>
    </row>
    <row r="48" spans="2:13" ht="15.75" thickBot="1" x14ac:dyDescent="0.25">
      <c r="B48" s="4">
        <v>13</v>
      </c>
      <c r="C48" t="s">
        <v>40</v>
      </c>
      <c r="G48" s="43">
        <f>G45+G46</f>
        <v>0</v>
      </c>
      <c r="I48" s="114"/>
      <c r="J48" s="114"/>
      <c r="K48" s="114"/>
      <c r="L48" s="114"/>
      <c r="M48" s="142"/>
    </row>
    <row r="49" spans="2:13" ht="15.75" thickTop="1" x14ac:dyDescent="0.2">
      <c r="B49" s="4"/>
      <c r="G49" s="41"/>
      <c r="I49" s="138" t="s">
        <v>50</v>
      </c>
      <c r="J49" s="139"/>
      <c r="K49" s="139"/>
      <c r="L49" s="140"/>
      <c r="M49" s="141">
        <f>M47/6</f>
        <v>0</v>
      </c>
    </row>
    <row r="50" spans="2:13" x14ac:dyDescent="0.2">
      <c r="B50" s="4">
        <v>14</v>
      </c>
      <c r="C50" t="s">
        <v>41</v>
      </c>
      <c r="G50" s="41">
        <f>G39</f>
        <v>-184226.28999999957</v>
      </c>
    </row>
    <row r="51" spans="2:13" x14ac:dyDescent="0.2">
      <c r="B51" s="4"/>
      <c r="G51" s="41"/>
    </row>
    <row r="52" spans="2:13" x14ac:dyDescent="0.2">
      <c r="B52" s="4">
        <v>15</v>
      </c>
      <c r="C52" t="s">
        <v>42</v>
      </c>
      <c r="G52" s="42">
        <f>SUM(F18:F23)</f>
        <v>-184226.28999999957</v>
      </c>
    </row>
    <row r="53" spans="2:13" x14ac:dyDescent="0.2">
      <c r="B53" s="4"/>
      <c r="G53" s="41"/>
    </row>
    <row r="54" spans="2:13" ht="15" thickBot="1" x14ac:dyDescent="0.25">
      <c r="B54" s="4">
        <v>16</v>
      </c>
      <c r="C54" t="s">
        <v>43</v>
      </c>
      <c r="G54" s="43">
        <f>G50-G52</f>
        <v>0</v>
      </c>
    </row>
    <row r="55" spans="2:13" ht="15" thickTop="1" x14ac:dyDescent="0.2">
      <c r="B55" s="28"/>
      <c r="C55" s="44"/>
      <c r="D55" s="44"/>
      <c r="E55" s="44"/>
      <c r="F55" s="44"/>
      <c r="G55" s="45"/>
    </row>
    <row r="57" spans="2:13" x14ac:dyDescent="0.2">
      <c r="B57" t="s">
        <v>44</v>
      </c>
    </row>
    <row r="58" spans="2:13" x14ac:dyDescent="0.2">
      <c r="B58" s="32"/>
      <c r="C58" s="1"/>
      <c r="D58" s="2" t="s">
        <v>45</v>
      </c>
      <c r="E58" s="27"/>
      <c r="F58" s="32"/>
      <c r="G58" s="32"/>
    </row>
    <row r="59" spans="2:13" x14ac:dyDescent="0.2">
      <c r="B59" s="32"/>
      <c r="C59" s="5" t="s">
        <v>10</v>
      </c>
      <c r="D59" s="5" t="s">
        <v>79</v>
      </c>
      <c r="E59" s="27"/>
      <c r="F59" s="32"/>
      <c r="G59" s="32"/>
    </row>
    <row r="60" spans="2:13" x14ac:dyDescent="0.2">
      <c r="C60" s="13">
        <v>45108</v>
      </c>
      <c r="D60" s="12">
        <v>0</v>
      </c>
      <c r="E60" s="16"/>
      <c r="F60" s="33"/>
      <c r="G60" s="33"/>
    </row>
    <row r="61" spans="2:13" x14ac:dyDescent="0.2">
      <c r="C61" s="15">
        <v>45139</v>
      </c>
      <c r="D61" s="17">
        <v>0</v>
      </c>
      <c r="E61" s="16"/>
      <c r="F61" s="33"/>
      <c r="G61" s="33"/>
    </row>
    <row r="62" spans="2:13" x14ac:dyDescent="0.2">
      <c r="C62" s="15">
        <v>45170</v>
      </c>
      <c r="D62" s="17">
        <v>0</v>
      </c>
      <c r="E62" s="16"/>
      <c r="F62" s="33"/>
      <c r="G62" s="33"/>
    </row>
    <row r="63" spans="2:13" x14ac:dyDescent="0.2">
      <c r="C63" s="15">
        <v>45200</v>
      </c>
      <c r="D63" s="17">
        <v>0</v>
      </c>
      <c r="E63" s="16"/>
      <c r="F63" s="33"/>
      <c r="G63" s="33"/>
    </row>
    <row r="64" spans="2:13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6246-F988-44CC-A7A9-34D01F5D75C0}">
  <dimension ref="A1:M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4" t="s">
        <v>15</v>
      </c>
      <c r="D12" s="95"/>
      <c r="E12" s="95"/>
      <c r="F12" s="95"/>
      <c r="G12" s="96"/>
      <c r="I12" s="53" t="s">
        <v>53</v>
      </c>
      <c r="J12" s="114"/>
      <c r="K12" s="114"/>
      <c r="L12" s="114"/>
      <c r="M12" s="114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719899</v>
      </c>
      <c r="I13" s="114"/>
      <c r="J13" s="114"/>
      <c r="K13" s="114"/>
      <c r="L13" s="114"/>
      <c r="M13" s="114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44">
        <f>'A - 05-31-22'!G33</f>
        <v>98938.109999999753</v>
      </c>
      <c r="I14" s="115"/>
      <c r="J14" s="115"/>
      <c r="K14" s="116" t="s">
        <v>0</v>
      </c>
      <c r="L14" s="115"/>
      <c r="M14" s="115"/>
    </row>
    <row r="15" spans="1:13" ht="15" x14ac:dyDescent="0.2">
      <c r="B15" s="4" t="s">
        <v>81</v>
      </c>
      <c r="C15" s="8" t="s">
        <v>86</v>
      </c>
      <c r="D15" s="8"/>
      <c r="E15" s="8"/>
      <c r="F15" s="9"/>
      <c r="G15" s="144">
        <f>'B - 11-30-22'!G35</f>
        <v>1463542.0900000003</v>
      </c>
      <c r="I15" s="117"/>
      <c r="J15" s="118" t="s">
        <v>1</v>
      </c>
      <c r="K15" s="118" t="s">
        <v>2</v>
      </c>
      <c r="L15" s="117"/>
      <c r="M15" s="117"/>
    </row>
    <row r="16" spans="1:13" ht="15" x14ac:dyDescent="0.2">
      <c r="B16" s="4" t="s">
        <v>87</v>
      </c>
      <c r="C16" s="8" t="s">
        <v>92</v>
      </c>
      <c r="D16" s="8"/>
      <c r="E16" s="8"/>
      <c r="F16" s="11"/>
      <c r="G16" s="122">
        <f>'C - 05-31-23'!G37</f>
        <v>189267.58999999939</v>
      </c>
      <c r="I16" s="117"/>
      <c r="J16" s="118" t="s">
        <v>3</v>
      </c>
      <c r="K16" s="118" t="s">
        <v>4</v>
      </c>
      <c r="L16" s="118" t="s">
        <v>5</v>
      </c>
      <c r="M16" s="118" t="s">
        <v>6</v>
      </c>
    </row>
    <row r="17" spans="2:13" ht="15" x14ac:dyDescent="0.2">
      <c r="B17" s="4" t="s">
        <v>93</v>
      </c>
      <c r="C17" s="8" t="s">
        <v>99</v>
      </c>
      <c r="D17" s="8"/>
      <c r="E17" s="8"/>
      <c r="F17" s="11"/>
      <c r="G17" s="122">
        <f>'D - 11-30-23'!G39</f>
        <v>-184226.28999999957</v>
      </c>
      <c r="I17" s="119"/>
      <c r="J17" s="119" t="s">
        <v>7</v>
      </c>
      <c r="K17" s="119" t="s">
        <v>7</v>
      </c>
      <c r="L17" s="119" t="s">
        <v>8</v>
      </c>
      <c r="M17" s="119" t="s">
        <v>8</v>
      </c>
    </row>
    <row r="18" spans="2:13" ht="15" x14ac:dyDescent="0.2">
      <c r="B18" s="5" t="s">
        <v>100</v>
      </c>
      <c r="C18" s="8" t="s">
        <v>18</v>
      </c>
      <c r="D18" s="8"/>
      <c r="E18" s="8"/>
      <c r="F18" s="11"/>
      <c r="G18" s="12">
        <f>G13+G14+G15+G16+G17</f>
        <v>2287420.5</v>
      </c>
      <c r="I18" s="120" t="s">
        <v>10</v>
      </c>
      <c r="J18" s="121" t="s">
        <v>48</v>
      </c>
      <c r="K18" s="121" t="s">
        <v>11</v>
      </c>
      <c r="L18" s="121" t="s">
        <v>12</v>
      </c>
      <c r="M18" s="121" t="s">
        <v>13</v>
      </c>
    </row>
    <row r="19" spans="2:13" ht="15" x14ac:dyDescent="0.2">
      <c r="B19" s="4">
        <v>2</v>
      </c>
      <c r="C19" s="13">
        <v>45292</v>
      </c>
      <c r="D19" s="122">
        <f>1464512-1725-950</f>
        <v>1461837</v>
      </c>
      <c r="E19" s="123">
        <f>1137794.05+5336.15+177809.39+55432.61+435.22+25991.95</f>
        <v>1402799.3699999999</v>
      </c>
      <c r="F19" s="14">
        <f t="shared" ref="F19:F26" si="0">D19-E19</f>
        <v>59037.630000000121</v>
      </c>
      <c r="G19" s="12">
        <f t="shared" ref="G19:G26" si="1">G18+F19</f>
        <v>2346458.13</v>
      </c>
      <c r="I19" s="13">
        <v>45292</v>
      </c>
      <c r="J19" s="125">
        <f>1011220</f>
        <v>1011220</v>
      </c>
      <c r="K19" s="125">
        <v>1011220</v>
      </c>
      <c r="L19" s="126">
        <f t="shared" ref="L19:L26" si="2">J19-K19</f>
        <v>0</v>
      </c>
      <c r="M19" s="126">
        <f>L19</f>
        <v>0</v>
      </c>
    </row>
    <row r="20" spans="2:13" ht="15" x14ac:dyDescent="0.2">
      <c r="B20" s="4">
        <v>3</v>
      </c>
      <c r="C20" s="15">
        <v>45323</v>
      </c>
      <c r="D20" s="127">
        <f>1073797-1594-877</f>
        <v>1071326</v>
      </c>
      <c r="E20" s="128">
        <f>893179.73+4742.69+157885.01+45256.7+352.79+26800.15</f>
        <v>1128217.0699999998</v>
      </c>
      <c r="F20" s="16">
        <f t="shared" si="0"/>
        <v>-56891.069999999832</v>
      </c>
      <c r="G20" s="17">
        <f t="shared" si="1"/>
        <v>2289567.06</v>
      </c>
      <c r="I20" s="15">
        <v>45323</v>
      </c>
      <c r="J20" s="130">
        <v>1033521</v>
      </c>
      <c r="K20" s="130">
        <v>1033521</v>
      </c>
      <c r="L20" s="131">
        <f t="shared" si="2"/>
        <v>0</v>
      </c>
      <c r="M20" s="131">
        <f>M19+L20</f>
        <v>0</v>
      </c>
    </row>
    <row r="21" spans="2:13" ht="15" x14ac:dyDescent="0.2">
      <c r="B21" s="4">
        <v>4</v>
      </c>
      <c r="C21" s="15">
        <v>45352</v>
      </c>
      <c r="D21" s="127">
        <f>662052-1134-620</f>
        <v>660298</v>
      </c>
      <c r="E21" s="128">
        <f>632397.4+4174.91+128142.96+94459.5+270.92+19260.92</f>
        <v>878706.6100000001</v>
      </c>
      <c r="F21" s="16">
        <f t="shared" si="0"/>
        <v>-218408.6100000001</v>
      </c>
      <c r="G21" s="17">
        <f t="shared" si="1"/>
        <v>2071158.45</v>
      </c>
      <c r="I21" s="15">
        <v>45352</v>
      </c>
      <c r="J21" s="130">
        <v>761094</v>
      </c>
      <c r="K21" s="130">
        <v>761094</v>
      </c>
      <c r="L21" s="131">
        <f t="shared" si="2"/>
        <v>0</v>
      </c>
      <c r="M21" s="131">
        <f t="shared" ref="M21:M24" si="3">M20+L21</f>
        <v>0</v>
      </c>
    </row>
    <row r="22" spans="2:13" ht="15" x14ac:dyDescent="0.2">
      <c r="B22" s="4">
        <v>5</v>
      </c>
      <c r="C22" s="15">
        <v>45383</v>
      </c>
      <c r="D22" s="127">
        <f>695441-1549-845</f>
        <v>693047</v>
      </c>
      <c r="E22" s="128">
        <f>193255.72+1336.6+35985.22+11287+82.76+6084.18</f>
        <v>248031.48</v>
      </c>
      <c r="F22" s="16">
        <f t="shared" si="0"/>
        <v>445015.52</v>
      </c>
      <c r="G22" s="17">
        <f t="shared" si="1"/>
        <v>2516173.9699999997</v>
      </c>
      <c r="I22" s="15">
        <v>45383</v>
      </c>
      <c r="J22" s="130">
        <f>791987</f>
        <v>791987</v>
      </c>
      <c r="K22" s="130">
        <v>791987</v>
      </c>
      <c r="L22" s="131">
        <f t="shared" si="2"/>
        <v>0</v>
      </c>
      <c r="M22" s="131">
        <f t="shared" si="3"/>
        <v>0</v>
      </c>
    </row>
    <row r="23" spans="2:13" ht="15" x14ac:dyDescent="0.2">
      <c r="B23" s="4">
        <v>6</v>
      </c>
      <c r="C23" s="15">
        <v>45413</v>
      </c>
      <c r="D23" s="127">
        <f>1098082-1890-1019</f>
        <v>1095173</v>
      </c>
      <c r="E23" s="128">
        <f>879845.69+6317.59+198003.66-18788.91+381.58+26203.32</f>
        <v>1091962.9300000002</v>
      </c>
      <c r="F23" s="16">
        <f t="shared" si="0"/>
        <v>3210.0699999998324</v>
      </c>
      <c r="G23" s="17">
        <f t="shared" si="1"/>
        <v>2519384.0399999996</v>
      </c>
      <c r="I23" s="15">
        <v>45413</v>
      </c>
      <c r="J23" s="130">
        <f>1098926</f>
        <v>1098926</v>
      </c>
      <c r="K23" s="132">
        <v>1098926</v>
      </c>
      <c r="L23" s="131">
        <f t="shared" si="2"/>
        <v>0</v>
      </c>
      <c r="M23" s="131">
        <f t="shared" si="3"/>
        <v>0</v>
      </c>
    </row>
    <row r="24" spans="2:13" ht="15" x14ac:dyDescent="0.2">
      <c r="B24" s="4">
        <v>7</v>
      </c>
      <c r="C24" s="15">
        <v>45444</v>
      </c>
      <c r="D24" s="127">
        <f>1553250-2292-1235</f>
        <v>1549723</v>
      </c>
      <c r="E24" s="128">
        <f>1170507.12+8074.57+250331.53+37432.75+364.92+34408.34</f>
        <v>1501119.2300000002</v>
      </c>
      <c r="F24" s="18">
        <f t="shared" si="0"/>
        <v>48603.769999999786</v>
      </c>
      <c r="G24" s="19">
        <f t="shared" si="1"/>
        <v>2567987.8099999996</v>
      </c>
      <c r="I24" s="15">
        <v>45444</v>
      </c>
      <c r="J24" s="134">
        <f>1172801</f>
        <v>1172801</v>
      </c>
      <c r="K24" s="146">
        <v>1172801</v>
      </c>
      <c r="L24" s="135">
        <f t="shared" si="2"/>
        <v>0</v>
      </c>
      <c r="M24" s="135">
        <f t="shared" si="3"/>
        <v>0</v>
      </c>
    </row>
    <row r="25" spans="2:13" ht="15" x14ac:dyDescent="0.2">
      <c r="B25" s="20" t="s">
        <v>19</v>
      </c>
      <c r="C25" s="13">
        <v>45474</v>
      </c>
      <c r="D25" s="122">
        <f>1466840-0-1129</f>
        <v>1465711</v>
      </c>
      <c r="E25" s="123">
        <f>1619191.83+8847.92+315050.53+94986.08+428.26+35543.07</f>
        <v>2074047.6900000002</v>
      </c>
      <c r="F25" s="14">
        <f t="shared" si="0"/>
        <v>-608336.69000000018</v>
      </c>
      <c r="G25" s="12">
        <f t="shared" si="1"/>
        <v>1959651.1199999994</v>
      </c>
      <c r="I25" s="13">
        <v>45474</v>
      </c>
      <c r="J25" s="125">
        <v>1159487</v>
      </c>
      <c r="K25" s="125">
        <v>1159487</v>
      </c>
      <c r="L25" s="131">
        <f t="shared" si="2"/>
        <v>0</v>
      </c>
      <c r="M25" s="131">
        <f>M24+L25</f>
        <v>0</v>
      </c>
    </row>
    <row r="26" spans="2:13" ht="15" x14ac:dyDescent="0.2">
      <c r="B26" s="21" t="s">
        <v>20</v>
      </c>
      <c r="C26" s="22">
        <v>45505</v>
      </c>
      <c r="D26" s="136">
        <f>1330171-0-1002</f>
        <v>1329169</v>
      </c>
      <c r="E26" s="137">
        <f>1250451.12+7066.95+257085.48+86994.63+368.77+30084.13</f>
        <v>1632051.08</v>
      </c>
      <c r="F26" s="18">
        <f t="shared" si="0"/>
        <v>-302882.08000000007</v>
      </c>
      <c r="G26" s="19">
        <f t="shared" si="1"/>
        <v>1656769.0399999993</v>
      </c>
      <c r="I26" s="22">
        <v>45505</v>
      </c>
      <c r="J26" s="134">
        <v>1132484</v>
      </c>
      <c r="K26" s="134">
        <v>1132484</v>
      </c>
      <c r="L26" s="135">
        <f t="shared" si="2"/>
        <v>0</v>
      </c>
      <c r="M26" s="135">
        <f>M25+L26</f>
        <v>0</v>
      </c>
    </row>
    <row r="27" spans="2:13" ht="15" x14ac:dyDescent="0.2">
      <c r="B27" s="5"/>
      <c r="C27" s="23" t="s">
        <v>101</v>
      </c>
      <c r="D27" s="24"/>
      <c r="E27" s="24"/>
      <c r="F27" s="24"/>
      <c r="G27" s="25"/>
      <c r="I27" s="114"/>
      <c r="J27" s="114"/>
      <c r="K27" s="114"/>
      <c r="L27" s="114"/>
      <c r="M27" s="114"/>
    </row>
    <row r="28" spans="2:13" ht="15" x14ac:dyDescent="0.2">
      <c r="B28" s="2"/>
      <c r="C28" s="1"/>
      <c r="D28" s="1"/>
      <c r="E28" s="1"/>
      <c r="F28" s="1"/>
      <c r="G28" s="12"/>
      <c r="I28" s="138" t="s">
        <v>49</v>
      </c>
      <c r="J28" s="139"/>
      <c r="K28" s="139"/>
      <c r="L28" s="140"/>
      <c r="M28" s="141">
        <f>M24</f>
        <v>0</v>
      </c>
    </row>
    <row r="29" spans="2:13" ht="15" x14ac:dyDescent="0.2">
      <c r="B29" s="4"/>
      <c r="C29" s="3"/>
      <c r="D29" s="4" t="s">
        <v>21</v>
      </c>
      <c r="E29" s="4" t="s">
        <v>22</v>
      </c>
      <c r="F29" s="3"/>
      <c r="G29" s="17"/>
      <c r="I29" s="114"/>
      <c r="J29" s="114"/>
      <c r="K29" s="114"/>
      <c r="L29" s="114"/>
      <c r="M29" s="142"/>
    </row>
    <row r="30" spans="2:13" ht="15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138" t="s">
        <v>50</v>
      </c>
      <c r="J30" s="139"/>
      <c r="K30" s="139"/>
      <c r="L30" s="140"/>
      <c r="M30" s="141">
        <f>M28/6</f>
        <v>0</v>
      </c>
    </row>
    <row r="31" spans="2:13" ht="15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  <c r="I31" s="114"/>
      <c r="J31" s="114"/>
      <c r="K31" s="114"/>
      <c r="L31" s="114"/>
      <c r="M31" s="114"/>
    </row>
    <row r="32" spans="2:13" ht="15.75" x14ac:dyDescent="0.25">
      <c r="B32" s="4"/>
      <c r="C32" s="3"/>
      <c r="D32" s="4" t="s">
        <v>28</v>
      </c>
      <c r="E32" s="4" t="s">
        <v>29</v>
      </c>
      <c r="F32" s="3"/>
      <c r="G32" s="26" t="s">
        <v>30</v>
      </c>
      <c r="I32" s="53" t="s">
        <v>54</v>
      </c>
      <c r="J32" s="114"/>
      <c r="K32" s="114"/>
      <c r="L32" s="114"/>
      <c r="M32" s="114"/>
    </row>
    <row r="33" spans="2:13" ht="15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  <c r="I33" s="114"/>
      <c r="J33" s="114"/>
      <c r="K33" s="114"/>
      <c r="L33" s="114"/>
      <c r="M33" s="114"/>
    </row>
    <row r="34" spans="2:13" ht="15" x14ac:dyDescent="0.2">
      <c r="B34" s="20" t="s">
        <v>34</v>
      </c>
      <c r="C34" s="1" t="s">
        <v>95</v>
      </c>
      <c r="D34" s="12">
        <f>-G13</f>
        <v>-719899</v>
      </c>
      <c r="E34" s="12">
        <f>D68</f>
        <v>479932</v>
      </c>
      <c r="F34" s="1"/>
      <c r="G34" s="12">
        <f t="shared" ref="G34:G38" si="4">D34+E34</f>
        <v>-239967</v>
      </c>
      <c r="I34" s="115"/>
      <c r="J34" s="115"/>
      <c r="K34" s="116" t="s">
        <v>0</v>
      </c>
      <c r="L34" s="115"/>
      <c r="M34" s="115"/>
    </row>
    <row r="35" spans="2:13" ht="15" x14ac:dyDescent="0.2">
      <c r="B35" s="27" t="s">
        <v>35</v>
      </c>
      <c r="C35" s="3" t="s">
        <v>83</v>
      </c>
      <c r="D35" s="17">
        <f>-G14</f>
        <v>-98938.109999999753</v>
      </c>
      <c r="E35" s="17">
        <v>0</v>
      </c>
      <c r="F35" s="3"/>
      <c r="G35" s="17">
        <f t="shared" si="4"/>
        <v>-98938.109999999753</v>
      </c>
      <c r="I35" s="117"/>
      <c r="J35" s="118" t="s">
        <v>1</v>
      </c>
      <c r="K35" s="118" t="s">
        <v>2</v>
      </c>
      <c r="L35" s="117"/>
      <c r="M35" s="117"/>
    </row>
    <row r="36" spans="2:13" ht="15" x14ac:dyDescent="0.2">
      <c r="B36" s="27" t="s">
        <v>84</v>
      </c>
      <c r="C36" s="3" t="s">
        <v>89</v>
      </c>
      <c r="D36" s="17">
        <f>-G15</f>
        <v>-1463542.0900000003</v>
      </c>
      <c r="E36" s="17">
        <v>0</v>
      </c>
      <c r="F36" s="3"/>
      <c r="G36" s="17">
        <f t="shared" si="4"/>
        <v>-1463542.0900000003</v>
      </c>
      <c r="I36" s="117"/>
      <c r="J36" s="118" t="s">
        <v>3</v>
      </c>
      <c r="K36" s="118" t="s">
        <v>4</v>
      </c>
      <c r="L36" s="118" t="s">
        <v>5</v>
      </c>
      <c r="M36" s="118" t="s">
        <v>6</v>
      </c>
    </row>
    <row r="37" spans="2:13" ht="15" x14ac:dyDescent="0.2">
      <c r="B37" s="27" t="s">
        <v>90</v>
      </c>
      <c r="C37" s="3" t="s">
        <v>96</v>
      </c>
      <c r="D37" s="17">
        <f>-G16</f>
        <v>-189267.58999999939</v>
      </c>
      <c r="E37" s="17">
        <v>0</v>
      </c>
      <c r="F37" s="3"/>
      <c r="G37" s="17">
        <f t="shared" si="4"/>
        <v>-189267.58999999939</v>
      </c>
      <c r="I37" s="119"/>
      <c r="J37" s="119" t="s">
        <v>7</v>
      </c>
      <c r="K37" s="119" t="s">
        <v>7</v>
      </c>
      <c r="L37" s="119" t="s">
        <v>8</v>
      </c>
      <c r="M37" s="119" t="s">
        <v>8</v>
      </c>
    </row>
    <row r="38" spans="2:13" ht="15" x14ac:dyDescent="0.2">
      <c r="B38" s="27" t="s">
        <v>97</v>
      </c>
      <c r="C38" s="28" t="s">
        <v>102</v>
      </c>
      <c r="D38" s="19">
        <f>-G17</f>
        <v>184226.28999999957</v>
      </c>
      <c r="E38" s="19">
        <v>0</v>
      </c>
      <c r="F38" s="28"/>
      <c r="G38" s="19">
        <f t="shared" si="4"/>
        <v>184226.28999999957</v>
      </c>
      <c r="I38" s="120" t="s">
        <v>10</v>
      </c>
      <c r="J38" s="121" t="s">
        <v>48</v>
      </c>
      <c r="K38" s="121" t="s">
        <v>11</v>
      </c>
      <c r="L38" s="121" t="s">
        <v>12</v>
      </c>
      <c r="M38" s="121" t="s">
        <v>13</v>
      </c>
    </row>
    <row r="39" spans="2:13" ht="15" x14ac:dyDescent="0.2">
      <c r="B39" s="5" t="s">
        <v>103</v>
      </c>
      <c r="C39" s="29"/>
      <c r="D39" s="30"/>
      <c r="E39" s="30"/>
      <c r="F39" s="31" t="s">
        <v>36</v>
      </c>
      <c r="G39" s="19">
        <f>G34+G35+G36+G37+G38</f>
        <v>-1807488.5</v>
      </c>
      <c r="I39" s="13">
        <v>45292</v>
      </c>
      <c r="J39" s="143">
        <f>191495+950</f>
        <v>192445</v>
      </c>
      <c r="K39" s="125">
        <v>192445</v>
      </c>
      <c r="L39" s="126">
        <f>J39-K39</f>
        <v>0</v>
      </c>
      <c r="M39" s="126">
        <f>+L39</f>
        <v>0</v>
      </c>
    </row>
    <row r="40" spans="2:13" ht="15" x14ac:dyDescent="0.2">
      <c r="B40" s="32"/>
      <c r="G40" s="33"/>
      <c r="I40" s="15">
        <v>45323</v>
      </c>
      <c r="J40" s="143">
        <f>877+191084</f>
        <v>191961</v>
      </c>
      <c r="K40" s="130">
        <v>191961</v>
      </c>
      <c r="L40" s="131">
        <f>J40-K40</f>
        <v>0</v>
      </c>
      <c r="M40" s="131">
        <f>M39+L40</f>
        <v>0</v>
      </c>
    </row>
    <row r="41" spans="2:13" ht="15" x14ac:dyDescent="0.2">
      <c r="B41" s="6">
        <v>9</v>
      </c>
      <c r="C41" s="34" t="s">
        <v>104</v>
      </c>
      <c r="D41" s="8"/>
      <c r="E41" s="8"/>
      <c r="F41" s="9"/>
      <c r="G41" s="35">
        <f>G24+G39</f>
        <v>760499.30999999959</v>
      </c>
      <c r="I41" s="15">
        <v>45352</v>
      </c>
      <c r="J41" s="130">
        <f>620+132107</f>
        <v>132727</v>
      </c>
      <c r="K41" s="130">
        <v>132727</v>
      </c>
      <c r="L41" s="131">
        <f t="shared" ref="L41:L44" si="5">J41-K41</f>
        <v>0</v>
      </c>
      <c r="M41" s="131">
        <f t="shared" ref="M41:M44" si="6">M40+L41</f>
        <v>0</v>
      </c>
    </row>
    <row r="42" spans="2:13" ht="15" x14ac:dyDescent="0.2">
      <c r="B42" s="32"/>
      <c r="G42" s="33"/>
      <c r="I42" s="15">
        <v>45383</v>
      </c>
      <c r="J42" s="130">
        <f>845+139845</f>
        <v>140690</v>
      </c>
      <c r="K42" s="130">
        <v>140690</v>
      </c>
      <c r="L42" s="131">
        <f t="shared" si="5"/>
        <v>0</v>
      </c>
      <c r="M42" s="131">
        <f t="shared" si="6"/>
        <v>0</v>
      </c>
    </row>
    <row r="43" spans="2:13" ht="15" x14ac:dyDescent="0.2">
      <c r="B43" s="6">
        <v>10</v>
      </c>
      <c r="C43" s="34" t="s">
        <v>78</v>
      </c>
      <c r="D43" s="8"/>
      <c r="E43" s="8"/>
      <c r="F43" s="9"/>
      <c r="G43" s="35">
        <f>G41/6</f>
        <v>126749.88499999994</v>
      </c>
      <c r="I43" s="15">
        <v>45413</v>
      </c>
      <c r="J43" s="130">
        <f>1019+218778</f>
        <v>219797</v>
      </c>
      <c r="K43" s="132">
        <v>219797</v>
      </c>
      <c r="L43" s="131">
        <f t="shared" si="5"/>
        <v>0</v>
      </c>
      <c r="M43" s="131">
        <f t="shared" si="6"/>
        <v>0</v>
      </c>
    </row>
    <row r="44" spans="2:13" ht="15" x14ac:dyDescent="0.2">
      <c r="I44" s="15">
        <v>45444</v>
      </c>
      <c r="J44" s="134">
        <f>1235+254843</f>
        <v>256078</v>
      </c>
      <c r="K44" s="146">
        <v>256078</v>
      </c>
      <c r="L44" s="135">
        <f t="shared" si="5"/>
        <v>0</v>
      </c>
      <c r="M44" s="135">
        <f t="shared" si="6"/>
        <v>0</v>
      </c>
    </row>
    <row r="45" spans="2:13" ht="15" x14ac:dyDescent="0.2">
      <c r="B45" s="1"/>
      <c r="C45" s="36" t="s">
        <v>37</v>
      </c>
      <c r="D45" s="37"/>
      <c r="E45" s="37"/>
      <c r="F45" s="37"/>
      <c r="G45" s="38"/>
      <c r="I45" s="13">
        <v>45474</v>
      </c>
      <c r="J45" s="125">
        <f>1129+239251</f>
        <v>240380</v>
      </c>
      <c r="K45" s="125">
        <v>240380</v>
      </c>
      <c r="L45" s="131">
        <f>J45-K45</f>
        <v>0</v>
      </c>
      <c r="M45" s="131">
        <f>M44+L45</f>
        <v>0</v>
      </c>
    </row>
    <row r="46" spans="2:13" ht="15" x14ac:dyDescent="0.2">
      <c r="B46" s="1"/>
      <c r="C46" s="39"/>
      <c r="D46" s="39"/>
      <c r="E46" s="39"/>
      <c r="F46" s="39"/>
      <c r="G46" s="11"/>
      <c r="I46" s="22">
        <v>45505</v>
      </c>
      <c r="J46" s="134">
        <f>1002+220642</f>
        <v>221644</v>
      </c>
      <c r="K46" s="134">
        <v>221644</v>
      </c>
      <c r="L46" s="135">
        <f>J46-K46</f>
        <v>0</v>
      </c>
      <c r="M46" s="135">
        <f>M45+L46</f>
        <v>0</v>
      </c>
    </row>
    <row r="47" spans="2:13" ht="15" x14ac:dyDescent="0.2">
      <c r="B47" s="4">
        <v>11</v>
      </c>
      <c r="C47" t="s">
        <v>38</v>
      </c>
      <c r="G47" s="41">
        <f>G18</f>
        <v>2287420.5</v>
      </c>
      <c r="I47" s="114"/>
      <c r="J47" s="114"/>
      <c r="K47" s="114"/>
      <c r="L47" s="114"/>
      <c r="M47" s="114"/>
    </row>
    <row r="48" spans="2:13" ht="15" x14ac:dyDescent="0.2">
      <c r="B48" s="4">
        <v>12</v>
      </c>
      <c r="C48" t="s">
        <v>39</v>
      </c>
      <c r="G48" s="42">
        <f>G39</f>
        <v>-1807488.5</v>
      </c>
      <c r="I48" s="138" t="s">
        <v>49</v>
      </c>
      <c r="J48" s="139"/>
      <c r="K48" s="139"/>
      <c r="L48" s="140"/>
      <c r="M48" s="141">
        <f>M44</f>
        <v>0</v>
      </c>
    </row>
    <row r="49" spans="2:13" ht="15" x14ac:dyDescent="0.2">
      <c r="B49" s="4"/>
      <c r="G49" s="41"/>
      <c r="I49" s="114"/>
      <c r="J49" s="114"/>
      <c r="K49" s="114"/>
      <c r="L49" s="114"/>
      <c r="M49" s="142"/>
    </row>
    <row r="50" spans="2:13" ht="15.75" thickBot="1" x14ac:dyDescent="0.25">
      <c r="B50" s="4">
        <v>13</v>
      </c>
      <c r="C50" t="s">
        <v>40</v>
      </c>
      <c r="G50" s="43">
        <f>G47+G48</f>
        <v>479932</v>
      </c>
      <c r="I50" s="138" t="s">
        <v>50</v>
      </c>
      <c r="J50" s="139"/>
      <c r="K50" s="139"/>
      <c r="L50" s="140"/>
      <c r="M50" s="141">
        <f>M48/6</f>
        <v>0</v>
      </c>
    </row>
    <row r="51" spans="2:13" ht="15" thickTop="1" x14ac:dyDescent="0.2">
      <c r="B51" s="4"/>
      <c r="G51" s="41"/>
    </row>
    <row r="52" spans="2:13" x14ac:dyDescent="0.2">
      <c r="B52" s="4">
        <v>14</v>
      </c>
      <c r="C52" t="s">
        <v>41</v>
      </c>
      <c r="G52" s="41">
        <f>G41</f>
        <v>760499.30999999959</v>
      </c>
    </row>
    <row r="53" spans="2:13" x14ac:dyDescent="0.2">
      <c r="B53" s="4"/>
      <c r="G53" s="41"/>
    </row>
    <row r="54" spans="2:13" x14ac:dyDescent="0.2">
      <c r="B54" s="4">
        <v>15</v>
      </c>
      <c r="C54" t="s">
        <v>42</v>
      </c>
      <c r="G54" s="42">
        <f>SUM(F19:F24)</f>
        <v>280567.30999999982</v>
      </c>
    </row>
    <row r="55" spans="2:13" x14ac:dyDescent="0.2">
      <c r="B55" s="4"/>
      <c r="G55" s="41"/>
    </row>
    <row r="56" spans="2:13" ht="15" thickBot="1" x14ac:dyDescent="0.25">
      <c r="B56" s="4">
        <v>16</v>
      </c>
      <c r="C56" t="s">
        <v>43</v>
      </c>
      <c r="G56" s="43">
        <f>G52-G54</f>
        <v>479931.99999999977</v>
      </c>
    </row>
    <row r="57" spans="2:13" ht="15" thickTop="1" x14ac:dyDescent="0.2">
      <c r="B57" s="28"/>
      <c r="C57" s="44"/>
      <c r="D57" s="44"/>
      <c r="E57" s="44"/>
      <c r="F57" s="44"/>
      <c r="G57" s="45"/>
    </row>
    <row r="59" spans="2:13" x14ac:dyDescent="0.2">
      <c r="B59" t="s">
        <v>44</v>
      </c>
    </row>
    <row r="60" spans="2:13" x14ac:dyDescent="0.2">
      <c r="B60" s="32"/>
      <c r="C60" s="1"/>
      <c r="D60" s="2" t="s">
        <v>45</v>
      </c>
      <c r="E60" s="27"/>
      <c r="F60" s="32"/>
      <c r="G60" s="32"/>
    </row>
    <row r="61" spans="2:13" x14ac:dyDescent="0.2">
      <c r="B61" s="32"/>
      <c r="C61" s="5" t="s">
        <v>10</v>
      </c>
      <c r="D61" s="5" t="s">
        <v>79</v>
      </c>
      <c r="E61" s="27"/>
      <c r="F61" s="32"/>
      <c r="G61" s="32"/>
    </row>
    <row r="62" spans="2:13" x14ac:dyDescent="0.2">
      <c r="C62" s="13">
        <v>45292</v>
      </c>
      <c r="D62" s="12">
        <v>0</v>
      </c>
      <c r="E62" s="16"/>
      <c r="F62" s="33"/>
      <c r="G62" s="33"/>
    </row>
    <row r="63" spans="2:13" x14ac:dyDescent="0.2">
      <c r="C63" s="15">
        <v>45323</v>
      </c>
      <c r="D63" s="17">
        <v>0</v>
      </c>
      <c r="E63" s="16"/>
      <c r="F63" s="33"/>
      <c r="G63" s="33"/>
    </row>
    <row r="64" spans="2:13" x14ac:dyDescent="0.2">
      <c r="C64" s="15">
        <v>45352</v>
      </c>
      <c r="D64" s="17">
        <v>119983</v>
      </c>
      <c r="E64" s="16"/>
      <c r="F64" s="33"/>
      <c r="G64" s="33"/>
    </row>
    <row r="65" spans="3:7" x14ac:dyDescent="0.2">
      <c r="C65" s="15">
        <v>45383</v>
      </c>
      <c r="D65" s="17">
        <v>119983</v>
      </c>
      <c r="E65" s="16"/>
      <c r="F65" s="33"/>
      <c r="G65" s="33"/>
    </row>
    <row r="66" spans="3:7" x14ac:dyDescent="0.2">
      <c r="C66" s="15">
        <v>45413</v>
      </c>
      <c r="D66" s="17">
        <v>119983</v>
      </c>
      <c r="E66" s="16"/>
      <c r="F66" s="33"/>
      <c r="G66" s="33"/>
    </row>
    <row r="67" spans="3:7" x14ac:dyDescent="0.2">
      <c r="C67" s="15">
        <v>45444</v>
      </c>
      <c r="D67" s="19">
        <v>119983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479932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3FDA-2649-439E-B18A-AC8CEBD97CF1}">
  <dimension ref="A1:M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6" bestFit="1" customWidth="1"/>
    <col min="12" max="13" width="14.625" bestFit="1" customWidth="1"/>
  </cols>
  <sheetData>
    <row r="1" spans="1:13" x14ac:dyDescent="0.2">
      <c r="A1" t="str">
        <f>'Current 05-31-25'!$A$1</f>
        <v>Staff DR1 Response 2 - Owen Surcharge Summary.xlsx</v>
      </c>
    </row>
    <row r="4" spans="1:13" ht="14.25" customHeight="1" x14ac:dyDescent="0.2">
      <c r="B4" s="108" t="s">
        <v>51</v>
      </c>
      <c r="C4" s="109"/>
      <c r="D4" s="109"/>
      <c r="E4" s="109"/>
      <c r="F4" s="109"/>
      <c r="G4" s="110"/>
      <c r="I4" s="97" t="s">
        <v>52</v>
      </c>
      <c r="J4" s="98"/>
      <c r="K4" s="98"/>
      <c r="L4" s="98"/>
      <c r="M4" s="99"/>
    </row>
    <row r="5" spans="1:13" ht="14.25" customHeight="1" x14ac:dyDescent="0.2">
      <c r="B5" s="111"/>
      <c r="C5" s="112"/>
      <c r="D5" s="112"/>
      <c r="E5" s="112"/>
      <c r="F5" s="112"/>
      <c r="G5" s="113"/>
      <c r="I5" s="100"/>
      <c r="J5" s="101"/>
      <c r="K5" s="101"/>
      <c r="L5" s="101"/>
      <c r="M5" s="102"/>
    </row>
    <row r="6" spans="1:13" ht="15" x14ac:dyDescent="0.2">
      <c r="I6" s="114"/>
      <c r="J6" s="114"/>
      <c r="K6" s="114"/>
      <c r="L6" s="114"/>
      <c r="M6" s="114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4" t="s">
        <v>15</v>
      </c>
      <c r="D12" s="95"/>
      <c r="E12" s="95"/>
      <c r="F12" s="95"/>
      <c r="G12" s="96"/>
    </row>
    <row r="13" spans="1:13" ht="15.75" x14ac:dyDescent="0.25">
      <c r="B13" s="2" t="s">
        <v>16</v>
      </c>
      <c r="C13" s="8" t="s">
        <v>75</v>
      </c>
      <c r="D13" s="8"/>
      <c r="E13" s="8"/>
      <c r="F13" s="9"/>
      <c r="G13" s="35">
        <v>239967</v>
      </c>
      <c r="I13" s="53" t="s">
        <v>53</v>
      </c>
      <c r="J13" s="114"/>
      <c r="K13" s="114"/>
      <c r="L13" s="114"/>
      <c r="M13" s="114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44">
        <f>'A - 05-31-22'!G33</f>
        <v>98938.109999999753</v>
      </c>
      <c r="I14" s="114"/>
      <c r="J14" s="114"/>
      <c r="K14" s="114"/>
      <c r="L14" s="114"/>
      <c r="M14" s="114"/>
    </row>
    <row r="15" spans="1:13" ht="15" x14ac:dyDescent="0.2">
      <c r="B15" s="4" t="s">
        <v>81</v>
      </c>
      <c r="C15" s="8" t="s">
        <v>86</v>
      </c>
      <c r="D15" s="8"/>
      <c r="E15" s="8"/>
      <c r="F15" s="9"/>
      <c r="G15" s="144">
        <f>'B - 11-30-22'!G35</f>
        <v>1463542.0900000003</v>
      </c>
      <c r="I15" s="115"/>
      <c r="J15" s="115"/>
      <c r="K15" s="116" t="s">
        <v>0</v>
      </c>
      <c r="L15" s="115"/>
      <c r="M15" s="115"/>
    </row>
    <row r="16" spans="1:13" ht="15" x14ac:dyDescent="0.2">
      <c r="B16" s="4" t="s">
        <v>87</v>
      </c>
      <c r="C16" s="8" t="s">
        <v>92</v>
      </c>
      <c r="D16" s="8"/>
      <c r="E16" s="8"/>
      <c r="F16" s="11"/>
      <c r="G16" s="122">
        <f>'C - 05-31-23'!G37</f>
        <v>189267.58999999939</v>
      </c>
      <c r="I16" s="117"/>
      <c r="J16" s="118" t="s">
        <v>1</v>
      </c>
      <c r="K16" s="118" t="s">
        <v>2</v>
      </c>
      <c r="L16" s="117"/>
      <c r="M16" s="117"/>
    </row>
    <row r="17" spans="2:13" ht="15" x14ac:dyDescent="0.2">
      <c r="B17" s="4" t="s">
        <v>93</v>
      </c>
      <c r="C17" s="8" t="s">
        <v>99</v>
      </c>
      <c r="D17" s="8"/>
      <c r="E17" s="8"/>
      <c r="F17" s="11"/>
      <c r="G17" s="122">
        <f>'D - 11-30-23'!G39</f>
        <v>-184226.28999999957</v>
      </c>
      <c r="I17" s="117"/>
      <c r="J17" s="118" t="s">
        <v>3</v>
      </c>
      <c r="K17" s="118" t="s">
        <v>4</v>
      </c>
      <c r="L17" s="118" t="s">
        <v>5</v>
      </c>
      <c r="M17" s="118" t="s">
        <v>6</v>
      </c>
    </row>
    <row r="18" spans="2:13" ht="15" x14ac:dyDescent="0.2">
      <c r="B18" s="4" t="s">
        <v>100</v>
      </c>
      <c r="C18" s="8" t="s">
        <v>105</v>
      </c>
      <c r="D18" s="8"/>
      <c r="E18" s="8"/>
      <c r="F18" s="11"/>
      <c r="G18" s="122">
        <f>'E - 05-31-24'!G41</f>
        <v>760499.30999999959</v>
      </c>
      <c r="I18" s="119"/>
      <c r="J18" s="119" t="s">
        <v>7</v>
      </c>
      <c r="K18" s="119" t="s">
        <v>7</v>
      </c>
      <c r="L18" s="119" t="s">
        <v>8</v>
      </c>
      <c r="M18" s="119" t="s">
        <v>8</v>
      </c>
    </row>
    <row r="19" spans="2:13" ht="15" x14ac:dyDescent="0.2">
      <c r="B19" s="5" t="s">
        <v>106</v>
      </c>
      <c r="C19" s="8" t="s">
        <v>18</v>
      </c>
      <c r="D19" s="8"/>
      <c r="E19" s="8"/>
      <c r="F19" s="11"/>
      <c r="G19" s="12">
        <f>G13+G14+G15+G16+G17+G18</f>
        <v>2567987.8099999996</v>
      </c>
      <c r="I19" s="120" t="s">
        <v>10</v>
      </c>
      <c r="J19" s="121" t="s">
        <v>48</v>
      </c>
      <c r="K19" s="121" t="s">
        <v>11</v>
      </c>
      <c r="L19" s="121" t="s">
        <v>12</v>
      </c>
      <c r="M19" s="121" t="s">
        <v>13</v>
      </c>
    </row>
    <row r="20" spans="2:13" ht="15" x14ac:dyDescent="0.2">
      <c r="B20" s="4">
        <v>2</v>
      </c>
      <c r="C20" s="13">
        <v>45474</v>
      </c>
      <c r="D20" s="122">
        <f>1466840-0-1129</f>
        <v>1465711</v>
      </c>
      <c r="E20" s="123">
        <f>1619191.83+8847.92+315050.53+94986.08+428.26+35543.07</f>
        <v>2074047.6900000002</v>
      </c>
      <c r="F20" s="14">
        <f t="shared" ref="F20:F27" si="0">D20-E20</f>
        <v>-608336.69000000018</v>
      </c>
      <c r="G20" s="12">
        <f t="shared" ref="G20:G27" si="1">G19+F20</f>
        <v>1959651.1199999994</v>
      </c>
      <c r="I20" s="13">
        <v>45474</v>
      </c>
      <c r="J20" s="125">
        <v>1159487</v>
      </c>
      <c r="K20" s="125">
        <v>1159487</v>
      </c>
      <c r="L20" s="126">
        <f t="shared" ref="L20:L27" si="2">J20-K20</f>
        <v>0</v>
      </c>
      <c r="M20" s="126">
        <f>L20</f>
        <v>0</v>
      </c>
    </row>
    <row r="21" spans="2:13" ht="15" x14ac:dyDescent="0.2">
      <c r="B21" s="4">
        <v>3</v>
      </c>
      <c r="C21" s="15">
        <v>45505</v>
      </c>
      <c r="D21" s="127">
        <f>1330171-0-1002</f>
        <v>1329169</v>
      </c>
      <c r="E21" s="128">
        <f>1250451.12+7066.95+257085.48+86994.63+368.77+30084.13</f>
        <v>1632051.08</v>
      </c>
      <c r="F21" s="16">
        <f t="shared" si="0"/>
        <v>-302882.08000000007</v>
      </c>
      <c r="G21" s="17">
        <f t="shared" si="1"/>
        <v>1656769.0399999993</v>
      </c>
      <c r="I21" s="15">
        <v>45505</v>
      </c>
      <c r="J21" s="130">
        <v>1132484</v>
      </c>
      <c r="K21" s="130">
        <v>1132484</v>
      </c>
      <c r="L21" s="131">
        <f t="shared" si="2"/>
        <v>0</v>
      </c>
      <c r="M21" s="131">
        <f>M20+L21</f>
        <v>0</v>
      </c>
    </row>
    <row r="22" spans="2:13" ht="15" x14ac:dyDescent="0.2">
      <c r="B22" s="4">
        <v>4</v>
      </c>
      <c r="C22" s="15">
        <v>45536</v>
      </c>
      <c r="D22" s="127">
        <f>1308627-0-1029</f>
        <v>1307598</v>
      </c>
      <c r="E22" s="128">
        <f>950091.43+5780.39+195305.55+28320.88+349.18+27588.87</f>
        <v>1207436.3</v>
      </c>
      <c r="F22" s="16">
        <f t="shared" si="0"/>
        <v>100161.69999999995</v>
      </c>
      <c r="G22" s="17">
        <f t="shared" si="1"/>
        <v>1756930.7399999993</v>
      </c>
      <c r="I22" s="15">
        <v>45536</v>
      </c>
      <c r="J22" s="130">
        <f>1016270</f>
        <v>1016270</v>
      </c>
      <c r="K22" s="130">
        <v>1016270</v>
      </c>
      <c r="L22" s="131">
        <f t="shared" si="2"/>
        <v>0</v>
      </c>
      <c r="M22" s="131">
        <f t="shared" ref="M22:M25" si="3">M21+L22</f>
        <v>0</v>
      </c>
    </row>
    <row r="23" spans="2:13" ht="15" x14ac:dyDescent="0.2">
      <c r="B23" s="4">
        <v>5</v>
      </c>
      <c r="C23" s="15">
        <v>45566</v>
      </c>
      <c r="D23" s="127">
        <f>960312-1916-1030</f>
        <v>957366</v>
      </c>
      <c r="E23" s="128">
        <f>882957.24+6156.32+214839.48+102686.13+429.43+30325.71</f>
        <v>1237394.3099999998</v>
      </c>
      <c r="F23" s="16">
        <f t="shared" si="0"/>
        <v>-280028.30999999982</v>
      </c>
      <c r="G23" s="17">
        <f t="shared" si="1"/>
        <v>1476902.4299999995</v>
      </c>
      <c r="I23" s="15">
        <v>45566</v>
      </c>
      <c r="J23" s="130">
        <v>1098856</v>
      </c>
      <c r="K23" s="130">
        <v>1098856</v>
      </c>
      <c r="L23" s="131">
        <f t="shared" si="2"/>
        <v>0</v>
      </c>
      <c r="M23" s="131">
        <f t="shared" si="3"/>
        <v>0</v>
      </c>
    </row>
    <row r="24" spans="2:13" ht="15" x14ac:dyDescent="0.2">
      <c r="B24" s="4">
        <v>6</v>
      </c>
      <c r="C24" s="15">
        <v>45597</v>
      </c>
      <c r="D24" s="127">
        <f>1077435-2018-1094</f>
        <v>1074323</v>
      </c>
      <c r="E24" s="128">
        <f>805221.56+6278.38+207559.83+62681.32+484.62+27587.8</f>
        <v>1109813.5100000002</v>
      </c>
      <c r="F24" s="16">
        <f t="shared" si="0"/>
        <v>-35490.510000000242</v>
      </c>
      <c r="G24" s="17">
        <f t="shared" si="1"/>
        <v>1441411.9199999992</v>
      </c>
      <c r="I24" s="15">
        <v>45597</v>
      </c>
      <c r="J24" s="130">
        <v>1154076</v>
      </c>
      <c r="K24" s="132">
        <v>1154076</v>
      </c>
      <c r="L24" s="131">
        <f t="shared" si="2"/>
        <v>0</v>
      </c>
      <c r="M24" s="131">
        <f t="shared" si="3"/>
        <v>0</v>
      </c>
    </row>
    <row r="25" spans="2:13" ht="15" x14ac:dyDescent="0.2">
      <c r="B25" s="4">
        <v>7</v>
      </c>
      <c r="C25" s="15">
        <v>45627</v>
      </c>
      <c r="D25" s="127">
        <f>1651777-2386-1297</f>
        <v>1648094</v>
      </c>
      <c r="E25" s="128">
        <f>1100526.03+6773.53+192658.49+20365.08+529.18+27648.39</f>
        <v>1348500.7</v>
      </c>
      <c r="F25" s="18">
        <f t="shared" si="0"/>
        <v>299593.30000000005</v>
      </c>
      <c r="G25" s="19">
        <f t="shared" si="1"/>
        <v>1741005.2199999993</v>
      </c>
      <c r="I25" s="15">
        <v>45627</v>
      </c>
      <c r="J25" s="134">
        <f>1290386</f>
        <v>1290386</v>
      </c>
      <c r="K25" s="146">
        <v>1290386</v>
      </c>
      <c r="L25" s="135">
        <f t="shared" si="2"/>
        <v>0</v>
      </c>
      <c r="M25" s="135">
        <f t="shared" si="3"/>
        <v>0</v>
      </c>
    </row>
    <row r="26" spans="2:13" ht="15" x14ac:dyDescent="0.2">
      <c r="B26" s="20" t="s">
        <v>19</v>
      </c>
      <c r="C26" s="13">
        <v>45658</v>
      </c>
      <c r="D26" s="122">
        <f>2055526-1184-2176</f>
        <v>2052166</v>
      </c>
      <c r="E26" s="123">
        <f>1769024.98+8827.34+268702.24+76440.82+694.33+43158.88</f>
        <v>2166848.59</v>
      </c>
      <c r="F26" s="14">
        <f t="shared" si="0"/>
        <v>-114682.58999999985</v>
      </c>
      <c r="G26" s="12">
        <f t="shared" si="1"/>
        <v>1626322.6299999994</v>
      </c>
      <c r="I26" s="13">
        <v>45658</v>
      </c>
      <c r="J26" s="125">
        <v>1102426</v>
      </c>
      <c r="K26" s="125">
        <v>1102426</v>
      </c>
      <c r="L26" s="131">
        <f t="shared" si="2"/>
        <v>0</v>
      </c>
      <c r="M26" s="131">
        <f>M25+L26</f>
        <v>0</v>
      </c>
    </row>
    <row r="27" spans="2:13" ht="15" x14ac:dyDescent="0.2">
      <c r="B27" s="21" t="s">
        <v>20</v>
      </c>
      <c r="C27" s="22">
        <v>45689</v>
      </c>
      <c r="D27" s="136">
        <f>1468673-1642</f>
        <v>1467031</v>
      </c>
      <c r="E27" s="137">
        <f>1346111.26+6596+212830.85+80292.59+468.83+38838.09</f>
        <v>1685137.6200000003</v>
      </c>
      <c r="F27" s="18">
        <f t="shared" si="0"/>
        <v>-218106.62000000034</v>
      </c>
      <c r="G27" s="19">
        <f t="shared" si="1"/>
        <v>1408216.0099999991</v>
      </c>
      <c r="I27" s="22">
        <v>45689</v>
      </c>
      <c r="J27" s="134">
        <f>1139213</f>
        <v>1139213</v>
      </c>
      <c r="K27" s="134">
        <v>1139213</v>
      </c>
      <c r="L27" s="135">
        <f t="shared" si="2"/>
        <v>0</v>
      </c>
      <c r="M27" s="135">
        <f>M26+L27</f>
        <v>0</v>
      </c>
    </row>
    <row r="28" spans="2:13" ht="15" x14ac:dyDescent="0.2">
      <c r="B28" s="5"/>
      <c r="C28" s="23" t="s">
        <v>107</v>
      </c>
      <c r="D28" s="24"/>
      <c r="E28" s="24"/>
      <c r="F28" s="24"/>
      <c r="G28" s="25"/>
      <c r="I28" s="114"/>
      <c r="J28" s="114"/>
      <c r="K28" s="114"/>
      <c r="L28" s="114"/>
      <c r="M28" s="114"/>
    </row>
    <row r="29" spans="2:13" ht="15" x14ac:dyDescent="0.2">
      <c r="B29" s="2"/>
      <c r="C29" s="1"/>
      <c r="D29" s="1"/>
      <c r="E29" s="1"/>
      <c r="F29" s="1"/>
      <c r="G29" s="12"/>
      <c r="I29" s="138" t="s">
        <v>49</v>
      </c>
      <c r="J29" s="139"/>
      <c r="K29" s="139"/>
      <c r="L29" s="140"/>
      <c r="M29" s="141">
        <f>M25</f>
        <v>0</v>
      </c>
    </row>
    <row r="30" spans="2:13" ht="15" x14ac:dyDescent="0.2">
      <c r="B30" s="4"/>
      <c r="C30" s="3"/>
      <c r="D30" s="4" t="s">
        <v>21</v>
      </c>
      <c r="E30" s="4" t="s">
        <v>22</v>
      </c>
      <c r="F30" s="3"/>
      <c r="G30" s="17"/>
      <c r="I30" s="114"/>
      <c r="J30" s="114"/>
      <c r="K30" s="114"/>
      <c r="L30" s="114"/>
      <c r="M30" s="142"/>
    </row>
    <row r="31" spans="2:13" ht="15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138" t="s">
        <v>50</v>
      </c>
      <c r="J31" s="139"/>
      <c r="K31" s="139"/>
      <c r="L31" s="140"/>
      <c r="M31" s="141">
        <f>M29/6</f>
        <v>0</v>
      </c>
    </row>
    <row r="32" spans="2:13" ht="15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  <c r="I32" s="114"/>
      <c r="J32" s="114"/>
      <c r="K32" s="114"/>
      <c r="L32" s="114"/>
      <c r="M32" s="114"/>
    </row>
    <row r="33" spans="2:13" ht="15.75" x14ac:dyDescent="0.25">
      <c r="B33" s="4"/>
      <c r="C33" s="3"/>
      <c r="D33" s="4" t="s">
        <v>28</v>
      </c>
      <c r="E33" s="4" t="s">
        <v>29</v>
      </c>
      <c r="F33" s="3"/>
      <c r="G33" s="26" t="s">
        <v>30</v>
      </c>
      <c r="I33" s="53" t="s">
        <v>54</v>
      </c>
      <c r="J33" s="114"/>
      <c r="K33" s="114"/>
      <c r="L33" s="114"/>
      <c r="M33" s="114"/>
    </row>
    <row r="34" spans="2:13" ht="15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  <c r="I34" s="114"/>
      <c r="J34" s="114"/>
      <c r="K34" s="114"/>
      <c r="L34" s="114"/>
      <c r="M34" s="114"/>
    </row>
    <row r="35" spans="2:13" ht="15" x14ac:dyDescent="0.2">
      <c r="B35" s="20" t="s">
        <v>34</v>
      </c>
      <c r="C35" s="1" t="s">
        <v>95</v>
      </c>
      <c r="D35" s="12">
        <f t="shared" ref="D35:D40" si="4">-G13</f>
        <v>-239967</v>
      </c>
      <c r="E35" s="12">
        <f>D70</f>
        <v>239967</v>
      </c>
      <c r="F35" s="1"/>
      <c r="G35" s="12">
        <f t="shared" ref="G35:G40" si="5">D35+E35</f>
        <v>0</v>
      </c>
      <c r="I35" s="115"/>
      <c r="J35" s="115"/>
      <c r="K35" s="116" t="s">
        <v>0</v>
      </c>
      <c r="L35" s="115"/>
      <c r="M35" s="115"/>
    </row>
    <row r="36" spans="2:13" ht="15" x14ac:dyDescent="0.2">
      <c r="B36" s="27" t="s">
        <v>35</v>
      </c>
      <c r="C36" s="3" t="s">
        <v>83</v>
      </c>
      <c r="D36" s="17">
        <f t="shared" si="4"/>
        <v>-98938.109999999753</v>
      </c>
      <c r="E36" s="17">
        <v>0</v>
      </c>
      <c r="F36" s="3"/>
      <c r="G36" s="17">
        <f t="shared" si="5"/>
        <v>-98938.109999999753</v>
      </c>
      <c r="I36" s="117"/>
      <c r="J36" s="118" t="s">
        <v>1</v>
      </c>
      <c r="K36" s="118" t="s">
        <v>2</v>
      </c>
      <c r="L36" s="117"/>
      <c r="M36" s="117"/>
    </row>
    <row r="37" spans="2:13" ht="15" x14ac:dyDescent="0.2">
      <c r="B37" s="27" t="s">
        <v>84</v>
      </c>
      <c r="C37" s="3" t="s">
        <v>89</v>
      </c>
      <c r="D37" s="17">
        <f t="shared" si="4"/>
        <v>-1463542.0900000003</v>
      </c>
      <c r="E37" s="17">
        <v>0</v>
      </c>
      <c r="F37" s="3"/>
      <c r="G37" s="17">
        <f t="shared" si="5"/>
        <v>-1463542.0900000003</v>
      </c>
      <c r="I37" s="117"/>
      <c r="J37" s="118" t="s">
        <v>3</v>
      </c>
      <c r="K37" s="118" t="s">
        <v>4</v>
      </c>
      <c r="L37" s="118" t="s">
        <v>5</v>
      </c>
      <c r="M37" s="118" t="s">
        <v>6</v>
      </c>
    </row>
    <row r="38" spans="2:13" ht="15" x14ac:dyDescent="0.2">
      <c r="B38" s="27" t="s">
        <v>90</v>
      </c>
      <c r="C38" s="3" t="s">
        <v>96</v>
      </c>
      <c r="D38" s="17">
        <f t="shared" si="4"/>
        <v>-189267.58999999939</v>
      </c>
      <c r="E38" s="17">
        <v>0</v>
      </c>
      <c r="F38" s="3"/>
      <c r="G38" s="17">
        <f t="shared" si="5"/>
        <v>-189267.58999999939</v>
      </c>
      <c r="I38" s="119"/>
      <c r="J38" s="119" t="s">
        <v>7</v>
      </c>
      <c r="K38" s="119" t="s">
        <v>7</v>
      </c>
      <c r="L38" s="119" t="s">
        <v>8</v>
      </c>
      <c r="M38" s="119" t="s">
        <v>8</v>
      </c>
    </row>
    <row r="39" spans="2:13" ht="15" x14ac:dyDescent="0.2">
      <c r="B39" s="27" t="s">
        <v>97</v>
      </c>
      <c r="C39" s="3" t="s">
        <v>102</v>
      </c>
      <c r="D39" s="17">
        <f t="shared" si="4"/>
        <v>184226.28999999957</v>
      </c>
      <c r="E39" s="17">
        <v>0</v>
      </c>
      <c r="F39" s="3"/>
      <c r="G39" s="17">
        <f t="shared" si="5"/>
        <v>184226.28999999957</v>
      </c>
      <c r="I39" s="120" t="s">
        <v>10</v>
      </c>
      <c r="J39" s="121" t="s">
        <v>48</v>
      </c>
      <c r="K39" s="121" t="s">
        <v>11</v>
      </c>
      <c r="L39" s="121" t="s">
        <v>12</v>
      </c>
      <c r="M39" s="121" t="s">
        <v>13</v>
      </c>
    </row>
    <row r="40" spans="2:13" ht="15" x14ac:dyDescent="0.2">
      <c r="B40" s="27" t="s">
        <v>103</v>
      </c>
      <c r="C40" s="28" t="s">
        <v>108</v>
      </c>
      <c r="D40" s="19">
        <f t="shared" si="4"/>
        <v>-760499.30999999959</v>
      </c>
      <c r="E40" s="19">
        <v>0</v>
      </c>
      <c r="F40" s="28"/>
      <c r="G40" s="19">
        <f t="shared" si="5"/>
        <v>-760499.30999999959</v>
      </c>
      <c r="I40" s="13">
        <v>45474</v>
      </c>
      <c r="J40" s="143">
        <f>1129+239251</f>
        <v>240380</v>
      </c>
      <c r="K40" s="125">
        <v>240380</v>
      </c>
      <c r="L40" s="126">
        <f>J40-K40</f>
        <v>0</v>
      </c>
      <c r="M40" s="126">
        <f>+L40</f>
        <v>0</v>
      </c>
    </row>
    <row r="41" spans="2:13" ht="15" x14ac:dyDescent="0.2">
      <c r="B41" s="5" t="s">
        <v>109</v>
      </c>
      <c r="C41" s="29"/>
      <c r="D41" s="30"/>
      <c r="E41" s="30"/>
      <c r="F41" s="31" t="s">
        <v>36</v>
      </c>
      <c r="G41" s="19">
        <f>G35+G36+G37+G38+G39+G40</f>
        <v>-2328020.8099999996</v>
      </c>
      <c r="I41" s="15">
        <v>45505</v>
      </c>
      <c r="J41" s="143">
        <f>1002+220642</f>
        <v>221644</v>
      </c>
      <c r="K41" s="130">
        <v>221644</v>
      </c>
      <c r="L41" s="131">
        <f>J41-K41</f>
        <v>0</v>
      </c>
      <c r="M41" s="131">
        <f>M40+L41</f>
        <v>0</v>
      </c>
    </row>
    <row r="42" spans="2:13" ht="15" x14ac:dyDescent="0.2">
      <c r="B42" s="32"/>
      <c r="G42" s="33"/>
      <c r="I42" s="15">
        <v>45536</v>
      </c>
      <c r="J42" s="130">
        <f>1029+251168</f>
        <v>252197</v>
      </c>
      <c r="K42" s="130">
        <v>252197</v>
      </c>
      <c r="L42" s="131">
        <f t="shared" ref="L42:L45" si="6">J42-K42</f>
        <v>0</v>
      </c>
      <c r="M42" s="131">
        <f t="shared" ref="M42:M45" si="7">M41+L42</f>
        <v>0</v>
      </c>
    </row>
    <row r="43" spans="2:13" ht="15" x14ac:dyDescent="0.2">
      <c r="B43" s="6">
        <v>9</v>
      </c>
      <c r="C43" s="34" t="s">
        <v>110</v>
      </c>
      <c r="D43" s="8"/>
      <c r="E43" s="8"/>
      <c r="F43" s="9"/>
      <c r="G43" s="35">
        <f>G25+G41</f>
        <v>-587015.59000000032</v>
      </c>
      <c r="I43" s="15">
        <v>45566</v>
      </c>
      <c r="J43" s="130">
        <f>1030+211604</f>
        <v>212634</v>
      </c>
      <c r="K43" s="130">
        <v>212634</v>
      </c>
      <c r="L43" s="131">
        <f t="shared" si="6"/>
        <v>0</v>
      </c>
      <c r="M43" s="131">
        <f t="shared" si="7"/>
        <v>0</v>
      </c>
    </row>
    <row r="44" spans="2:13" ht="15" x14ac:dyDescent="0.2">
      <c r="B44" s="32"/>
      <c r="G44" s="33"/>
      <c r="I44" s="15">
        <v>45597</v>
      </c>
      <c r="J44" s="130">
        <f>1094+210651</f>
        <v>211745</v>
      </c>
      <c r="K44" s="132">
        <v>211745</v>
      </c>
      <c r="L44" s="131">
        <f t="shared" si="6"/>
        <v>0</v>
      </c>
      <c r="M44" s="131">
        <f t="shared" si="7"/>
        <v>0</v>
      </c>
    </row>
    <row r="45" spans="2:13" ht="15" x14ac:dyDescent="0.2">
      <c r="B45" s="6">
        <v>10</v>
      </c>
      <c r="C45" s="34" t="s">
        <v>78</v>
      </c>
      <c r="D45" s="8"/>
      <c r="E45" s="8"/>
      <c r="F45" s="9"/>
      <c r="G45" s="35">
        <f>G43/6</f>
        <v>-97835.931666666715</v>
      </c>
      <c r="I45" s="15">
        <v>45627</v>
      </c>
      <c r="J45" s="134">
        <f>251204+1297</f>
        <v>252501</v>
      </c>
      <c r="K45" s="146">
        <v>252501</v>
      </c>
      <c r="L45" s="135">
        <f t="shared" si="6"/>
        <v>0</v>
      </c>
      <c r="M45" s="135">
        <f t="shared" si="7"/>
        <v>0</v>
      </c>
    </row>
    <row r="46" spans="2:13" ht="15" x14ac:dyDescent="0.2">
      <c r="I46" s="13">
        <v>45658</v>
      </c>
      <c r="J46" s="125">
        <f>249025+1184</f>
        <v>250209</v>
      </c>
      <c r="K46" s="125">
        <v>250209</v>
      </c>
      <c r="L46" s="131">
        <f>J46-K46</f>
        <v>0</v>
      </c>
      <c r="M46" s="131">
        <f>M45+L46</f>
        <v>0</v>
      </c>
    </row>
    <row r="47" spans="2:13" ht="15" x14ac:dyDescent="0.2">
      <c r="B47" s="1"/>
      <c r="C47" s="36" t="s">
        <v>37</v>
      </c>
      <c r="D47" s="37"/>
      <c r="E47" s="37"/>
      <c r="F47" s="37"/>
      <c r="G47" s="38"/>
      <c r="I47" s="22">
        <v>45689</v>
      </c>
      <c r="J47" s="134">
        <f>229881+893</f>
        <v>230774</v>
      </c>
      <c r="K47" s="134">
        <f>230774</f>
        <v>230774</v>
      </c>
      <c r="L47" s="135">
        <f>J47-K47</f>
        <v>0</v>
      </c>
      <c r="M47" s="135">
        <f>M46+L47</f>
        <v>0</v>
      </c>
    </row>
    <row r="48" spans="2:13" ht="15" x14ac:dyDescent="0.2">
      <c r="B48" s="1"/>
      <c r="C48" s="39"/>
      <c r="D48" s="39"/>
      <c r="E48" s="39"/>
      <c r="F48" s="39"/>
      <c r="G48" s="11"/>
      <c r="I48" s="114"/>
      <c r="J48" s="114"/>
      <c r="K48" s="114"/>
      <c r="L48" s="114"/>
      <c r="M48" s="114"/>
    </row>
    <row r="49" spans="2:13" ht="15" x14ac:dyDescent="0.2">
      <c r="B49" s="4">
        <v>11</v>
      </c>
      <c r="C49" t="s">
        <v>38</v>
      </c>
      <c r="G49" s="41">
        <f>G19</f>
        <v>2567987.8099999996</v>
      </c>
      <c r="I49" s="138" t="s">
        <v>49</v>
      </c>
      <c r="J49" s="139"/>
      <c r="K49" s="139"/>
      <c r="L49" s="140"/>
      <c r="M49" s="141">
        <f>M45</f>
        <v>0</v>
      </c>
    </row>
    <row r="50" spans="2:13" ht="15" x14ac:dyDescent="0.2">
      <c r="B50" s="4">
        <v>12</v>
      </c>
      <c r="C50" t="s">
        <v>39</v>
      </c>
      <c r="G50" s="42">
        <f>G41</f>
        <v>-2328020.8099999996</v>
      </c>
      <c r="I50" s="114"/>
      <c r="J50" s="114"/>
      <c r="K50" s="114"/>
      <c r="L50" s="114"/>
      <c r="M50" s="142"/>
    </row>
    <row r="51" spans="2:13" ht="15" x14ac:dyDescent="0.2">
      <c r="B51" s="4"/>
      <c r="G51" s="41"/>
      <c r="I51" s="138" t="s">
        <v>50</v>
      </c>
      <c r="J51" s="139"/>
      <c r="K51" s="139"/>
      <c r="L51" s="140"/>
      <c r="M51" s="141">
        <f>M49/6</f>
        <v>0</v>
      </c>
    </row>
    <row r="52" spans="2:13" ht="15" thickBot="1" x14ac:dyDescent="0.25">
      <c r="B52" s="4">
        <v>13</v>
      </c>
      <c r="C52" t="s">
        <v>40</v>
      </c>
      <c r="G52" s="43">
        <f>G49+G50</f>
        <v>239967</v>
      </c>
    </row>
    <row r="53" spans="2:13" ht="15" thickTop="1" x14ac:dyDescent="0.2">
      <c r="B53" s="4"/>
      <c r="G53" s="41"/>
    </row>
    <row r="54" spans="2:13" x14ac:dyDescent="0.2">
      <c r="B54" s="4">
        <v>14</v>
      </c>
      <c r="C54" t="s">
        <v>41</v>
      </c>
      <c r="G54" s="41">
        <f>G43</f>
        <v>-587015.59000000032</v>
      </c>
    </row>
    <row r="55" spans="2:13" x14ac:dyDescent="0.2">
      <c r="B55" s="4"/>
      <c r="G55" s="41"/>
    </row>
    <row r="56" spans="2:13" x14ac:dyDescent="0.2">
      <c r="B56" s="4">
        <v>15</v>
      </c>
      <c r="C56" t="s">
        <v>42</v>
      </c>
      <c r="G56" s="42">
        <f>SUM(F20:F25)</f>
        <v>-826982.59000000032</v>
      </c>
    </row>
    <row r="57" spans="2:13" x14ac:dyDescent="0.2">
      <c r="B57" s="4"/>
      <c r="G57" s="41"/>
    </row>
    <row r="58" spans="2:13" ht="15" thickBot="1" x14ac:dyDescent="0.25">
      <c r="B58" s="4">
        <v>16</v>
      </c>
      <c r="C58" t="s">
        <v>43</v>
      </c>
      <c r="G58" s="43">
        <f>G54-G56</f>
        <v>239967</v>
      </c>
    </row>
    <row r="59" spans="2:13" ht="15" thickTop="1" x14ac:dyDescent="0.2">
      <c r="B59" s="28"/>
      <c r="C59" s="44"/>
      <c r="D59" s="44"/>
      <c r="E59" s="44"/>
      <c r="F59" s="44"/>
      <c r="G59" s="45"/>
    </row>
    <row r="61" spans="2:13" x14ac:dyDescent="0.2">
      <c r="B61" t="s">
        <v>44</v>
      </c>
    </row>
    <row r="62" spans="2:13" x14ac:dyDescent="0.2">
      <c r="B62" s="32"/>
      <c r="C62" s="1"/>
      <c r="D62" s="2" t="s">
        <v>45</v>
      </c>
      <c r="E62" s="27"/>
      <c r="F62" s="32"/>
      <c r="G62" s="32"/>
    </row>
    <row r="63" spans="2:13" x14ac:dyDescent="0.2">
      <c r="B63" s="32"/>
      <c r="C63" s="5" t="s">
        <v>10</v>
      </c>
      <c r="D63" s="5" t="s">
        <v>79</v>
      </c>
      <c r="E63" s="27"/>
      <c r="F63" s="32"/>
      <c r="G63" s="32"/>
    </row>
    <row r="64" spans="2:13" x14ac:dyDescent="0.2">
      <c r="C64" s="13">
        <v>45474</v>
      </c>
      <c r="D64" s="12">
        <v>119983</v>
      </c>
      <c r="E64" s="16"/>
      <c r="F64" s="33"/>
      <c r="G64" s="33"/>
    </row>
    <row r="65" spans="3:7" x14ac:dyDescent="0.2">
      <c r="C65" s="15">
        <v>45505</v>
      </c>
      <c r="D65" s="17">
        <v>119984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239967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2025-10-15T15:49:51Z</dcterms:modified>
</cp:coreProperties>
</file>