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5-00266 - 2 yr Review\DR1\To be filed\"/>
    </mc:Choice>
  </mc:AlternateContent>
  <xr:revisionPtr revIDLastSave="0" documentId="13_ncr:1_{28170D89-F464-42C4-BB87-4B418A5457BD}" xr6:coauthVersionLast="47" xr6:coauthVersionMax="47" xr10:uidLastSave="{00000000-0000-0000-0000-000000000000}"/>
  <bookViews>
    <workbookView xWindow="3510" yWindow="3510" windowWidth="38700" windowHeight="15285" xr2:uid="{00000000-000D-0000-FFFF-FFFF00000000}"/>
  </bookViews>
  <sheets>
    <sheet name="Current 05-31-25" sheetId="8" r:id="rId1"/>
    <sheet name="2025-00013 Summary" sheetId="9" r:id="rId2"/>
    <sheet name="A - 05-31-22" sheetId="10" r:id="rId3"/>
    <sheet name="B - 11-30-22" sheetId="11" r:id="rId4"/>
    <sheet name="C - 05-31-23" sheetId="12" r:id="rId5"/>
    <sheet name="D - 11-30-23" sheetId="13" r:id="rId6"/>
    <sheet name="E - 05-31-24" sheetId="14" r:id="rId7"/>
    <sheet name="F - 11-30-24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1" l="1"/>
  <c r="A1" i="12"/>
  <c r="A1" i="13"/>
  <c r="A1" i="14"/>
  <c r="A1" i="15"/>
  <c r="A1" i="10"/>
  <c r="A1" i="9"/>
  <c r="D70" i="15"/>
  <c r="E35" i="15"/>
  <c r="D35" i="15"/>
  <c r="G35" i="15" s="1"/>
  <c r="D27" i="15"/>
  <c r="F27" i="15" s="1"/>
  <c r="E26" i="15"/>
  <c r="D26" i="15"/>
  <c r="F26" i="15" s="1"/>
  <c r="E25" i="15"/>
  <c r="D25" i="15"/>
  <c r="F25" i="15" s="1"/>
  <c r="F24" i="15"/>
  <c r="E24" i="15"/>
  <c r="D24" i="15"/>
  <c r="E23" i="15"/>
  <c r="D23" i="15"/>
  <c r="F23" i="15" s="1"/>
  <c r="E22" i="15"/>
  <c r="D22" i="15"/>
  <c r="F22" i="15" s="1"/>
  <c r="F21" i="15"/>
  <c r="E21" i="15"/>
  <c r="D21" i="15"/>
  <c r="E20" i="15"/>
  <c r="D20" i="15"/>
  <c r="F20" i="15" s="1"/>
  <c r="D68" i="14"/>
  <c r="E34" i="14"/>
  <c r="D34" i="14"/>
  <c r="G34" i="14" s="1"/>
  <c r="E26" i="14"/>
  <c r="F26" i="14" s="1"/>
  <c r="D26" i="14"/>
  <c r="E25" i="14"/>
  <c r="D25" i="14"/>
  <c r="F25" i="14" s="1"/>
  <c r="E24" i="14"/>
  <c r="D24" i="14"/>
  <c r="F24" i="14" s="1"/>
  <c r="E23" i="14"/>
  <c r="F23" i="14" s="1"/>
  <c r="D23" i="14"/>
  <c r="E22" i="14"/>
  <c r="D22" i="14"/>
  <c r="F22" i="14" s="1"/>
  <c r="E21" i="14"/>
  <c r="D21" i="14"/>
  <c r="F21" i="14" s="1"/>
  <c r="E20" i="14"/>
  <c r="F20" i="14" s="1"/>
  <c r="D20" i="14"/>
  <c r="E19" i="14"/>
  <c r="D19" i="14"/>
  <c r="F19" i="14" s="1"/>
  <c r="D66" i="13"/>
  <c r="E33" i="13" s="1"/>
  <c r="D33" i="13"/>
  <c r="G33" i="13" s="1"/>
  <c r="E25" i="13"/>
  <c r="D25" i="13"/>
  <c r="F25" i="13" s="1"/>
  <c r="E24" i="13"/>
  <c r="F24" i="13" s="1"/>
  <c r="D24" i="13"/>
  <c r="E23" i="13"/>
  <c r="D23" i="13"/>
  <c r="F23" i="13" s="1"/>
  <c r="E22" i="13"/>
  <c r="D22" i="13"/>
  <c r="F22" i="13" s="1"/>
  <c r="E21" i="13"/>
  <c r="F21" i="13" s="1"/>
  <c r="D21" i="13"/>
  <c r="E20" i="13"/>
  <c r="D20" i="13"/>
  <c r="F20" i="13" s="1"/>
  <c r="E19" i="13"/>
  <c r="D19" i="13"/>
  <c r="F19" i="13" s="1"/>
  <c r="E18" i="13"/>
  <c r="F18" i="13" s="1"/>
  <c r="D18" i="13"/>
  <c r="D64" i="12"/>
  <c r="E32" i="12"/>
  <c r="D32" i="12"/>
  <c r="G32" i="12" s="1"/>
  <c r="F24" i="12"/>
  <c r="D24" i="12"/>
  <c r="D23" i="12"/>
  <c r="F23" i="12" s="1"/>
  <c r="D22" i="12"/>
  <c r="F22" i="12" s="1"/>
  <c r="E21" i="12"/>
  <c r="D21" i="12"/>
  <c r="F21" i="12" s="1"/>
  <c r="F20" i="12"/>
  <c r="D20" i="12"/>
  <c r="E19" i="12"/>
  <c r="D19" i="12"/>
  <c r="F19" i="12" s="1"/>
  <c r="D18" i="12"/>
  <c r="F18" i="12" s="1"/>
  <c r="D17" i="12"/>
  <c r="F17" i="12" s="1"/>
  <c r="G50" i="12" s="1"/>
  <c r="D62" i="11"/>
  <c r="E31" i="11"/>
  <c r="D31" i="11"/>
  <c r="G31" i="11" s="1"/>
  <c r="D23" i="11"/>
  <c r="F23" i="11" s="1"/>
  <c r="D22" i="11"/>
  <c r="F22" i="11" s="1"/>
  <c r="D21" i="11"/>
  <c r="F21" i="11" s="1"/>
  <c r="D20" i="11"/>
  <c r="F20" i="11" s="1"/>
  <c r="D19" i="11"/>
  <c r="F19" i="11" s="1"/>
  <c r="D18" i="11"/>
  <c r="F18" i="11" s="1"/>
  <c r="D17" i="11"/>
  <c r="F17" i="11" s="1"/>
  <c r="D16" i="11"/>
  <c r="F16" i="11" s="1"/>
  <c r="G48" i="11" s="1"/>
  <c r="D60" i="10"/>
  <c r="E30" i="10" s="1"/>
  <c r="D30" i="10"/>
  <c r="D22" i="10"/>
  <c r="F22" i="10" s="1"/>
  <c r="D21" i="10"/>
  <c r="F21" i="10" s="1"/>
  <c r="D20" i="10"/>
  <c r="F20" i="10" s="1"/>
  <c r="D19" i="10"/>
  <c r="F19" i="10" s="1"/>
  <c r="D18" i="10"/>
  <c r="F18" i="10" s="1"/>
  <c r="D17" i="10"/>
  <c r="F17" i="10" s="1"/>
  <c r="D16" i="10"/>
  <c r="F16" i="10" s="1"/>
  <c r="D15" i="10"/>
  <c r="F15" i="10" s="1"/>
  <c r="G46" i="10" s="1"/>
  <c r="G14" i="10"/>
  <c r="G39" i="10" s="1"/>
  <c r="G52" i="13" l="1"/>
  <c r="G56" i="15"/>
  <c r="G30" i="10"/>
  <c r="G31" i="10" s="1"/>
  <c r="G40" i="10" s="1"/>
  <c r="G54" i="14"/>
  <c r="G42" i="10"/>
  <c r="G15" i="10"/>
  <c r="G16" i="10" s="1"/>
  <c r="G17" i="10" s="1"/>
  <c r="G18" i="10" s="1"/>
  <c r="G19" i="10" s="1"/>
  <c r="G20" i="10" s="1"/>
  <c r="G21" i="10" l="1"/>
  <c r="G22" i="10" s="1"/>
  <c r="G33" i="10"/>
  <c r="E8" i="9" l="1"/>
  <c r="G35" i="10"/>
  <c r="G14" i="14"/>
  <c r="G14" i="12"/>
  <c r="G14" i="13"/>
  <c r="G14" i="11"/>
  <c r="G14" i="15"/>
  <c r="G44" i="10"/>
  <c r="G48" i="10" s="1"/>
  <c r="D33" i="12" l="1"/>
  <c r="G33" i="12" s="1"/>
  <c r="D36" i="15"/>
  <c r="G36" i="15" s="1"/>
  <c r="G15" i="11"/>
  <c r="D32" i="11"/>
  <c r="G32" i="11" s="1"/>
  <c r="G33" i="11" s="1"/>
  <c r="G42" i="11" s="1"/>
  <c r="D34" i="13"/>
  <c r="G34" i="13" s="1"/>
  <c r="D35" i="14"/>
  <c r="G35" i="14" s="1"/>
  <c r="F8" i="9"/>
  <c r="G16" i="11" l="1"/>
  <c r="G17" i="11" s="1"/>
  <c r="G18" i="11" s="1"/>
  <c r="G19" i="11" s="1"/>
  <c r="G20" i="11" s="1"/>
  <c r="G21" i="11" s="1"/>
  <c r="G41" i="11"/>
  <c r="G44" i="11" s="1"/>
  <c r="G22" i="11" l="1"/>
  <c r="G23" i="11" s="1"/>
  <c r="G35" i="11"/>
  <c r="G15" i="14" l="1"/>
  <c r="G15" i="12"/>
  <c r="G46" i="11"/>
  <c r="G50" i="11" s="1"/>
  <c r="G15" i="13"/>
  <c r="G15" i="15"/>
  <c r="G37" i="11"/>
  <c r="E9" i="9"/>
  <c r="F9" i="9" l="1"/>
  <c r="D37" i="15"/>
  <c r="G37" i="15" s="1"/>
  <c r="D35" i="13"/>
  <c r="G35" i="13" s="1"/>
  <c r="D34" i="12"/>
  <c r="G34" i="12" s="1"/>
  <c r="G35" i="12" s="1"/>
  <c r="G44" i="12" s="1"/>
  <c r="G16" i="12"/>
  <c r="D36" i="14"/>
  <c r="G36" i="14" s="1"/>
  <c r="G17" i="12" l="1"/>
  <c r="G18" i="12" s="1"/>
  <c r="G19" i="12" s="1"/>
  <c r="G20" i="12" s="1"/>
  <c r="G21" i="12" s="1"/>
  <c r="G22" i="12" s="1"/>
  <c r="G43" i="12"/>
  <c r="G46" i="12" s="1"/>
  <c r="G37" i="12" l="1"/>
  <c r="G23" i="12"/>
  <c r="G24" i="12" s="1"/>
  <c r="G39" i="12" l="1"/>
  <c r="G16" i="14"/>
  <c r="G16" i="13"/>
  <c r="G48" i="12"/>
  <c r="G52" i="12" s="1"/>
  <c r="G16" i="15"/>
  <c r="E10" i="9"/>
  <c r="F10" i="9" l="1"/>
  <c r="D38" i="15"/>
  <c r="G38" i="15" s="1"/>
  <c r="D36" i="13"/>
  <c r="G36" i="13" s="1"/>
  <c r="G37" i="13" s="1"/>
  <c r="G46" i="13" s="1"/>
  <c r="G17" i="13"/>
  <c r="D37" i="14"/>
  <c r="G37" i="14" s="1"/>
  <c r="G45" i="13" l="1"/>
  <c r="G48" i="13" s="1"/>
  <c r="G18" i="13"/>
  <c r="G19" i="13" s="1"/>
  <c r="G20" i="13" s="1"/>
  <c r="G21" i="13" s="1"/>
  <c r="G22" i="13" s="1"/>
  <c r="G23" i="13" s="1"/>
  <c r="G39" i="13" l="1"/>
  <c r="G24" i="13"/>
  <c r="G25" i="13" s="1"/>
  <c r="G50" i="13" l="1"/>
  <c r="G54" i="13" s="1"/>
  <c r="G17" i="14"/>
  <c r="E11" i="9"/>
  <c r="G17" i="15"/>
  <c r="G41" i="13"/>
  <c r="D39" i="15" l="1"/>
  <c r="G39" i="15" s="1"/>
  <c r="F11" i="9"/>
  <c r="D38" i="14"/>
  <c r="G38" i="14" s="1"/>
  <c r="G39" i="14" s="1"/>
  <c r="G48" i="14" s="1"/>
  <c r="G18" i="14"/>
  <c r="G19" i="14" l="1"/>
  <c r="G20" i="14" s="1"/>
  <c r="G21" i="14" s="1"/>
  <c r="G22" i="14" s="1"/>
  <c r="G23" i="14" s="1"/>
  <c r="G24" i="14" s="1"/>
  <c r="G47" i="14"/>
  <c r="G50" i="14" s="1"/>
  <c r="G41" i="14" l="1"/>
  <c r="G25" i="14"/>
  <c r="G26" i="14" s="1"/>
  <c r="G43" i="14" l="1"/>
  <c r="G52" i="14"/>
  <c r="G56" i="14" s="1"/>
  <c r="E12" i="9"/>
  <c r="G18" i="15"/>
  <c r="D40" i="15" l="1"/>
  <c r="G40" i="15" s="1"/>
  <c r="G41" i="15" s="1"/>
  <c r="G50" i="15" s="1"/>
  <c r="G19" i="15"/>
  <c r="F12" i="9"/>
  <c r="G49" i="15" l="1"/>
  <c r="G52" i="15" s="1"/>
  <c r="G20" i="15"/>
  <c r="G21" i="15" s="1"/>
  <c r="G22" i="15" s="1"/>
  <c r="G23" i="15" s="1"/>
  <c r="G24" i="15" s="1"/>
  <c r="G25" i="15" s="1"/>
  <c r="G26" i="15" l="1"/>
  <c r="G27" i="15" s="1"/>
  <c r="G43" i="15"/>
  <c r="E13" i="9" l="1"/>
  <c r="G45" i="15"/>
  <c r="G54" i="15"/>
  <c r="G58" i="15" s="1"/>
  <c r="F13" i="9" l="1"/>
  <c r="E15" i="9"/>
  <c r="F15" i="9" l="1"/>
  <c r="E24" i="9"/>
  <c r="E22" i="9"/>
  <c r="E21" i="8" l="1"/>
  <c r="D22" i="8"/>
  <c r="E20" i="8"/>
  <c r="D21" i="8"/>
  <c r="E19" i="8"/>
  <c r="E18" i="8"/>
  <c r="E17" i="8"/>
  <c r="E16" i="8"/>
  <c r="D20" i="8"/>
  <c r="D19" i="8"/>
  <c r="D18" i="8"/>
  <c r="D17" i="8"/>
  <c r="D16" i="8" l="1"/>
  <c r="E15" i="8"/>
  <c r="D15" i="8"/>
  <c r="G14" i="8"/>
  <c r="D60" i="8"/>
  <c r="E30" i="8" s="1"/>
  <c r="D30" i="8" l="1"/>
  <c r="G30" i="8" s="1"/>
  <c r="G31" i="8" s="1"/>
  <c r="F22" i="8"/>
  <c r="F21" i="8"/>
  <c r="F20" i="8"/>
  <c r="F19" i="8"/>
  <c r="F18" i="8"/>
  <c r="F17" i="8"/>
  <c r="F16" i="8"/>
  <c r="F15" i="8"/>
  <c r="G46" i="8" l="1"/>
  <c r="G40" i="8" l="1"/>
  <c r="G39" i="8" l="1"/>
  <c r="G42" i="8" s="1"/>
  <c r="G15" i="8"/>
  <c r="G16" i="8" s="1"/>
  <c r="G17" i="8" s="1"/>
  <c r="G18" i="8" s="1"/>
  <c r="G19" i="8" s="1"/>
  <c r="G20" i="8" s="1"/>
  <c r="G21" i="8" l="1"/>
  <c r="G22" i="8" s="1"/>
  <c r="G33" i="8"/>
  <c r="G35" i="8" l="1"/>
  <c r="G44" i="8"/>
  <c r="G48" i="8" s="1"/>
</calcChain>
</file>

<file path=xl/sharedStrings.xml><?xml version="1.0" encoding="utf-8"?>
<sst xmlns="http://schemas.openxmlformats.org/spreadsheetml/2006/main" count="481" uniqueCount="105">
  <si>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</si>
  <si>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</si>
  <si>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</si>
  <si>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</si>
  <si>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</si>
  <si>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</si>
  <si>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</si>
  <si>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</si>
  <si>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</si>
  <si>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</si>
  <si>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</si>
  <si>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</si>
  <si>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</si>
  <si>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</si>
  <si>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</si>
  <si>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</si>
  <si>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</si>
  <si>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</si>
  <si>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</si>
  <si>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</si>
  <si>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</si>
  <si>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</si>
  <si>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</si>
  <si>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</si>
  <si>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</si>
  <si>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</si>
  <si>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</si>
  <si>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</si>
  <si>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</si>
  <si>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</si>
  <si>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</si>
  <si>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</si>
  <si>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</si>
  <si>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</si>
  <si>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</si>
  <si>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</si>
  <si>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</si>
  <si>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</si>
  <si>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</si>
  <si>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</si>
  <si>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</si>
  <si>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</si>
  <si>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</si>
  <si>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</si>
  <si>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</si>
  <si>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</si>
  <si>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</si>
  <si>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Cumulative six month (Over)/Under-Recovery [Cumulative net of remaining Case amortizations (Ln 7&amp;8b)]</t>
  </si>
  <si>
    <t>Grayson - Calculation of (Over)/Under Recovery</t>
  </si>
  <si>
    <t>From Case No. 2025-00013 (Over)/Under-Recovery</t>
  </si>
  <si>
    <t>Less Adjustment for Order amounts remaining to be amortized at end of review period June 2025</t>
  </si>
  <si>
    <t>From Case No. 2025-00013 Recovery</t>
  </si>
  <si>
    <t>Monthly recovery (per month for six months)</t>
  </si>
  <si>
    <t>2025-00013</t>
  </si>
  <si>
    <t>Staff DR1 Response 2 - Grayson Surcharge Summary.xlsx</t>
  </si>
  <si>
    <t>Grayson</t>
  </si>
  <si>
    <t>Net (Over)/Under-Recovery of Environmental Surcharge</t>
  </si>
  <si>
    <t>Amount</t>
  </si>
  <si>
    <t>From:</t>
  </si>
  <si>
    <t xml:space="preserve">  Tab "A - 05-31-22", Line No. 9</t>
  </si>
  <si>
    <t xml:space="preserve">  Tab "B - 11-30-22", Line No. 9</t>
  </si>
  <si>
    <t xml:space="preserve">  Tab "C - 05-31-23", Line No. 9</t>
  </si>
  <si>
    <t xml:space="preserve">  Tab "D - 11-30-23", Line No. 9</t>
  </si>
  <si>
    <t xml:space="preserve">  Tab "E - 05-31-24", Line No. 9</t>
  </si>
  <si>
    <t xml:space="preserve">  Tab "F - 11-30-24", Line No. 9</t>
  </si>
  <si>
    <t>Total Net (Over)/Under-Recovery for Review Period</t>
  </si>
  <si>
    <t>Amortization Options for Total Net (Over)/Under-Recovery</t>
  </si>
  <si>
    <t>Traditional 6-Month Amortization Period</t>
  </si>
  <si>
    <t>Option - 12-Month Amortization Period</t>
  </si>
  <si>
    <t>From Case No. 2022-00141 (Over)/Under-Recovery</t>
  </si>
  <si>
    <t>Less Adjustment for Order amounts remaining to be amortized at end of review period June 2022</t>
  </si>
  <si>
    <t>Case No. 2022-00141 Recovery</t>
  </si>
  <si>
    <t>Monthly recovery (per month for six months</t>
  </si>
  <si>
    <t>2022-00141</t>
  </si>
  <si>
    <t>From Tab "A - 05-31-22" (Over)/Under-Recovery</t>
  </si>
  <si>
    <t>1c</t>
  </si>
  <si>
    <t>Less Adjustment for Order amounts remaining to be amortized at end of review period December 2022</t>
  </si>
  <si>
    <t>From Tab "A - 05-31-22" Recovery</t>
  </si>
  <si>
    <t>8c</t>
  </si>
  <si>
    <t>Cumulative six month (Over)/Under-Recovery [Cumulative net of remaining Case amortizations (Ln 7&amp;8c)]</t>
  </si>
  <si>
    <t>From Tab "B - 11-30-22" (Over)/Under-Recovery</t>
  </si>
  <si>
    <t>1d</t>
  </si>
  <si>
    <t>Less Adjustment for Order amounts remaining to be amortized at end of review period June 2023</t>
  </si>
  <si>
    <t>From Tab "B - 11-30-22" Recovery</t>
  </si>
  <si>
    <t>8d</t>
  </si>
  <si>
    <t>Cumulative six month (Over)/Under-Recovery [Cumulative net of remaining Case amortizations (Ln 7&amp;8d)]</t>
  </si>
  <si>
    <t>From Tab "C - 05-31-23" (Over)/Under-Recovery</t>
  </si>
  <si>
    <t>1e</t>
  </si>
  <si>
    <t>Less Adjustment for Order amounts remaining to be amortized at end of review period December 2023</t>
  </si>
  <si>
    <t>From Case No. 2022-00141 Recovery</t>
  </si>
  <si>
    <t>From Tab "C - 05-31-23" Recovery</t>
  </si>
  <si>
    <t>8e</t>
  </si>
  <si>
    <t>Cumulative six month (Over)/Under-Recovery [Cumulative net of remaining Case amortizations (Ln 7&amp;8e)]</t>
  </si>
  <si>
    <t>From Tab "D - 11-30-23" (Over)/Under-Recovery</t>
  </si>
  <si>
    <t>1f</t>
  </si>
  <si>
    <t>Less Adjustment for Order amounts remaining to be amortized at end of review period June 2024</t>
  </si>
  <si>
    <t>From Tab "D - 11-30-23" Recovery</t>
  </si>
  <si>
    <t>8f</t>
  </si>
  <si>
    <t>Cumulative six month (Over)/Under-Recovery [Cumulative net of remaining Case amortizations (Ln 7&amp;8f)]</t>
  </si>
  <si>
    <t>From Tab "E - 05-31-24" (Over)/Under-Recovery</t>
  </si>
  <si>
    <t>1g</t>
  </si>
  <si>
    <t>Less Adjustment for Order amounts remaining to be amortized at end of review period December 2024</t>
  </si>
  <si>
    <t>From Tab "E - 05-31-24" Recovery</t>
  </si>
  <si>
    <t>8g</t>
  </si>
  <si>
    <t>Cumulative six month (Over)/Under-Recovery [Cumulative net of remaining Case amortizations (Ln 7&amp;8g)]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</si>
</sst>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164" formatCode="[$-409]mmm\-yy;@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0" fontId="0" fillId="0" borderId="10" xfId="0" applyBorder="1"/>
    <xf numFmtId="5" fontId="0" fillId="0" borderId="0" xfId="0" applyNumberFormat="1" applyBorder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2" fillId="0" borderId="0" xfId="0" applyFont="1" applyAlignment="1">
      <alignment horizontal="center"/>
    </xf>
    <xf numFmtId="5" fontId="0" fillId="3" borderId="9" xfId="0" applyNumberFormat="1" applyFill="1" applyBorder="1"/>
    <xf numFmtId="5" fontId="0" fillId="3" borderId="5" xfId="0" applyNumberFormat="1" applyFill="1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6" fontId="0" fillId="0" borderId="0" xfId="0" applyNumberFormat="1"/>
    <xf numFmtId="0" fontId="0" fillId="0" borderId="0" xfId="0" applyAlignment="1">
      <alignment horizontal="right"/>
    </xf>
    <xf numFmtId="6" fontId="0" fillId="0" borderId="18" xfId="0" applyNumberFormat="1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5" fontId="0" fillId="3" borderId="10" xfId="0" applyNumberFormat="1" applyFill="1" applyBorder="1"/>
    <xf numFmtId="0" fontId="0" fillId="0" borderId="15" xfId="0" applyBorder="1"/>
    <xf numFmtId="0" fontId="0" fillId="0" borderId="2" xfId="0" applyBorder="1"/>
    <xf numFmtId="5" fontId="0" fillId="0" borderId="3" xfId="0" applyNumberFormat="1" applyBorder="1"/>
    <xf numFmtId="5" fontId="0" fillId="0" borderId="4" xfId="0" applyNumberFormat="1" applyBorder="1"/>
    <xf numFmtId="0" fontId="0" fillId="0" borderId="14" xfId="0" applyBorder="1"/>
    <xf numFmtId="0" fontId="0" fillId="0" borderId="5" xfId="0" applyBorder="1"/>
    <xf numFmtId="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0"/>
  <sheetViews>
    <sheetView tabSelected="1"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7" x14ac:dyDescent="0.2">
      <c r="A1" t="s">
        <v>54</v>
      </c>
    </row>
    <row r="4" spans="1:7" ht="14.25" customHeight="1" x14ac:dyDescent="0.2">
      <c r="B4" s="62" t="s">
        <v>48</v>
      </c>
      <c r="C4" s="63"/>
      <c r="D4" s="63"/>
      <c r="E4" s="63"/>
      <c r="F4" s="63"/>
      <c r="G4" s="64"/>
    </row>
    <row r="5" spans="1:7" ht="14.25" customHeight="1" x14ac:dyDescent="0.2">
      <c r="B5" s="65"/>
      <c r="C5" s="66"/>
      <c r="D5" s="66"/>
      <c r="E5" s="66"/>
      <c r="F5" s="66"/>
      <c r="G5" s="67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0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8" t="s">
        <v>15</v>
      </c>
      <c r="D12" s="69"/>
      <c r="E12" s="69"/>
      <c r="F12" s="69"/>
      <c r="G12" s="70"/>
    </row>
    <row r="13" spans="1:7" x14ac:dyDescent="0.2">
      <c r="B13" s="2" t="s">
        <v>16</v>
      </c>
      <c r="C13" s="8" t="s">
        <v>49</v>
      </c>
      <c r="D13" s="8"/>
      <c r="E13" s="8"/>
      <c r="F13" s="9"/>
      <c r="G13" s="10">
        <v>220152</v>
      </c>
    </row>
    <row r="14" spans="1:7" x14ac:dyDescent="0.2">
      <c r="A14" s="59"/>
      <c r="B14" s="5" t="s">
        <v>17</v>
      </c>
      <c r="C14" s="8" t="s">
        <v>18</v>
      </c>
      <c r="D14" s="8"/>
      <c r="E14" s="8"/>
      <c r="F14" s="11"/>
      <c r="G14" s="12">
        <f>G13</f>
        <v>220152</v>
      </c>
    </row>
    <row r="15" spans="1:7" x14ac:dyDescent="0.2">
      <c r="A15" s="32"/>
      <c r="B15" s="4">
        <v>2</v>
      </c>
      <c r="C15" s="13">
        <v>45658</v>
      </c>
      <c r="D15" s="51">
        <f>491343-47</f>
        <v>491296</v>
      </c>
      <c r="E15" s="52">
        <f>279311</f>
        <v>279311</v>
      </c>
      <c r="F15" s="14">
        <f t="shared" ref="F15:F22" si="0">D15-E15</f>
        <v>211985</v>
      </c>
      <c r="G15" s="12">
        <f t="shared" ref="G15:G22" si="1">G14+F15</f>
        <v>432137</v>
      </c>
    </row>
    <row r="16" spans="1:7" x14ac:dyDescent="0.2">
      <c r="B16" s="4">
        <v>3</v>
      </c>
      <c r="C16" s="15">
        <v>45689</v>
      </c>
      <c r="D16" s="53">
        <f>340521-35</f>
        <v>340486</v>
      </c>
      <c r="E16" s="54">
        <f>356720</f>
        <v>356720</v>
      </c>
      <c r="F16" s="16">
        <f t="shared" si="0"/>
        <v>-16234</v>
      </c>
      <c r="G16" s="17">
        <f t="shared" si="1"/>
        <v>415903</v>
      </c>
    </row>
    <row r="17" spans="2:7" x14ac:dyDescent="0.2">
      <c r="B17" s="4">
        <v>4</v>
      </c>
      <c r="C17" s="15">
        <v>45717</v>
      </c>
      <c r="D17" s="53">
        <f>148711-21</f>
        <v>148690</v>
      </c>
      <c r="E17" s="54">
        <f>395878</f>
        <v>395878</v>
      </c>
      <c r="F17" s="16">
        <f t="shared" si="0"/>
        <v>-247188</v>
      </c>
      <c r="G17" s="17">
        <f t="shared" si="1"/>
        <v>168715</v>
      </c>
    </row>
    <row r="18" spans="2:7" x14ac:dyDescent="0.2">
      <c r="B18" s="4">
        <v>5</v>
      </c>
      <c r="C18" s="15">
        <v>45748</v>
      </c>
      <c r="D18" s="53">
        <f>156224-28</f>
        <v>156196</v>
      </c>
      <c r="E18" s="54">
        <f>116468</f>
        <v>116468</v>
      </c>
      <c r="F18" s="16">
        <f t="shared" si="0"/>
        <v>39728</v>
      </c>
      <c r="G18" s="17">
        <f t="shared" si="1"/>
        <v>208443</v>
      </c>
    </row>
    <row r="19" spans="2:7" x14ac:dyDescent="0.2">
      <c r="B19" s="4">
        <v>6</v>
      </c>
      <c r="C19" s="15">
        <v>45778</v>
      </c>
      <c r="D19" s="53">
        <f>242522-43</f>
        <v>242479</v>
      </c>
      <c r="E19" s="54">
        <f>229915</f>
        <v>229915</v>
      </c>
      <c r="F19" s="16">
        <f t="shared" si="0"/>
        <v>12564</v>
      </c>
      <c r="G19" s="17">
        <f t="shared" si="1"/>
        <v>221007</v>
      </c>
    </row>
    <row r="20" spans="2:7" x14ac:dyDescent="0.2">
      <c r="B20" s="4">
        <v>7</v>
      </c>
      <c r="C20" s="15">
        <v>45809</v>
      </c>
      <c r="D20" s="53">
        <f>365481-51</f>
        <v>365430</v>
      </c>
      <c r="E20" s="54">
        <f>338829</f>
        <v>338829</v>
      </c>
      <c r="F20" s="18">
        <f t="shared" si="0"/>
        <v>26601</v>
      </c>
      <c r="G20" s="19">
        <f t="shared" si="1"/>
        <v>247608</v>
      </c>
    </row>
    <row r="21" spans="2:7" x14ac:dyDescent="0.2">
      <c r="B21" s="20" t="s">
        <v>19</v>
      </c>
      <c r="C21" s="13">
        <v>45839</v>
      </c>
      <c r="D21" s="51">
        <f>474930-0</f>
        <v>474930</v>
      </c>
      <c r="E21" s="52">
        <f>445678</f>
        <v>445678</v>
      </c>
      <c r="F21" s="14">
        <f t="shared" si="0"/>
        <v>29252</v>
      </c>
      <c r="G21" s="12">
        <f t="shared" si="1"/>
        <v>276860</v>
      </c>
    </row>
    <row r="22" spans="2:7" x14ac:dyDescent="0.2">
      <c r="B22" s="21" t="s">
        <v>20</v>
      </c>
      <c r="C22" s="22">
        <v>45870</v>
      </c>
      <c r="D22" s="60">
        <f>397989-0</f>
        <v>397989</v>
      </c>
      <c r="E22" s="61">
        <v>458018</v>
      </c>
      <c r="F22" s="18">
        <f t="shared" si="0"/>
        <v>-60029</v>
      </c>
      <c r="G22" s="19">
        <f t="shared" si="1"/>
        <v>216831</v>
      </c>
    </row>
    <row r="23" spans="2:7" x14ac:dyDescent="0.2">
      <c r="B23" s="5"/>
      <c r="C23" s="23" t="s">
        <v>50</v>
      </c>
      <c r="D23" s="24"/>
      <c r="E23" s="24"/>
      <c r="F23" s="24"/>
      <c r="G23" s="25"/>
    </row>
    <row r="24" spans="2:7" x14ac:dyDescent="0.2">
      <c r="B24" s="2"/>
      <c r="C24" s="1"/>
      <c r="D24" s="1"/>
      <c r="E24" s="1"/>
      <c r="F24" s="1"/>
      <c r="G24" s="12"/>
    </row>
    <row r="25" spans="2:7" x14ac:dyDescent="0.2">
      <c r="B25" s="4"/>
      <c r="C25" s="3"/>
      <c r="D25" s="4" t="s">
        <v>21</v>
      </c>
      <c r="E25" s="4" t="s">
        <v>22</v>
      </c>
      <c r="F25" s="3"/>
      <c r="G25" s="17"/>
    </row>
    <row r="26" spans="2:7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</row>
    <row r="27" spans="2:7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</row>
    <row r="28" spans="2:7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</row>
    <row r="29" spans="2:7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</row>
    <row r="30" spans="2:7" x14ac:dyDescent="0.2">
      <c r="B30" s="20" t="s">
        <v>34</v>
      </c>
      <c r="C30" s="55" t="s">
        <v>51</v>
      </c>
      <c r="D30" s="35">
        <f>-G13</f>
        <v>-220152</v>
      </c>
      <c r="E30" s="35">
        <f>D60</f>
        <v>0</v>
      </c>
      <c r="F30" s="55"/>
      <c r="G30" s="35">
        <f t="shared" ref="G30" si="2">D30+E30</f>
        <v>-220152</v>
      </c>
    </row>
    <row r="31" spans="2:7" x14ac:dyDescent="0.2">
      <c r="B31" s="5" t="s">
        <v>35</v>
      </c>
      <c r="C31" s="29"/>
      <c r="D31" s="30"/>
      <c r="E31" s="30"/>
      <c r="F31" s="31" t="s">
        <v>36</v>
      </c>
      <c r="G31" s="19">
        <f>G30</f>
        <v>-220152</v>
      </c>
    </row>
    <row r="32" spans="2:7" x14ac:dyDescent="0.2">
      <c r="B32" s="32"/>
      <c r="G32" s="33"/>
    </row>
    <row r="33" spans="2:7" x14ac:dyDescent="0.2">
      <c r="B33" s="6">
        <v>9</v>
      </c>
      <c r="C33" s="34" t="s">
        <v>47</v>
      </c>
      <c r="D33" s="8"/>
      <c r="E33" s="8"/>
      <c r="F33" s="9"/>
      <c r="G33" s="35">
        <f>G20+G31</f>
        <v>27456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52</v>
      </c>
      <c r="D35" s="8"/>
      <c r="E35" s="8"/>
      <c r="F35" s="9"/>
      <c r="G35" s="35">
        <f>G33/6</f>
        <v>4576</v>
      </c>
    </row>
    <row r="37" spans="2:7" x14ac:dyDescent="0.2">
      <c r="B37" s="1"/>
      <c r="C37" s="36" t="s">
        <v>37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s="40" t="s">
        <v>38</v>
      </c>
      <c r="D39" s="40"/>
      <c r="E39" s="40"/>
      <c r="F39" s="40"/>
      <c r="G39" s="41">
        <f>G14</f>
        <v>220152</v>
      </c>
    </row>
    <row r="40" spans="2:7" x14ac:dyDescent="0.2">
      <c r="B40" s="4">
        <v>12</v>
      </c>
      <c r="C40" s="40" t="s">
        <v>39</v>
      </c>
      <c r="D40" s="40"/>
      <c r="E40" s="40"/>
      <c r="F40" s="40"/>
      <c r="G40" s="42">
        <f>G31</f>
        <v>-220152</v>
      </c>
    </row>
    <row r="41" spans="2:7" x14ac:dyDescent="0.2">
      <c r="B41" s="4"/>
      <c r="C41" s="40"/>
      <c r="D41" s="40"/>
      <c r="E41" s="40"/>
      <c r="F41" s="40"/>
      <c r="G41" s="41"/>
    </row>
    <row r="42" spans="2:7" ht="15" thickBot="1" x14ac:dyDescent="0.25">
      <c r="B42" s="4">
        <v>13</v>
      </c>
      <c r="C42" s="40" t="s">
        <v>40</v>
      </c>
      <c r="D42" s="40"/>
      <c r="E42" s="40"/>
      <c r="F42" s="40"/>
      <c r="G42" s="43">
        <f>G39+G40</f>
        <v>0</v>
      </c>
    </row>
    <row r="43" spans="2:7" ht="15" thickTop="1" x14ac:dyDescent="0.2">
      <c r="B43" s="4"/>
      <c r="C43" s="40"/>
      <c r="D43" s="40"/>
      <c r="E43" s="40"/>
      <c r="F43" s="40"/>
      <c r="G43" s="41"/>
    </row>
    <row r="44" spans="2:7" x14ac:dyDescent="0.2">
      <c r="B44" s="4">
        <v>14</v>
      </c>
      <c r="C44" s="40" t="s">
        <v>41</v>
      </c>
      <c r="D44" s="40"/>
      <c r="E44" s="40"/>
      <c r="F44" s="40"/>
      <c r="G44" s="41">
        <f>G33</f>
        <v>27456</v>
      </c>
    </row>
    <row r="45" spans="2:7" x14ac:dyDescent="0.2">
      <c r="B45" s="4"/>
      <c r="C45" s="40"/>
      <c r="D45" s="40"/>
      <c r="E45" s="40"/>
      <c r="F45" s="40"/>
      <c r="G45" s="41"/>
    </row>
    <row r="46" spans="2:7" x14ac:dyDescent="0.2">
      <c r="B46" s="4">
        <v>15</v>
      </c>
      <c r="C46" s="40" t="s">
        <v>42</v>
      </c>
      <c r="D46" s="40"/>
      <c r="E46" s="40"/>
      <c r="F46" s="40"/>
      <c r="G46" s="42">
        <f>SUM(F15:F20)</f>
        <v>27456</v>
      </c>
    </row>
    <row r="47" spans="2:7" x14ac:dyDescent="0.2">
      <c r="B47" s="4"/>
      <c r="C47" s="40"/>
      <c r="D47" s="40"/>
      <c r="E47" s="40"/>
      <c r="F47" s="40"/>
      <c r="G47" s="41"/>
    </row>
    <row r="48" spans="2:7" ht="15" thickBot="1" x14ac:dyDescent="0.25">
      <c r="B48" s="4">
        <v>16</v>
      </c>
      <c r="C48" s="40" t="s">
        <v>43</v>
      </c>
      <c r="D48" s="40"/>
      <c r="E48" s="40"/>
      <c r="F48" s="40"/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57"/>
      <c r="G52" s="57"/>
    </row>
    <row r="53" spans="2:7" x14ac:dyDescent="0.2">
      <c r="B53" s="32"/>
      <c r="C53" s="5" t="s">
        <v>10</v>
      </c>
      <c r="D53" s="5" t="s">
        <v>53</v>
      </c>
      <c r="E53" s="27"/>
      <c r="F53" s="57"/>
      <c r="G53" s="57"/>
    </row>
    <row r="54" spans="2:7" x14ac:dyDescent="0.2">
      <c r="C54" s="13">
        <v>45658</v>
      </c>
      <c r="D54" s="46">
        <v>0</v>
      </c>
      <c r="E54" s="58"/>
      <c r="F54" s="56"/>
      <c r="G54" s="56"/>
    </row>
    <row r="55" spans="2:7" x14ac:dyDescent="0.2">
      <c r="C55" s="15">
        <v>45689</v>
      </c>
      <c r="D55" s="47">
        <v>0</v>
      </c>
      <c r="E55" s="58"/>
      <c r="F55" s="56"/>
      <c r="G55" s="56"/>
    </row>
    <row r="56" spans="2:7" x14ac:dyDescent="0.2">
      <c r="C56" s="15">
        <v>45717</v>
      </c>
      <c r="D56" s="47">
        <v>0</v>
      </c>
      <c r="E56" s="58"/>
      <c r="F56" s="56"/>
      <c r="G56" s="56"/>
    </row>
    <row r="57" spans="2:7" x14ac:dyDescent="0.2">
      <c r="C57" s="15">
        <v>45748</v>
      </c>
      <c r="D57" s="47">
        <v>0</v>
      </c>
      <c r="E57" s="58"/>
      <c r="F57" s="56"/>
      <c r="G57" s="56"/>
    </row>
    <row r="58" spans="2:7" x14ac:dyDescent="0.2">
      <c r="C58" s="15">
        <v>45778</v>
      </c>
      <c r="D58" s="47">
        <v>0</v>
      </c>
      <c r="E58" s="58"/>
      <c r="F58" s="56"/>
      <c r="G58" s="56"/>
    </row>
    <row r="59" spans="2:7" x14ac:dyDescent="0.2">
      <c r="C59" s="15">
        <v>45809</v>
      </c>
      <c r="D59" s="48">
        <v>0</v>
      </c>
      <c r="E59" s="58"/>
      <c r="F59" s="56"/>
      <c r="G59" s="56"/>
    </row>
    <row r="60" spans="2:7" x14ac:dyDescent="0.2">
      <c r="C60" s="49" t="s">
        <v>46</v>
      </c>
      <c r="D60" s="35">
        <f>SUM(D54:D59)</f>
        <v>0</v>
      </c>
      <c r="E60" s="16"/>
      <c r="F60" s="56"/>
      <c r="G60" s="56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41E8-8531-40F9-9789-1704436CB254}">
  <dimension ref="A1:F25"/>
  <sheetViews>
    <sheetView workbookViewId="0">
      <selection activeCell="A2" sqref="A2"/>
    </sheetView>
  </sheetViews>
  <sheetFormatPr defaultColWidth="15.625" defaultRowHeight="14.25" x14ac:dyDescent="0.2"/>
  <sheetData>
    <row r="1" spans="1:6" x14ac:dyDescent="0.2">
      <c r="A1" t="str">
        <f>'Current 05-31-25'!$A$1</f>
        <v>Staff DR1 Response 2 - Grayson Surcharge Summary.xlsx</v>
      </c>
    </row>
    <row r="3" spans="1:6" ht="15" x14ac:dyDescent="0.25">
      <c r="C3" s="71" t="s">
        <v>55</v>
      </c>
      <c r="D3" s="71"/>
      <c r="E3" s="71"/>
    </row>
    <row r="4" spans="1:6" ht="15" x14ac:dyDescent="0.25">
      <c r="B4" s="71" t="s">
        <v>56</v>
      </c>
      <c r="C4" s="71"/>
      <c r="D4" s="71"/>
      <c r="E4" s="71"/>
      <c r="F4" s="71"/>
    </row>
    <row r="6" spans="1:6" ht="15" thickBot="1" x14ac:dyDescent="0.25">
      <c r="E6" s="72" t="s">
        <v>57</v>
      </c>
    </row>
    <row r="7" spans="1:6" x14ac:dyDescent="0.2">
      <c r="B7" t="s">
        <v>58</v>
      </c>
    </row>
    <row r="8" spans="1:6" x14ac:dyDescent="0.2">
      <c r="B8" t="s">
        <v>59</v>
      </c>
      <c r="E8" s="73">
        <f>'A - 05-31-22'!G33</f>
        <v>47908</v>
      </c>
      <c r="F8" s="74" t="str">
        <f>IF(E8&gt;0,"Under-Recovery","Over-Recovery")</f>
        <v>Under-Recovery</v>
      </c>
    </row>
    <row r="9" spans="1:6" x14ac:dyDescent="0.2">
      <c r="B9" t="s">
        <v>60</v>
      </c>
      <c r="E9" s="73">
        <f>'B - 11-30-22'!G35</f>
        <v>62959</v>
      </c>
      <c r="F9" s="74" t="str">
        <f t="shared" ref="F9:F13" si="0">IF(E9&gt;0,"Under-Recovery","Over-Recovery")</f>
        <v>Under-Recovery</v>
      </c>
    </row>
    <row r="10" spans="1:6" x14ac:dyDescent="0.2">
      <c r="B10" t="s">
        <v>61</v>
      </c>
      <c r="E10" s="73">
        <f>'C - 05-31-23'!G37</f>
        <v>71765</v>
      </c>
      <c r="F10" s="74" t="str">
        <f t="shared" si="0"/>
        <v>Under-Recovery</v>
      </c>
    </row>
    <row r="11" spans="1:6" x14ac:dyDescent="0.2">
      <c r="B11" t="s">
        <v>62</v>
      </c>
      <c r="E11" s="73">
        <f>'D - 11-30-23'!G39</f>
        <v>-15288</v>
      </c>
      <c r="F11" s="74" t="str">
        <f t="shared" si="0"/>
        <v>Over-Recovery</v>
      </c>
    </row>
    <row r="12" spans="1:6" x14ac:dyDescent="0.2">
      <c r="B12" t="s">
        <v>63</v>
      </c>
      <c r="E12" s="73">
        <f>'E - 05-31-24'!G41</f>
        <v>105136</v>
      </c>
      <c r="F12" s="74" t="str">
        <f t="shared" si="0"/>
        <v>Under-Recovery</v>
      </c>
    </row>
    <row r="13" spans="1:6" x14ac:dyDescent="0.2">
      <c r="B13" t="s">
        <v>64</v>
      </c>
      <c r="E13" s="73">
        <f>'F - 11-30-24'!G43</f>
        <v>-52328</v>
      </c>
      <c r="F13" s="74" t="str">
        <f t="shared" si="0"/>
        <v>Over-Recovery</v>
      </c>
    </row>
    <row r="14" spans="1:6" x14ac:dyDescent="0.2">
      <c r="E14" s="73"/>
    </row>
    <row r="15" spans="1:6" ht="15" thickBot="1" x14ac:dyDescent="0.25">
      <c r="B15" t="s">
        <v>65</v>
      </c>
      <c r="E15" s="75">
        <f>SUM(E8:E13)</f>
        <v>220152</v>
      </c>
      <c r="F15" s="74" t="str">
        <f>IF(E15&gt;0,"Under-Recovery","Over-Recovery")</f>
        <v>Under-Recovery</v>
      </c>
    </row>
    <row r="16" spans="1:6" ht="15" thickTop="1" x14ac:dyDescent="0.2"/>
    <row r="20" spans="2:6" ht="15" x14ac:dyDescent="0.25">
      <c r="B20" s="71" t="s">
        <v>66</v>
      </c>
      <c r="C20" s="71"/>
      <c r="D20" s="71"/>
      <c r="E20" s="71"/>
      <c r="F20" s="71"/>
    </row>
    <row r="22" spans="2:6" x14ac:dyDescent="0.2">
      <c r="B22" t="s">
        <v>67</v>
      </c>
      <c r="E22" s="73">
        <f>ROUND(E15/6,0)</f>
        <v>36692</v>
      </c>
    </row>
    <row r="23" spans="2:6" x14ac:dyDescent="0.2">
      <c r="E23" s="73"/>
    </row>
    <row r="24" spans="2:6" x14ac:dyDescent="0.2">
      <c r="B24" t="s">
        <v>68</v>
      </c>
      <c r="E24" s="73">
        <f>ROUND(E15/12,0)</f>
        <v>18346</v>
      </c>
    </row>
    <row r="25" spans="2:6" x14ac:dyDescent="0.2">
      <c r="E25" s="73"/>
    </row>
  </sheetData>
  <mergeCells count="3">
    <mergeCell ref="C3:E3"/>
    <mergeCell ref="B4:F4"/>
    <mergeCell ref="B20:F2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62196-6120-413F-A93B-F361EDD1B473}">
  <dimension ref="A1:G60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'Current 05-31-25'!$A$1</f>
        <v>Staff DR1 Response 2 - Grayson Surcharge Summary.xlsx</v>
      </c>
    </row>
    <row r="4" spans="1:7" ht="14.25" customHeight="1" x14ac:dyDescent="0.2">
      <c r="B4" s="76" t="s">
        <v>48</v>
      </c>
      <c r="C4" s="77"/>
      <c r="D4" s="77"/>
      <c r="E4" s="77"/>
      <c r="F4" s="77"/>
      <c r="G4" s="78"/>
    </row>
    <row r="5" spans="1:7" ht="14.25" customHeight="1" x14ac:dyDescent="0.2">
      <c r="B5" s="79"/>
      <c r="C5" s="80"/>
      <c r="D5" s="80"/>
      <c r="E5" s="80"/>
      <c r="F5" s="80"/>
      <c r="G5" s="81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8" t="s">
        <v>15</v>
      </c>
      <c r="D12" s="69"/>
      <c r="E12" s="69"/>
      <c r="F12" s="69"/>
      <c r="G12" s="70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-35546</v>
      </c>
    </row>
    <row r="14" spans="1:7" x14ac:dyDescent="0.2">
      <c r="B14" s="5" t="s">
        <v>17</v>
      </c>
      <c r="C14" s="8" t="s">
        <v>18</v>
      </c>
      <c r="D14" s="8"/>
      <c r="E14" s="8"/>
      <c r="F14" s="11"/>
      <c r="G14" s="12">
        <f>G13</f>
        <v>-35546</v>
      </c>
    </row>
    <row r="15" spans="1:7" x14ac:dyDescent="0.2">
      <c r="B15" s="4">
        <v>2</v>
      </c>
      <c r="C15" s="13">
        <v>44562</v>
      </c>
      <c r="D15" s="51">
        <f>317427-13</f>
        <v>317414</v>
      </c>
      <c r="E15" s="52">
        <v>422485</v>
      </c>
      <c r="F15" s="14">
        <f t="shared" ref="F15:F22" si="0">D15-E15</f>
        <v>-105071</v>
      </c>
      <c r="G15" s="12">
        <f t="shared" ref="G15:G22" si="1">G14+F15</f>
        <v>-140617</v>
      </c>
    </row>
    <row r="16" spans="1:7" x14ac:dyDescent="0.2">
      <c r="B16" s="4">
        <v>3</v>
      </c>
      <c r="C16" s="15">
        <v>44593</v>
      </c>
      <c r="D16" s="53">
        <f>270415-14</f>
        <v>270401</v>
      </c>
      <c r="E16" s="54">
        <v>266038</v>
      </c>
      <c r="F16" s="16">
        <f t="shared" si="0"/>
        <v>4363</v>
      </c>
      <c r="G16" s="17">
        <f t="shared" si="1"/>
        <v>-136254</v>
      </c>
    </row>
    <row r="17" spans="2:7" x14ac:dyDescent="0.2">
      <c r="B17" s="4">
        <v>4</v>
      </c>
      <c r="C17" s="15">
        <v>44621</v>
      </c>
      <c r="D17" s="53">
        <f>189927-11</f>
        <v>189916</v>
      </c>
      <c r="E17" s="54">
        <v>247758</v>
      </c>
      <c r="F17" s="16">
        <f t="shared" si="0"/>
        <v>-57842</v>
      </c>
      <c r="G17" s="17">
        <f t="shared" si="1"/>
        <v>-194096</v>
      </c>
    </row>
    <row r="18" spans="2:7" x14ac:dyDescent="0.2">
      <c r="B18" s="4">
        <v>5</v>
      </c>
      <c r="C18" s="15">
        <v>44652</v>
      </c>
      <c r="D18" s="53">
        <f>228966-18</f>
        <v>228948</v>
      </c>
      <c r="E18" s="54">
        <v>167253</v>
      </c>
      <c r="F18" s="16">
        <f t="shared" si="0"/>
        <v>61695</v>
      </c>
      <c r="G18" s="17">
        <f t="shared" si="1"/>
        <v>-132401</v>
      </c>
    </row>
    <row r="19" spans="2:7" x14ac:dyDescent="0.2">
      <c r="B19" s="4">
        <v>6</v>
      </c>
      <c r="C19" s="15">
        <v>44682</v>
      </c>
      <c r="D19" s="53">
        <f>246668-19</f>
        <v>246649</v>
      </c>
      <c r="E19" s="54">
        <v>200687</v>
      </c>
      <c r="F19" s="16">
        <f t="shared" si="0"/>
        <v>45962</v>
      </c>
      <c r="G19" s="17">
        <f t="shared" si="1"/>
        <v>-86439</v>
      </c>
    </row>
    <row r="20" spans="2:7" x14ac:dyDescent="0.2">
      <c r="B20" s="4">
        <v>7</v>
      </c>
      <c r="C20" s="15">
        <v>44713</v>
      </c>
      <c r="D20" s="53">
        <f>321143-21</f>
        <v>321122</v>
      </c>
      <c r="E20" s="54">
        <v>222321</v>
      </c>
      <c r="F20" s="18">
        <f t="shared" si="0"/>
        <v>98801</v>
      </c>
      <c r="G20" s="19">
        <f t="shared" si="1"/>
        <v>12362</v>
      </c>
    </row>
    <row r="21" spans="2:7" x14ac:dyDescent="0.2">
      <c r="B21" s="20" t="s">
        <v>19</v>
      </c>
      <c r="C21" s="13">
        <v>44743</v>
      </c>
      <c r="D21" s="51">
        <f>362983-21</f>
        <v>362962</v>
      </c>
      <c r="E21" s="52">
        <v>297952</v>
      </c>
      <c r="F21" s="14">
        <f t="shared" si="0"/>
        <v>65010</v>
      </c>
      <c r="G21" s="12">
        <f t="shared" si="1"/>
        <v>77372</v>
      </c>
    </row>
    <row r="22" spans="2:7" x14ac:dyDescent="0.2">
      <c r="B22" s="21" t="s">
        <v>20</v>
      </c>
      <c r="C22" s="22">
        <v>44774</v>
      </c>
      <c r="D22" s="60">
        <f>275079-18</f>
        <v>275061</v>
      </c>
      <c r="E22" s="61">
        <v>345610</v>
      </c>
      <c r="F22" s="18">
        <f t="shared" si="0"/>
        <v>-70549</v>
      </c>
      <c r="G22" s="19">
        <f t="shared" si="1"/>
        <v>6823</v>
      </c>
    </row>
    <row r="23" spans="2:7" x14ac:dyDescent="0.2">
      <c r="B23" s="5"/>
      <c r="C23" s="23" t="s">
        <v>70</v>
      </c>
      <c r="D23" s="24"/>
      <c r="E23" s="24"/>
      <c r="F23" s="24"/>
      <c r="G23" s="25"/>
    </row>
    <row r="24" spans="2:7" x14ac:dyDescent="0.2">
      <c r="B24" s="2"/>
      <c r="C24" s="1"/>
      <c r="D24" s="1"/>
      <c r="E24" s="1"/>
      <c r="F24" s="1"/>
      <c r="G24" s="12"/>
    </row>
    <row r="25" spans="2:7" x14ac:dyDescent="0.2">
      <c r="B25" s="4"/>
      <c r="C25" s="3"/>
      <c r="D25" s="4" t="s">
        <v>21</v>
      </c>
      <c r="E25" s="4" t="s">
        <v>22</v>
      </c>
      <c r="F25" s="3"/>
      <c r="G25" s="17"/>
    </row>
    <row r="26" spans="2:7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</row>
    <row r="27" spans="2:7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</row>
    <row r="28" spans="2:7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</row>
    <row r="29" spans="2:7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</row>
    <row r="30" spans="2:7" x14ac:dyDescent="0.2">
      <c r="B30" s="2" t="s">
        <v>34</v>
      </c>
      <c r="C30" s="55" t="s">
        <v>71</v>
      </c>
      <c r="D30" s="35">
        <f>-G13</f>
        <v>35546</v>
      </c>
      <c r="E30" s="35">
        <f>D60</f>
        <v>0</v>
      </c>
      <c r="F30" s="55"/>
      <c r="G30" s="35">
        <f>D30+E30</f>
        <v>35546</v>
      </c>
    </row>
    <row r="31" spans="2:7" x14ac:dyDescent="0.2">
      <c r="B31" s="5" t="s">
        <v>35</v>
      </c>
      <c r="C31" s="29"/>
      <c r="D31" s="30"/>
      <c r="E31" s="30"/>
      <c r="F31" s="31" t="s">
        <v>36</v>
      </c>
      <c r="G31" s="19">
        <f>G30</f>
        <v>35546</v>
      </c>
    </row>
    <row r="32" spans="2:7" x14ac:dyDescent="0.2">
      <c r="B32" s="32"/>
      <c r="G32" s="33"/>
    </row>
    <row r="33" spans="2:7" x14ac:dyDescent="0.2">
      <c r="B33" s="6">
        <v>9</v>
      </c>
      <c r="C33" s="34" t="s">
        <v>47</v>
      </c>
      <c r="D33" s="8"/>
      <c r="E33" s="8"/>
      <c r="F33" s="9"/>
      <c r="G33" s="35">
        <f>G20+G31</f>
        <v>47908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72</v>
      </c>
      <c r="D35" s="8"/>
      <c r="E35" s="8"/>
      <c r="F35" s="9"/>
      <c r="G35" s="35">
        <f>G33/6</f>
        <v>7984.666666666667</v>
      </c>
    </row>
    <row r="37" spans="2:7" x14ac:dyDescent="0.2">
      <c r="B37" s="1"/>
      <c r="C37" s="36" t="s">
        <v>37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t="s">
        <v>38</v>
      </c>
      <c r="G39" s="41">
        <f>G14</f>
        <v>-35546</v>
      </c>
    </row>
    <row r="40" spans="2:7" x14ac:dyDescent="0.2">
      <c r="B40" s="4">
        <v>12</v>
      </c>
      <c r="C40" t="s">
        <v>39</v>
      </c>
      <c r="G40" s="42">
        <f>G31</f>
        <v>35546</v>
      </c>
    </row>
    <row r="41" spans="2:7" x14ac:dyDescent="0.2">
      <c r="B41" s="4"/>
      <c r="G41" s="41"/>
    </row>
    <row r="42" spans="2:7" ht="15" thickBot="1" x14ac:dyDescent="0.25">
      <c r="B42" s="4">
        <v>13</v>
      </c>
      <c r="C42" t="s">
        <v>40</v>
      </c>
      <c r="G42" s="43">
        <f>G39+G40</f>
        <v>0</v>
      </c>
    </row>
    <row r="43" spans="2:7" ht="15" thickTop="1" x14ac:dyDescent="0.2">
      <c r="B43" s="4"/>
      <c r="G43" s="41"/>
    </row>
    <row r="44" spans="2:7" x14ac:dyDescent="0.2">
      <c r="B44" s="4">
        <v>14</v>
      </c>
      <c r="C44" t="s">
        <v>41</v>
      </c>
      <c r="G44" s="41">
        <f>G33</f>
        <v>47908</v>
      </c>
    </row>
    <row r="45" spans="2:7" x14ac:dyDescent="0.2">
      <c r="B45" s="4"/>
      <c r="G45" s="41"/>
    </row>
    <row r="46" spans="2:7" x14ac:dyDescent="0.2">
      <c r="B46" s="4">
        <v>15</v>
      </c>
      <c r="C46" t="s">
        <v>42</v>
      </c>
      <c r="G46" s="42">
        <f>SUM(F15:F20)</f>
        <v>47908</v>
      </c>
    </row>
    <row r="47" spans="2:7" x14ac:dyDescent="0.2">
      <c r="B47" s="4"/>
      <c r="G47" s="41"/>
    </row>
    <row r="48" spans="2:7" ht="15" thickBot="1" x14ac:dyDescent="0.25">
      <c r="B48" s="4">
        <v>16</v>
      </c>
      <c r="C48" t="s">
        <v>43</v>
      </c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32"/>
      <c r="G52" s="32"/>
    </row>
    <row r="53" spans="2:7" x14ac:dyDescent="0.2">
      <c r="B53" s="32"/>
      <c r="C53" s="5" t="s">
        <v>10</v>
      </c>
      <c r="D53" s="5" t="s">
        <v>73</v>
      </c>
      <c r="E53" s="27"/>
      <c r="F53" s="32"/>
      <c r="G53" s="32"/>
    </row>
    <row r="54" spans="2:7" x14ac:dyDescent="0.2">
      <c r="C54" s="13">
        <v>44562</v>
      </c>
      <c r="D54" s="12">
        <v>0</v>
      </c>
      <c r="E54" s="16"/>
      <c r="F54" s="33"/>
      <c r="G54" s="33"/>
    </row>
    <row r="55" spans="2:7" x14ac:dyDescent="0.2">
      <c r="C55" s="15">
        <v>44593</v>
      </c>
      <c r="D55" s="17">
        <v>0</v>
      </c>
      <c r="E55" s="16"/>
      <c r="F55" s="33"/>
      <c r="G55" s="33"/>
    </row>
    <row r="56" spans="2:7" x14ac:dyDescent="0.2">
      <c r="C56" s="15">
        <v>44621</v>
      </c>
      <c r="D56" s="17">
        <v>0</v>
      </c>
      <c r="E56" s="16"/>
      <c r="F56" s="33"/>
      <c r="G56" s="33"/>
    </row>
    <row r="57" spans="2:7" x14ac:dyDescent="0.2">
      <c r="C57" s="15">
        <v>44652</v>
      </c>
      <c r="D57" s="17">
        <v>0</v>
      </c>
      <c r="E57" s="16"/>
      <c r="F57" s="33"/>
      <c r="G57" s="33"/>
    </row>
    <row r="58" spans="2:7" x14ac:dyDescent="0.2">
      <c r="C58" s="15">
        <v>44682</v>
      </c>
      <c r="D58" s="17">
        <v>0</v>
      </c>
      <c r="E58" s="16"/>
      <c r="F58" s="33"/>
      <c r="G58" s="33"/>
    </row>
    <row r="59" spans="2:7" x14ac:dyDescent="0.2">
      <c r="C59" s="15">
        <v>44713</v>
      </c>
      <c r="D59" s="19">
        <v>0</v>
      </c>
      <c r="E59" s="16"/>
      <c r="F59" s="33"/>
      <c r="G59" s="33"/>
    </row>
    <row r="60" spans="2:7" x14ac:dyDescent="0.2">
      <c r="C60" s="49" t="s">
        <v>46</v>
      </c>
      <c r="D60" s="35">
        <f>SUM(D54:D59)</f>
        <v>0</v>
      </c>
      <c r="E60" s="16"/>
      <c r="F60" s="33"/>
      <c r="G60" s="33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28C6-01F4-43A6-9474-29A8DFFB9BA1}">
  <dimension ref="A1:G62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75" customWidth="1"/>
  </cols>
  <sheetData>
    <row r="1" spans="1:7" x14ac:dyDescent="0.2">
      <c r="A1" t="str">
        <f>'Current 05-31-25'!$A$1</f>
        <v>Staff DR1 Response 2 - Grayson Surcharge Summary.xlsx</v>
      </c>
    </row>
    <row r="4" spans="1:7" ht="14.25" customHeight="1" x14ac:dyDescent="0.2">
      <c r="B4" s="76" t="s">
        <v>48</v>
      </c>
      <c r="C4" s="77"/>
      <c r="D4" s="77"/>
      <c r="E4" s="77"/>
      <c r="F4" s="77"/>
      <c r="G4" s="78"/>
    </row>
    <row r="5" spans="1:7" x14ac:dyDescent="0.2">
      <c r="B5" s="79"/>
      <c r="C5" s="80"/>
      <c r="D5" s="80"/>
      <c r="E5" s="80"/>
      <c r="F5" s="80"/>
      <c r="G5" s="81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8" t="s">
        <v>15</v>
      </c>
      <c r="D12" s="69"/>
      <c r="E12" s="69"/>
      <c r="F12" s="69"/>
      <c r="G12" s="70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-35546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82">
        <f>'A - 05-31-22'!G33</f>
        <v>47908</v>
      </c>
    </row>
    <row r="15" spans="1:7" x14ac:dyDescent="0.2">
      <c r="B15" s="5" t="s">
        <v>75</v>
      </c>
      <c r="C15" s="8" t="s">
        <v>18</v>
      </c>
      <c r="D15" s="8"/>
      <c r="E15" s="8"/>
      <c r="F15" s="11"/>
      <c r="G15" s="12">
        <f>G13+G14</f>
        <v>12362</v>
      </c>
    </row>
    <row r="16" spans="1:7" x14ac:dyDescent="0.2">
      <c r="B16" s="4">
        <v>2</v>
      </c>
      <c r="C16" s="13">
        <v>44743</v>
      </c>
      <c r="D16" s="51">
        <f>362983-21</f>
        <v>362962</v>
      </c>
      <c r="E16" s="52">
        <v>297952</v>
      </c>
      <c r="F16" s="14">
        <f t="shared" ref="F16:F23" si="0">D16-E16</f>
        <v>65010</v>
      </c>
      <c r="G16" s="12">
        <f t="shared" ref="G16:G23" si="1">G15+F16</f>
        <v>77372</v>
      </c>
    </row>
    <row r="17" spans="2:7" x14ac:dyDescent="0.2">
      <c r="B17" s="4">
        <v>3</v>
      </c>
      <c r="C17" s="15">
        <v>44774</v>
      </c>
      <c r="D17" s="53">
        <f>275079-18</f>
        <v>275061</v>
      </c>
      <c r="E17" s="54">
        <v>345610</v>
      </c>
      <c r="F17" s="16">
        <f t="shared" si="0"/>
        <v>-70549</v>
      </c>
      <c r="G17" s="17">
        <f t="shared" si="1"/>
        <v>6823</v>
      </c>
    </row>
    <row r="18" spans="2:7" x14ac:dyDescent="0.2">
      <c r="B18" s="4">
        <v>4</v>
      </c>
      <c r="C18" s="15">
        <v>44805</v>
      </c>
      <c r="D18" s="53">
        <f>206550-0</f>
        <v>206550</v>
      </c>
      <c r="E18" s="54">
        <v>289779</v>
      </c>
      <c r="F18" s="16">
        <f t="shared" si="0"/>
        <v>-83229</v>
      </c>
      <c r="G18" s="17">
        <f t="shared" si="1"/>
        <v>-76406</v>
      </c>
    </row>
    <row r="19" spans="2:7" x14ac:dyDescent="0.2">
      <c r="B19" s="4">
        <v>5</v>
      </c>
      <c r="C19" s="15">
        <v>44835</v>
      </c>
      <c r="D19" s="53">
        <f>247739-18</f>
        <v>247721</v>
      </c>
      <c r="E19" s="54">
        <v>230513</v>
      </c>
      <c r="F19" s="16">
        <f t="shared" si="0"/>
        <v>17208</v>
      </c>
      <c r="G19" s="17">
        <f t="shared" si="1"/>
        <v>-59198</v>
      </c>
    </row>
    <row r="20" spans="2:7" x14ac:dyDescent="0.2">
      <c r="B20" s="4">
        <v>6</v>
      </c>
      <c r="C20" s="15">
        <v>44866</v>
      </c>
      <c r="D20" s="53">
        <f>291283-19</f>
        <v>291264</v>
      </c>
      <c r="E20" s="54">
        <v>263452</v>
      </c>
      <c r="F20" s="16">
        <f t="shared" si="0"/>
        <v>27812</v>
      </c>
      <c r="G20" s="17">
        <f t="shared" si="1"/>
        <v>-31386</v>
      </c>
    </row>
    <row r="21" spans="2:7" x14ac:dyDescent="0.2">
      <c r="B21" s="4">
        <v>7</v>
      </c>
      <c r="C21" s="15">
        <v>44896</v>
      </c>
      <c r="D21" s="53">
        <f>401170-21</f>
        <v>401149</v>
      </c>
      <c r="E21" s="54">
        <v>294442</v>
      </c>
      <c r="F21" s="18">
        <f t="shared" si="0"/>
        <v>106707</v>
      </c>
      <c r="G21" s="19">
        <f t="shared" si="1"/>
        <v>75321</v>
      </c>
    </row>
    <row r="22" spans="2:7" x14ac:dyDescent="0.2">
      <c r="B22" s="20" t="s">
        <v>19</v>
      </c>
      <c r="C22" s="13">
        <v>44927</v>
      </c>
      <c r="D22" s="51">
        <f>327657-17</f>
        <v>327640</v>
      </c>
      <c r="E22" s="52">
        <v>284705</v>
      </c>
      <c r="F22" s="14">
        <f t="shared" si="0"/>
        <v>42935</v>
      </c>
      <c r="G22" s="12">
        <f t="shared" si="1"/>
        <v>118256</v>
      </c>
    </row>
    <row r="23" spans="2:7" x14ac:dyDescent="0.2">
      <c r="B23" s="21" t="s">
        <v>20</v>
      </c>
      <c r="C23" s="22">
        <v>44958</v>
      </c>
      <c r="D23" s="60">
        <f>171105-12</f>
        <v>171093</v>
      </c>
      <c r="E23" s="61">
        <v>272273</v>
      </c>
      <c r="F23" s="18">
        <f t="shared" si="0"/>
        <v>-101180</v>
      </c>
      <c r="G23" s="19">
        <f t="shared" si="1"/>
        <v>17076</v>
      </c>
    </row>
    <row r="24" spans="2:7" x14ac:dyDescent="0.2">
      <c r="B24" s="5"/>
      <c r="C24" s="23" t="s">
        <v>76</v>
      </c>
      <c r="D24" s="24"/>
      <c r="E24" s="24"/>
      <c r="F24" s="24"/>
      <c r="G24" s="25"/>
    </row>
    <row r="25" spans="2:7" x14ac:dyDescent="0.2">
      <c r="B25" s="2"/>
      <c r="C25" s="1"/>
      <c r="D25" s="1"/>
      <c r="E25" s="1"/>
      <c r="F25" s="1"/>
      <c r="G25" s="12"/>
    </row>
    <row r="26" spans="2:7" x14ac:dyDescent="0.2">
      <c r="B26" s="4"/>
      <c r="C26" s="3"/>
      <c r="D26" s="4" t="s">
        <v>21</v>
      </c>
      <c r="E26" s="4" t="s">
        <v>22</v>
      </c>
      <c r="F26" s="3"/>
      <c r="G26" s="17"/>
    </row>
    <row r="27" spans="2:7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</row>
    <row r="28" spans="2:7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</row>
    <row r="29" spans="2:7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</row>
    <row r="30" spans="2:7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</row>
    <row r="31" spans="2:7" x14ac:dyDescent="0.2">
      <c r="B31" s="20" t="s">
        <v>34</v>
      </c>
      <c r="C31" s="1" t="s">
        <v>71</v>
      </c>
      <c r="D31" s="12">
        <f>-G13</f>
        <v>35546</v>
      </c>
      <c r="E31" s="12">
        <f>D62</f>
        <v>0</v>
      </c>
      <c r="F31" s="1"/>
      <c r="G31" s="12">
        <f>D31+E31</f>
        <v>35546</v>
      </c>
    </row>
    <row r="32" spans="2:7" x14ac:dyDescent="0.2">
      <c r="B32" s="27" t="s">
        <v>35</v>
      </c>
      <c r="C32" s="28" t="s">
        <v>77</v>
      </c>
      <c r="D32" s="19">
        <f>-G14</f>
        <v>-47908</v>
      </c>
      <c r="E32" s="19">
        <v>0</v>
      </c>
      <c r="F32" s="28"/>
      <c r="G32" s="19">
        <f>D32+E32</f>
        <v>-47908</v>
      </c>
    </row>
    <row r="33" spans="2:7" x14ac:dyDescent="0.2">
      <c r="B33" s="5" t="s">
        <v>78</v>
      </c>
      <c r="C33" s="29"/>
      <c r="D33" s="30"/>
      <c r="E33" s="30"/>
      <c r="F33" s="31" t="s">
        <v>36</v>
      </c>
      <c r="G33" s="19">
        <f>G31+G32</f>
        <v>-12362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79</v>
      </c>
      <c r="D35" s="8"/>
      <c r="E35" s="8"/>
      <c r="F35" s="9"/>
      <c r="G35" s="35">
        <f>G21+G33</f>
        <v>62959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72</v>
      </c>
      <c r="D37" s="8"/>
      <c r="E37" s="8"/>
      <c r="F37" s="9"/>
      <c r="G37" s="35">
        <f>G35/6</f>
        <v>10493.166666666666</v>
      </c>
    </row>
    <row r="39" spans="2:7" x14ac:dyDescent="0.2">
      <c r="B39" s="1"/>
      <c r="C39" s="36" t="s">
        <v>37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t="s">
        <v>38</v>
      </c>
      <c r="G41" s="41">
        <f>G15</f>
        <v>12362</v>
      </c>
    </row>
    <row r="42" spans="2:7" x14ac:dyDescent="0.2">
      <c r="B42" s="4">
        <v>12</v>
      </c>
      <c r="C42" t="s">
        <v>39</v>
      </c>
      <c r="G42" s="42">
        <f>G33</f>
        <v>-12362</v>
      </c>
    </row>
    <row r="43" spans="2:7" x14ac:dyDescent="0.2">
      <c r="B43" s="4"/>
      <c r="G43" s="41"/>
    </row>
    <row r="44" spans="2:7" ht="15" thickBot="1" x14ac:dyDescent="0.25">
      <c r="B44" s="4">
        <v>13</v>
      </c>
      <c r="C44" t="s">
        <v>40</v>
      </c>
      <c r="G44" s="43">
        <f>G41+G42</f>
        <v>0</v>
      </c>
    </row>
    <row r="45" spans="2:7" ht="15" thickTop="1" x14ac:dyDescent="0.2">
      <c r="B45" s="4"/>
      <c r="G45" s="41"/>
    </row>
    <row r="46" spans="2:7" x14ac:dyDescent="0.2">
      <c r="B46" s="4">
        <v>14</v>
      </c>
      <c r="C46" t="s">
        <v>41</v>
      </c>
      <c r="G46" s="41">
        <f>G35</f>
        <v>62959</v>
      </c>
    </row>
    <row r="47" spans="2:7" x14ac:dyDescent="0.2">
      <c r="B47" s="4"/>
      <c r="G47" s="41"/>
    </row>
    <row r="48" spans="2:7" x14ac:dyDescent="0.2">
      <c r="B48" s="4">
        <v>15</v>
      </c>
      <c r="C48" t="s">
        <v>42</v>
      </c>
      <c r="G48" s="42">
        <f>SUM(F16:F21)</f>
        <v>62959</v>
      </c>
    </row>
    <row r="49" spans="2:7" x14ac:dyDescent="0.2">
      <c r="B49" s="4"/>
      <c r="G49" s="41"/>
    </row>
    <row r="50" spans="2:7" ht="15" thickBot="1" x14ac:dyDescent="0.25">
      <c r="B50" s="4">
        <v>16</v>
      </c>
      <c r="C50" t="s">
        <v>43</v>
      </c>
      <c r="G50" s="43">
        <f>G46-G48</f>
        <v>0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32"/>
      <c r="G54" s="32"/>
    </row>
    <row r="55" spans="2:7" x14ac:dyDescent="0.2">
      <c r="B55" s="32"/>
      <c r="C55" s="5" t="s">
        <v>10</v>
      </c>
      <c r="D55" s="5" t="s">
        <v>73</v>
      </c>
      <c r="E55" s="27"/>
      <c r="F55" s="32"/>
      <c r="G55" s="32"/>
    </row>
    <row r="56" spans="2:7" x14ac:dyDescent="0.2">
      <c r="C56" s="13">
        <v>44743</v>
      </c>
      <c r="D56" s="12">
        <v>0</v>
      </c>
      <c r="E56" s="16"/>
      <c r="F56" s="33"/>
      <c r="G56" s="33"/>
    </row>
    <row r="57" spans="2:7" x14ac:dyDescent="0.2">
      <c r="C57" s="15">
        <v>44774</v>
      </c>
      <c r="D57" s="17">
        <v>0</v>
      </c>
      <c r="E57" s="16"/>
      <c r="F57" s="33"/>
      <c r="G57" s="33"/>
    </row>
    <row r="58" spans="2:7" x14ac:dyDescent="0.2">
      <c r="C58" s="15">
        <v>44805</v>
      </c>
      <c r="D58" s="17">
        <v>0</v>
      </c>
      <c r="E58" s="16"/>
      <c r="F58" s="33"/>
      <c r="G58" s="33"/>
    </row>
    <row r="59" spans="2:7" x14ac:dyDescent="0.2">
      <c r="C59" s="15">
        <v>44835</v>
      </c>
      <c r="D59" s="17">
        <v>0</v>
      </c>
      <c r="E59" s="16"/>
      <c r="F59" s="33"/>
      <c r="G59" s="33"/>
    </row>
    <row r="60" spans="2:7" x14ac:dyDescent="0.2">
      <c r="C60" s="15">
        <v>44866</v>
      </c>
      <c r="D60" s="17">
        <v>0</v>
      </c>
      <c r="E60" s="16"/>
      <c r="F60" s="33"/>
      <c r="G60" s="33"/>
    </row>
    <row r="61" spans="2:7" x14ac:dyDescent="0.2">
      <c r="C61" s="15">
        <v>44896</v>
      </c>
      <c r="D61" s="19">
        <v>0</v>
      </c>
      <c r="E61" s="16"/>
      <c r="F61" s="33"/>
      <c r="G61" s="33"/>
    </row>
    <row r="62" spans="2:7" x14ac:dyDescent="0.2">
      <c r="C62" s="49" t="s">
        <v>46</v>
      </c>
      <c r="D62" s="35">
        <f>SUM(D56:D61)</f>
        <v>0</v>
      </c>
      <c r="E62" s="16"/>
      <c r="F62" s="33"/>
      <c r="G62" s="33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0BF7F-A263-4CB8-82CC-791A2A798188}">
  <dimension ref="A1:G64"/>
  <sheetViews>
    <sheetView workbookViewId="0">
      <selection activeCell="A2" sqref="A2"/>
    </sheetView>
  </sheetViews>
  <sheetFormatPr defaultColWidth="12.625" defaultRowHeight="14.25" x14ac:dyDescent="0.2"/>
  <cols>
    <col min="2" max="2" width="8.75" customWidth="1"/>
    <col min="3" max="3" width="30.6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'Current 05-31-25'!$A$1</f>
        <v>Staff DR1 Response 2 - Grayson Surcharge Summary.xlsx</v>
      </c>
    </row>
    <row r="4" spans="1:7" ht="14.25" customHeight="1" x14ac:dyDescent="0.2">
      <c r="B4" s="76" t="s">
        <v>48</v>
      </c>
      <c r="C4" s="77"/>
      <c r="D4" s="77"/>
      <c r="E4" s="77"/>
      <c r="F4" s="77"/>
      <c r="G4" s="78"/>
    </row>
    <row r="5" spans="1:7" x14ac:dyDescent="0.2">
      <c r="B5" s="79"/>
      <c r="C5" s="80"/>
      <c r="D5" s="80"/>
      <c r="E5" s="80"/>
      <c r="F5" s="80"/>
      <c r="G5" s="81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8" t="s">
        <v>15</v>
      </c>
      <c r="D12" s="69"/>
      <c r="E12" s="69"/>
      <c r="F12" s="69"/>
      <c r="G12" s="70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-35546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82">
        <f>'A - 05-31-22'!G33</f>
        <v>47908</v>
      </c>
    </row>
    <row r="15" spans="1:7" x14ac:dyDescent="0.2">
      <c r="B15" s="4" t="s">
        <v>75</v>
      </c>
      <c r="C15" s="8" t="s">
        <v>80</v>
      </c>
      <c r="D15" s="8"/>
      <c r="E15" s="8"/>
      <c r="F15" s="9"/>
      <c r="G15" s="82">
        <f>'B - 11-30-22'!G35</f>
        <v>62959</v>
      </c>
    </row>
    <row r="16" spans="1:7" x14ac:dyDescent="0.2">
      <c r="B16" s="5" t="s">
        <v>81</v>
      </c>
      <c r="C16" s="8" t="s">
        <v>18</v>
      </c>
      <c r="D16" s="8"/>
      <c r="E16" s="8"/>
      <c r="F16" s="11"/>
      <c r="G16" s="12">
        <f>G13+G14+G15</f>
        <v>75321</v>
      </c>
    </row>
    <row r="17" spans="2:7" x14ac:dyDescent="0.2">
      <c r="B17" s="4">
        <v>2</v>
      </c>
      <c r="C17" s="13">
        <v>44927</v>
      </c>
      <c r="D17" s="51">
        <f>327657-17</f>
        <v>327640</v>
      </c>
      <c r="E17" s="52">
        <v>284705</v>
      </c>
      <c r="F17" s="14">
        <f t="shared" ref="F17:F24" si="0">D17-E17</f>
        <v>42935</v>
      </c>
      <c r="G17" s="12">
        <f t="shared" ref="G17:G24" si="1">G16+F17</f>
        <v>118256</v>
      </c>
    </row>
    <row r="18" spans="2:7" x14ac:dyDescent="0.2">
      <c r="B18" s="4">
        <v>3</v>
      </c>
      <c r="C18" s="15">
        <v>44958</v>
      </c>
      <c r="D18" s="53">
        <f>171105-12</f>
        <v>171093</v>
      </c>
      <c r="E18" s="54">
        <v>272273</v>
      </c>
      <c r="F18" s="16">
        <f t="shared" si="0"/>
        <v>-101180</v>
      </c>
      <c r="G18" s="17">
        <f t="shared" si="1"/>
        <v>17076</v>
      </c>
    </row>
    <row r="19" spans="2:7" x14ac:dyDescent="0.2">
      <c r="B19" s="4">
        <v>4</v>
      </c>
      <c r="C19" s="15">
        <v>44986</v>
      </c>
      <c r="D19" s="53">
        <f>224885-16</f>
        <v>224869</v>
      </c>
      <c r="E19" s="54">
        <f>231276</f>
        <v>231276</v>
      </c>
      <c r="F19" s="16">
        <f t="shared" si="0"/>
        <v>-6407</v>
      </c>
      <c r="G19" s="17">
        <f t="shared" si="1"/>
        <v>10669</v>
      </c>
    </row>
    <row r="20" spans="2:7" x14ac:dyDescent="0.2">
      <c r="B20" s="4">
        <v>5</v>
      </c>
      <c r="C20" s="15">
        <v>45017</v>
      </c>
      <c r="D20" s="53">
        <f>249100-20</f>
        <v>249080</v>
      </c>
      <c r="E20" s="54">
        <v>231130</v>
      </c>
      <c r="F20" s="16">
        <f t="shared" si="0"/>
        <v>17950</v>
      </c>
      <c r="G20" s="17">
        <f t="shared" si="1"/>
        <v>28619</v>
      </c>
    </row>
    <row r="21" spans="2:7" x14ac:dyDescent="0.2">
      <c r="B21" s="4">
        <v>6</v>
      </c>
      <c r="C21" s="15">
        <v>45047</v>
      </c>
      <c r="D21" s="53">
        <f>252257-20</f>
        <v>252237</v>
      </c>
      <c r="E21" s="54">
        <f>229602</f>
        <v>229602</v>
      </c>
      <c r="F21" s="16">
        <f t="shared" si="0"/>
        <v>22635</v>
      </c>
      <c r="G21" s="17">
        <f t="shared" si="1"/>
        <v>51254</v>
      </c>
    </row>
    <row r="22" spans="2:7" x14ac:dyDescent="0.2">
      <c r="B22" s="4">
        <v>7</v>
      </c>
      <c r="C22" s="15">
        <v>45078</v>
      </c>
      <c r="D22" s="53">
        <f>281880-27</f>
        <v>281853</v>
      </c>
      <c r="E22" s="54">
        <v>186021</v>
      </c>
      <c r="F22" s="18">
        <f t="shared" si="0"/>
        <v>95832</v>
      </c>
      <c r="G22" s="19">
        <f t="shared" si="1"/>
        <v>147086</v>
      </c>
    </row>
    <row r="23" spans="2:7" x14ac:dyDescent="0.2">
      <c r="B23" s="20" t="s">
        <v>19</v>
      </c>
      <c r="C23" s="13">
        <v>45108</v>
      </c>
      <c r="D23" s="51">
        <f>368690-28</f>
        <v>368662</v>
      </c>
      <c r="E23" s="52">
        <v>291652</v>
      </c>
      <c r="F23" s="14">
        <f t="shared" si="0"/>
        <v>77010</v>
      </c>
      <c r="G23" s="12">
        <f t="shared" si="1"/>
        <v>224096</v>
      </c>
    </row>
    <row r="24" spans="2:7" x14ac:dyDescent="0.2">
      <c r="B24" s="21" t="s">
        <v>20</v>
      </c>
      <c r="C24" s="22">
        <v>45139</v>
      </c>
      <c r="D24" s="60">
        <f>378161-0</f>
        <v>378161</v>
      </c>
      <c r="E24" s="61">
        <v>379362</v>
      </c>
      <c r="F24" s="18">
        <f t="shared" si="0"/>
        <v>-1201</v>
      </c>
      <c r="G24" s="19">
        <f t="shared" si="1"/>
        <v>222895</v>
      </c>
    </row>
    <row r="25" spans="2:7" x14ac:dyDescent="0.2">
      <c r="B25" s="5"/>
      <c r="C25" s="23" t="s">
        <v>82</v>
      </c>
      <c r="D25" s="24"/>
      <c r="E25" s="24"/>
      <c r="F25" s="24"/>
      <c r="G25" s="25"/>
    </row>
    <row r="26" spans="2:7" x14ac:dyDescent="0.2">
      <c r="B26" s="2"/>
      <c r="C26" s="1"/>
      <c r="D26" s="1"/>
      <c r="E26" s="1"/>
      <c r="F26" s="1"/>
      <c r="G26" s="12"/>
    </row>
    <row r="27" spans="2:7" x14ac:dyDescent="0.2">
      <c r="B27" s="4"/>
      <c r="C27" s="3"/>
      <c r="D27" s="4" t="s">
        <v>21</v>
      </c>
      <c r="E27" s="4" t="s">
        <v>22</v>
      </c>
      <c r="F27" s="3"/>
      <c r="G27" s="17"/>
    </row>
    <row r="28" spans="2:7" x14ac:dyDescent="0.2">
      <c r="B28" s="4">
        <v>8</v>
      </c>
      <c r="C28" s="3"/>
      <c r="D28" s="4" t="s">
        <v>23</v>
      </c>
      <c r="E28" s="4" t="s">
        <v>24</v>
      </c>
      <c r="F28" s="3"/>
      <c r="G28" s="26" t="s">
        <v>21</v>
      </c>
    </row>
    <row r="29" spans="2:7" x14ac:dyDescent="0.2">
      <c r="B29" s="4"/>
      <c r="C29" s="3"/>
      <c r="D29" s="4" t="s">
        <v>25</v>
      </c>
      <c r="E29" s="4" t="s">
        <v>26</v>
      </c>
      <c r="F29" s="3"/>
      <c r="G29" s="26" t="s">
        <v>27</v>
      </c>
    </row>
    <row r="30" spans="2:7" x14ac:dyDescent="0.2">
      <c r="B30" s="4"/>
      <c r="C30" s="3"/>
      <c r="D30" s="4" t="s">
        <v>28</v>
      </c>
      <c r="E30" s="4" t="s">
        <v>29</v>
      </c>
      <c r="F30" s="3"/>
      <c r="G30" s="26" t="s">
        <v>30</v>
      </c>
    </row>
    <row r="31" spans="2:7" x14ac:dyDescent="0.2">
      <c r="B31" s="5"/>
      <c r="C31" s="3"/>
      <c r="D31" s="4" t="s">
        <v>31</v>
      </c>
      <c r="E31" s="4" t="s">
        <v>32</v>
      </c>
      <c r="F31" s="3"/>
      <c r="G31" s="26" t="s">
        <v>33</v>
      </c>
    </row>
    <row r="32" spans="2:7" x14ac:dyDescent="0.2">
      <c r="B32" s="20" t="s">
        <v>34</v>
      </c>
      <c r="C32" s="1" t="s">
        <v>71</v>
      </c>
      <c r="D32" s="12">
        <f>-G13</f>
        <v>35546</v>
      </c>
      <c r="E32" s="12">
        <f>D64</f>
        <v>0</v>
      </c>
      <c r="F32" s="1"/>
      <c r="G32" s="12">
        <f t="shared" ref="G32:G34" si="2">D32+E32</f>
        <v>35546</v>
      </c>
    </row>
    <row r="33" spans="2:7" x14ac:dyDescent="0.2">
      <c r="B33" s="27" t="s">
        <v>35</v>
      </c>
      <c r="C33" s="83" t="s">
        <v>77</v>
      </c>
      <c r="D33" s="17">
        <f>-G14</f>
        <v>-47908</v>
      </c>
      <c r="E33" s="17">
        <v>0</v>
      </c>
      <c r="F33" s="3"/>
      <c r="G33" s="17">
        <f t="shared" si="2"/>
        <v>-47908</v>
      </c>
    </row>
    <row r="34" spans="2:7" x14ac:dyDescent="0.2">
      <c r="B34" s="27" t="s">
        <v>78</v>
      </c>
      <c r="C34" s="45" t="s">
        <v>83</v>
      </c>
      <c r="D34" s="19">
        <f>-G15</f>
        <v>-62959</v>
      </c>
      <c r="E34" s="19">
        <v>0</v>
      </c>
      <c r="F34" s="28"/>
      <c r="G34" s="19">
        <f t="shared" si="2"/>
        <v>-62959</v>
      </c>
    </row>
    <row r="35" spans="2:7" x14ac:dyDescent="0.2">
      <c r="B35" s="5" t="s">
        <v>84</v>
      </c>
      <c r="C35" s="29"/>
      <c r="D35" s="30"/>
      <c r="E35" s="30"/>
      <c r="F35" s="31" t="s">
        <v>36</v>
      </c>
      <c r="G35" s="19">
        <f>G32+G33+G34</f>
        <v>-75321</v>
      </c>
    </row>
    <row r="36" spans="2:7" x14ac:dyDescent="0.2">
      <c r="B36" s="32"/>
      <c r="G36" s="33"/>
    </row>
    <row r="37" spans="2:7" x14ac:dyDescent="0.2">
      <c r="B37" s="6">
        <v>9</v>
      </c>
      <c r="C37" s="34" t="s">
        <v>85</v>
      </c>
      <c r="D37" s="8"/>
      <c r="E37" s="8"/>
      <c r="F37" s="9"/>
      <c r="G37" s="35">
        <f>G22+G35</f>
        <v>71765</v>
      </c>
    </row>
    <row r="38" spans="2:7" x14ac:dyDescent="0.2">
      <c r="B38" s="32"/>
      <c r="G38" s="33"/>
    </row>
    <row r="39" spans="2:7" x14ac:dyDescent="0.2">
      <c r="B39" s="6">
        <v>10</v>
      </c>
      <c r="C39" s="34" t="s">
        <v>72</v>
      </c>
      <c r="D39" s="8"/>
      <c r="E39" s="8"/>
      <c r="F39" s="9"/>
      <c r="G39" s="35">
        <f>G37/6</f>
        <v>11960.833333333334</v>
      </c>
    </row>
    <row r="41" spans="2:7" x14ac:dyDescent="0.2">
      <c r="B41" s="1"/>
      <c r="C41" s="36" t="s">
        <v>37</v>
      </c>
      <c r="D41" s="37"/>
      <c r="E41" s="37"/>
      <c r="F41" s="37"/>
      <c r="G41" s="38"/>
    </row>
    <row r="42" spans="2:7" x14ac:dyDescent="0.2">
      <c r="B42" s="1"/>
      <c r="C42" s="39"/>
      <c r="D42" s="39"/>
      <c r="E42" s="39"/>
      <c r="F42" s="39"/>
      <c r="G42" s="11"/>
    </row>
    <row r="43" spans="2:7" x14ac:dyDescent="0.2">
      <c r="B43" s="4">
        <v>11</v>
      </c>
      <c r="C43" t="s">
        <v>38</v>
      </c>
      <c r="G43" s="41">
        <f>G16</f>
        <v>75321</v>
      </c>
    </row>
    <row r="44" spans="2:7" x14ac:dyDescent="0.2">
      <c r="B44" s="4">
        <v>12</v>
      </c>
      <c r="C44" t="s">
        <v>39</v>
      </c>
      <c r="G44" s="42">
        <f>G35</f>
        <v>-75321</v>
      </c>
    </row>
    <row r="45" spans="2:7" x14ac:dyDescent="0.2">
      <c r="B45" s="4"/>
      <c r="G45" s="41"/>
    </row>
    <row r="46" spans="2:7" ht="15" thickBot="1" x14ac:dyDescent="0.25">
      <c r="B46" s="4">
        <v>13</v>
      </c>
      <c r="C46" t="s">
        <v>40</v>
      </c>
      <c r="G46" s="43">
        <f>G43+G44</f>
        <v>0</v>
      </c>
    </row>
    <row r="47" spans="2:7" ht="15" thickTop="1" x14ac:dyDescent="0.2">
      <c r="B47" s="4"/>
      <c r="G47" s="41"/>
    </row>
    <row r="48" spans="2:7" x14ac:dyDescent="0.2">
      <c r="B48" s="4">
        <v>14</v>
      </c>
      <c r="C48" t="s">
        <v>41</v>
      </c>
      <c r="G48" s="41">
        <f>G37</f>
        <v>71765</v>
      </c>
    </row>
    <row r="49" spans="2:7" x14ac:dyDescent="0.2">
      <c r="B49" s="4"/>
      <c r="G49" s="41"/>
    </row>
    <row r="50" spans="2:7" x14ac:dyDescent="0.2">
      <c r="B50" s="4">
        <v>15</v>
      </c>
      <c r="C50" t="s">
        <v>42</v>
      </c>
      <c r="G50" s="42">
        <f>SUM(F17:F22)</f>
        <v>71765</v>
      </c>
    </row>
    <row r="51" spans="2:7" x14ac:dyDescent="0.2">
      <c r="B51" s="4"/>
      <c r="G51" s="41"/>
    </row>
    <row r="52" spans="2:7" ht="15" thickBot="1" x14ac:dyDescent="0.25">
      <c r="B52" s="4">
        <v>16</v>
      </c>
      <c r="C52" t="s">
        <v>43</v>
      </c>
      <c r="G52" s="43">
        <f>G48-G50</f>
        <v>0</v>
      </c>
    </row>
    <row r="53" spans="2:7" ht="15" thickTop="1" x14ac:dyDescent="0.2">
      <c r="B53" s="28"/>
      <c r="C53" s="44"/>
      <c r="D53" s="44"/>
      <c r="E53" s="44"/>
      <c r="F53" s="44"/>
      <c r="G53" s="45"/>
    </row>
    <row r="55" spans="2:7" x14ac:dyDescent="0.2">
      <c r="B55" t="s">
        <v>44</v>
      </c>
    </row>
    <row r="56" spans="2:7" x14ac:dyDescent="0.2">
      <c r="B56" s="32"/>
      <c r="C56" s="1"/>
      <c r="D56" s="2" t="s">
        <v>45</v>
      </c>
      <c r="E56" s="27"/>
      <c r="F56" s="32"/>
      <c r="G56" s="32"/>
    </row>
    <row r="57" spans="2:7" x14ac:dyDescent="0.2">
      <c r="B57" s="32"/>
      <c r="C57" s="5" t="s">
        <v>10</v>
      </c>
      <c r="D57" s="5" t="s">
        <v>73</v>
      </c>
      <c r="E57" s="27"/>
      <c r="F57" s="32"/>
      <c r="G57" s="32"/>
    </row>
    <row r="58" spans="2:7" x14ac:dyDescent="0.2">
      <c r="C58" s="13">
        <v>44927</v>
      </c>
      <c r="D58" s="12">
        <v>0</v>
      </c>
      <c r="E58" s="16"/>
      <c r="F58" s="33"/>
      <c r="G58" s="33"/>
    </row>
    <row r="59" spans="2:7" x14ac:dyDescent="0.2">
      <c r="C59" s="15">
        <v>44958</v>
      </c>
      <c r="D59" s="17">
        <v>0</v>
      </c>
      <c r="E59" s="16"/>
      <c r="F59" s="33"/>
      <c r="G59" s="33"/>
    </row>
    <row r="60" spans="2:7" x14ac:dyDescent="0.2">
      <c r="C60" s="15">
        <v>44986</v>
      </c>
      <c r="D60" s="17">
        <v>0</v>
      </c>
      <c r="E60" s="16"/>
      <c r="F60" s="33"/>
      <c r="G60" s="33"/>
    </row>
    <row r="61" spans="2:7" x14ac:dyDescent="0.2">
      <c r="C61" s="15">
        <v>45017</v>
      </c>
      <c r="D61" s="17">
        <v>0</v>
      </c>
      <c r="E61" s="16"/>
      <c r="F61" s="33"/>
      <c r="G61" s="33"/>
    </row>
    <row r="62" spans="2:7" x14ac:dyDescent="0.2">
      <c r="C62" s="15">
        <v>45047</v>
      </c>
      <c r="D62" s="17">
        <v>0</v>
      </c>
      <c r="E62" s="16"/>
      <c r="F62" s="33"/>
      <c r="G62" s="33"/>
    </row>
    <row r="63" spans="2:7" x14ac:dyDescent="0.2">
      <c r="C63" s="15">
        <v>45078</v>
      </c>
      <c r="D63" s="19">
        <v>0</v>
      </c>
      <c r="E63" s="16"/>
      <c r="F63" s="33"/>
      <c r="G63" s="33"/>
    </row>
    <row r="64" spans="2:7" x14ac:dyDescent="0.2">
      <c r="C64" s="49" t="s">
        <v>46</v>
      </c>
      <c r="D64" s="35">
        <f>SUM(D58:D63)</f>
        <v>0</v>
      </c>
      <c r="E64" s="16"/>
      <c r="F64" s="33"/>
      <c r="G64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33762-F112-4AD3-A4E1-900D3F50FB3B}">
  <dimension ref="A1:G66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1.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'Current 05-31-25'!$A$1</f>
        <v>Staff DR1 Response 2 - Grayson Surcharge Summary.xlsx</v>
      </c>
    </row>
    <row r="4" spans="1:7" ht="14.25" customHeight="1" x14ac:dyDescent="0.2">
      <c r="B4" s="76" t="s">
        <v>48</v>
      </c>
      <c r="C4" s="77"/>
      <c r="D4" s="77"/>
      <c r="E4" s="77"/>
      <c r="F4" s="77"/>
      <c r="G4" s="78"/>
    </row>
    <row r="5" spans="1:7" x14ac:dyDescent="0.2">
      <c r="B5" s="79"/>
      <c r="C5" s="80"/>
      <c r="D5" s="80"/>
      <c r="E5" s="80"/>
      <c r="F5" s="80"/>
      <c r="G5" s="81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8" t="s">
        <v>15</v>
      </c>
      <c r="D12" s="69"/>
      <c r="E12" s="69"/>
      <c r="F12" s="69"/>
      <c r="G12" s="70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-35546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82">
        <f>'A - 05-31-22'!G33</f>
        <v>47908</v>
      </c>
    </row>
    <row r="15" spans="1:7" x14ac:dyDescent="0.2">
      <c r="B15" s="4" t="s">
        <v>75</v>
      </c>
      <c r="C15" s="8" t="s">
        <v>80</v>
      </c>
      <c r="D15" s="8"/>
      <c r="E15" s="8"/>
      <c r="F15" s="9"/>
      <c r="G15" s="82">
        <f>'B - 11-30-22'!G35</f>
        <v>62959</v>
      </c>
    </row>
    <row r="16" spans="1:7" x14ac:dyDescent="0.2">
      <c r="B16" s="4" t="s">
        <v>81</v>
      </c>
      <c r="C16" s="8" t="s">
        <v>86</v>
      </c>
      <c r="D16" s="8"/>
      <c r="E16" s="8"/>
      <c r="F16" s="11"/>
      <c r="G16" s="51">
        <f>'C - 05-31-23'!G37</f>
        <v>71765</v>
      </c>
    </row>
    <row r="17" spans="2:7" x14ac:dyDescent="0.2">
      <c r="B17" s="5" t="s">
        <v>87</v>
      </c>
      <c r="C17" s="8" t="s">
        <v>18</v>
      </c>
      <c r="D17" s="8"/>
      <c r="E17" s="8"/>
      <c r="F17" s="11"/>
      <c r="G17" s="12">
        <f>G13+G14+G15+G16</f>
        <v>147086</v>
      </c>
    </row>
    <row r="18" spans="2:7" x14ac:dyDescent="0.2">
      <c r="B18" s="4">
        <v>2</v>
      </c>
      <c r="C18" s="13">
        <v>45108</v>
      </c>
      <c r="D18" s="51">
        <f>368690-28</f>
        <v>368662</v>
      </c>
      <c r="E18" s="52">
        <f>378161-0</f>
        <v>378161</v>
      </c>
      <c r="F18" s="14">
        <f t="shared" ref="F18:F25" si="0">D18-E18</f>
        <v>-9499</v>
      </c>
      <c r="G18" s="12">
        <f t="shared" ref="G18:G25" si="1">G17+F18</f>
        <v>137587</v>
      </c>
    </row>
    <row r="19" spans="2:7" x14ac:dyDescent="0.2">
      <c r="B19" s="4">
        <v>3</v>
      </c>
      <c r="C19" s="15">
        <v>45139</v>
      </c>
      <c r="D19" s="53">
        <f>378161-0</f>
        <v>378161</v>
      </c>
      <c r="E19" s="54">
        <f>256075-0</f>
        <v>256075</v>
      </c>
      <c r="F19" s="16">
        <f t="shared" si="0"/>
        <v>122086</v>
      </c>
      <c r="G19" s="17">
        <f t="shared" si="1"/>
        <v>259673</v>
      </c>
    </row>
    <row r="20" spans="2:7" x14ac:dyDescent="0.2">
      <c r="B20" s="4">
        <v>4</v>
      </c>
      <c r="C20" s="15">
        <v>45170</v>
      </c>
      <c r="D20" s="53">
        <f>256075-0</f>
        <v>256075</v>
      </c>
      <c r="E20" s="54">
        <f>229798-25</f>
        <v>229773</v>
      </c>
      <c r="F20" s="16">
        <f t="shared" si="0"/>
        <v>26302</v>
      </c>
      <c r="G20" s="17">
        <f t="shared" si="1"/>
        <v>285975</v>
      </c>
    </row>
    <row r="21" spans="2:7" x14ac:dyDescent="0.2">
      <c r="B21" s="4">
        <v>5</v>
      </c>
      <c r="C21" s="15">
        <v>45200</v>
      </c>
      <c r="D21" s="53">
        <f>229798-25</f>
        <v>229773</v>
      </c>
      <c r="E21" s="54">
        <f>322924-32</f>
        <v>322892</v>
      </c>
      <c r="F21" s="16">
        <f t="shared" si="0"/>
        <v>-93119</v>
      </c>
      <c r="G21" s="17">
        <f t="shared" si="1"/>
        <v>192856</v>
      </c>
    </row>
    <row r="22" spans="2:7" x14ac:dyDescent="0.2">
      <c r="B22" s="4">
        <v>6</v>
      </c>
      <c r="C22" s="15">
        <v>45231</v>
      </c>
      <c r="D22" s="53">
        <f>322924-32</f>
        <v>322892</v>
      </c>
      <c r="E22" s="54">
        <f>336426-35</f>
        <v>336391</v>
      </c>
      <c r="F22" s="16">
        <f t="shared" si="0"/>
        <v>-13499</v>
      </c>
      <c r="G22" s="17">
        <f t="shared" si="1"/>
        <v>179357</v>
      </c>
    </row>
    <row r="23" spans="2:7" x14ac:dyDescent="0.2">
      <c r="B23" s="4">
        <v>7</v>
      </c>
      <c r="C23" s="15">
        <v>45261</v>
      </c>
      <c r="D23" s="53">
        <f>336426-35</f>
        <v>336391</v>
      </c>
      <c r="E23" s="54">
        <f>383982-32</f>
        <v>383950</v>
      </c>
      <c r="F23" s="18">
        <f t="shared" si="0"/>
        <v>-47559</v>
      </c>
      <c r="G23" s="19">
        <f t="shared" si="1"/>
        <v>131798</v>
      </c>
    </row>
    <row r="24" spans="2:7" x14ac:dyDescent="0.2">
      <c r="B24" s="20" t="s">
        <v>19</v>
      </c>
      <c r="C24" s="13">
        <v>45292</v>
      </c>
      <c r="D24" s="51">
        <f>383982-32</f>
        <v>383950</v>
      </c>
      <c r="E24" s="52">
        <f>312448-31</f>
        <v>312417</v>
      </c>
      <c r="F24" s="14">
        <f t="shared" si="0"/>
        <v>71533</v>
      </c>
      <c r="G24" s="12">
        <f t="shared" si="1"/>
        <v>203331</v>
      </c>
    </row>
    <row r="25" spans="2:7" x14ac:dyDescent="0.2">
      <c r="B25" s="21" t="s">
        <v>20</v>
      </c>
      <c r="C25" s="22">
        <v>45323</v>
      </c>
      <c r="D25" s="60">
        <f>312448-31</f>
        <v>312417</v>
      </c>
      <c r="E25" s="61">
        <f>192761-23</f>
        <v>192738</v>
      </c>
      <c r="F25" s="18">
        <f t="shared" si="0"/>
        <v>119679</v>
      </c>
      <c r="G25" s="19">
        <f t="shared" si="1"/>
        <v>323010</v>
      </c>
    </row>
    <row r="26" spans="2:7" x14ac:dyDescent="0.2">
      <c r="B26" s="5"/>
      <c r="C26" s="23" t="s">
        <v>88</v>
      </c>
      <c r="D26" s="24"/>
      <c r="E26" s="24"/>
      <c r="F26" s="24"/>
      <c r="G26" s="25"/>
    </row>
    <row r="27" spans="2:7" x14ac:dyDescent="0.2">
      <c r="B27" s="2"/>
      <c r="C27" s="1"/>
      <c r="D27" s="1"/>
      <c r="E27" s="1"/>
      <c r="F27" s="1"/>
      <c r="G27" s="12"/>
    </row>
    <row r="28" spans="2:7" x14ac:dyDescent="0.2">
      <c r="B28" s="4"/>
      <c r="C28" s="3"/>
      <c r="D28" s="4" t="s">
        <v>21</v>
      </c>
      <c r="E28" s="4" t="s">
        <v>22</v>
      </c>
      <c r="F28" s="3"/>
      <c r="G28" s="17"/>
    </row>
    <row r="29" spans="2:7" x14ac:dyDescent="0.2">
      <c r="B29" s="4">
        <v>8</v>
      </c>
      <c r="C29" s="3"/>
      <c r="D29" s="4" t="s">
        <v>23</v>
      </c>
      <c r="E29" s="4" t="s">
        <v>24</v>
      </c>
      <c r="F29" s="3"/>
      <c r="G29" s="26" t="s">
        <v>21</v>
      </c>
    </row>
    <row r="30" spans="2:7" x14ac:dyDescent="0.2">
      <c r="B30" s="4"/>
      <c r="C30" s="3"/>
      <c r="D30" s="4" t="s">
        <v>25</v>
      </c>
      <c r="E30" s="4" t="s">
        <v>26</v>
      </c>
      <c r="F30" s="3"/>
      <c r="G30" s="26" t="s">
        <v>27</v>
      </c>
    </row>
    <row r="31" spans="2:7" x14ac:dyDescent="0.2">
      <c r="B31" s="4"/>
      <c r="C31" s="3"/>
      <c r="D31" s="4" t="s">
        <v>28</v>
      </c>
      <c r="E31" s="4" t="s">
        <v>29</v>
      </c>
      <c r="F31" s="3"/>
      <c r="G31" s="26" t="s">
        <v>30</v>
      </c>
    </row>
    <row r="32" spans="2:7" x14ac:dyDescent="0.2">
      <c r="B32" s="5"/>
      <c r="C32" s="3"/>
      <c r="D32" s="4" t="s">
        <v>31</v>
      </c>
      <c r="E32" s="4" t="s">
        <v>32</v>
      </c>
      <c r="F32" s="3"/>
      <c r="G32" s="26" t="s">
        <v>33</v>
      </c>
    </row>
    <row r="33" spans="2:7" x14ac:dyDescent="0.2">
      <c r="B33" s="20" t="s">
        <v>34</v>
      </c>
      <c r="C33" s="84" t="s">
        <v>89</v>
      </c>
      <c r="D33" s="85">
        <f>-G13</f>
        <v>35546</v>
      </c>
      <c r="E33" s="85">
        <f>D66</f>
        <v>0</v>
      </c>
      <c r="F33" s="39"/>
      <c r="G33" s="86">
        <f t="shared" ref="G33:G36" si="2">D33+E33</f>
        <v>35546</v>
      </c>
    </row>
    <row r="34" spans="2:7" x14ac:dyDescent="0.2">
      <c r="B34" s="27" t="s">
        <v>35</v>
      </c>
      <c r="C34" s="87" t="s">
        <v>77</v>
      </c>
      <c r="D34" s="33">
        <f>-G14</f>
        <v>-47908</v>
      </c>
      <c r="E34" s="33">
        <v>0</v>
      </c>
      <c r="G34" s="41">
        <f t="shared" si="2"/>
        <v>-47908</v>
      </c>
    </row>
    <row r="35" spans="2:7" x14ac:dyDescent="0.2">
      <c r="B35" s="27" t="s">
        <v>78</v>
      </c>
      <c r="C35" s="87" t="s">
        <v>83</v>
      </c>
      <c r="D35" s="33">
        <f>-G15</f>
        <v>-62959</v>
      </c>
      <c r="E35" s="33">
        <v>0</v>
      </c>
      <c r="G35" s="41">
        <f t="shared" si="2"/>
        <v>-62959</v>
      </c>
    </row>
    <row r="36" spans="2:7" x14ac:dyDescent="0.2">
      <c r="B36" s="27" t="s">
        <v>84</v>
      </c>
      <c r="C36" s="88" t="s">
        <v>90</v>
      </c>
      <c r="D36" s="89">
        <f>-G16</f>
        <v>-71765</v>
      </c>
      <c r="E36" s="89">
        <v>0</v>
      </c>
      <c r="F36" s="44"/>
      <c r="G36" s="42">
        <f t="shared" si="2"/>
        <v>-71765</v>
      </c>
    </row>
    <row r="37" spans="2:7" x14ac:dyDescent="0.2">
      <c r="B37" s="5" t="s">
        <v>91</v>
      </c>
      <c r="C37" s="29"/>
      <c r="D37" s="30"/>
      <c r="E37" s="30"/>
      <c r="F37" s="31" t="s">
        <v>36</v>
      </c>
      <c r="G37" s="19">
        <f>G33+G34+G35+G36</f>
        <v>-147086</v>
      </c>
    </row>
    <row r="38" spans="2:7" x14ac:dyDescent="0.2">
      <c r="B38" s="32"/>
      <c r="G38" s="33"/>
    </row>
    <row r="39" spans="2:7" x14ac:dyDescent="0.2">
      <c r="B39" s="6">
        <v>9</v>
      </c>
      <c r="C39" s="34" t="s">
        <v>92</v>
      </c>
      <c r="D39" s="8"/>
      <c r="E39" s="8"/>
      <c r="F39" s="9"/>
      <c r="G39" s="35">
        <f>G23+G37</f>
        <v>-15288</v>
      </c>
    </row>
    <row r="40" spans="2:7" x14ac:dyDescent="0.2">
      <c r="B40" s="32"/>
      <c r="G40" s="33"/>
    </row>
    <row r="41" spans="2:7" x14ac:dyDescent="0.2">
      <c r="B41" s="6">
        <v>10</v>
      </c>
      <c r="C41" s="34" t="s">
        <v>72</v>
      </c>
      <c r="D41" s="8"/>
      <c r="E41" s="8"/>
      <c r="F41" s="9"/>
      <c r="G41" s="35">
        <f>G39/6</f>
        <v>-2548</v>
      </c>
    </row>
    <row r="43" spans="2:7" x14ac:dyDescent="0.2">
      <c r="B43" s="1"/>
      <c r="C43" s="36" t="s">
        <v>37</v>
      </c>
      <c r="D43" s="37"/>
      <c r="E43" s="37"/>
      <c r="F43" s="37"/>
      <c r="G43" s="38"/>
    </row>
    <row r="44" spans="2:7" x14ac:dyDescent="0.2">
      <c r="B44" s="1"/>
      <c r="C44" s="39"/>
      <c r="D44" s="39"/>
      <c r="E44" s="39"/>
      <c r="F44" s="39"/>
      <c r="G44" s="11"/>
    </row>
    <row r="45" spans="2:7" x14ac:dyDescent="0.2">
      <c r="B45" s="4">
        <v>11</v>
      </c>
      <c r="C45" t="s">
        <v>38</v>
      </c>
      <c r="G45" s="41">
        <f>G17</f>
        <v>147086</v>
      </c>
    </row>
    <row r="46" spans="2:7" x14ac:dyDescent="0.2">
      <c r="B46" s="4">
        <v>12</v>
      </c>
      <c r="C46" t="s">
        <v>39</v>
      </c>
      <c r="G46" s="42">
        <f>G37</f>
        <v>-147086</v>
      </c>
    </row>
    <row r="47" spans="2:7" x14ac:dyDescent="0.2">
      <c r="B47" s="4"/>
      <c r="G47" s="41"/>
    </row>
    <row r="48" spans="2:7" ht="15" thickBot="1" x14ac:dyDescent="0.25">
      <c r="B48" s="4">
        <v>13</v>
      </c>
      <c r="C48" t="s">
        <v>40</v>
      </c>
      <c r="G48" s="43">
        <f>G45+G46</f>
        <v>0</v>
      </c>
    </row>
    <row r="49" spans="2:7" ht="15" thickTop="1" x14ac:dyDescent="0.2">
      <c r="B49" s="4"/>
      <c r="G49" s="41"/>
    </row>
    <row r="50" spans="2:7" x14ac:dyDescent="0.2">
      <c r="B50" s="4">
        <v>14</v>
      </c>
      <c r="C50" t="s">
        <v>41</v>
      </c>
      <c r="G50" s="41">
        <f>G39</f>
        <v>-15288</v>
      </c>
    </row>
    <row r="51" spans="2:7" x14ac:dyDescent="0.2">
      <c r="B51" s="4"/>
      <c r="G51" s="41"/>
    </row>
    <row r="52" spans="2:7" x14ac:dyDescent="0.2">
      <c r="B52" s="4">
        <v>15</v>
      </c>
      <c r="C52" t="s">
        <v>42</v>
      </c>
      <c r="G52" s="42">
        <f>SUM(F18:F23)</f>
        <v>-15288</v>
      </c>
    </row>
    <row r="53" spans="2:7" x14ac:dyDescent="0.2">
      <c r="B53" s="4"/>
      <c r="G53" s="41"/>
    </row>
    <row r="54" spans="2:7" ht="15" thickBot="1" x14ac:dyDescent="0.25">
      <c r="B54" s="4">
        <v>16</v>
      </c>
      <c r="C54" t="s">
        <v>43</v>
      </c>
      <c r="G54" s="43">
        <f>G50-G52</f>
        <v>0</v>
      </c>
    </row>
    <row r="55" spans="2:7" ht="15" thickTop="1" x14ac:dyDescent="0.2">
      <c r="B55" s="28"/>
      <c r="C55" s="44"/>
      <c r="D55" s="44"/>
      <c r="E55" s="44"/>
      <c r="F55" s="44"/>
      <c r="G55" s="45"/>
    </row>
    <row r="57" spans="2:7" x14ac:dyDescent="0.2">
      <c r="B57" t="s">
        <v>44</v>
      </c>
    </row>
    <row r="58" spans="2:7" x14ac:dyDescent="0.2">
      <c r="B58" s="32"/>
      <c r="C58" s="1"/>
      <c r="D58" s="2" t="s">
        <v>45</v>
      </c>
      <c r="E58" s="27"/>
      <c r="F58" s="32"/>
      <c r="G58" s="32"/>
    </row>
    <row r="59" spans="2:7" x14ac:dyDescent="0.2">
      <c r="B59" s="32"/>
      <c r="C59" s="5" t="s">
        <v>10</v>
      </c>
      <c r="D59" s="5" t="s">
        <v>73</v>
      </c>
      <c r="E59" s="27"/>
      <c r="F59" s="32"/>
      <c r="G59" s="32"/>
    </row>
    <row r="60" spans="2:7" x14ac:dyDescent="0.2">
      <c r="C60" s="13">
        <v>45108</v>
      </c>
      <c r="D60" s="12">
        <v>0</v>
      </c>
      <c r="E60" s="16"/>
      <c r="F60" s="33"/>
      <c r="G60" s="33"/>
    </row>
    <row r="61" spans="2:7" x14ac:dyDescent="0.2">
      <c r="C61" s="15">
        <v>45139</v>
      </c>
      <c r="D61" s="17">
        <v>0</v>
      </c>
      <c r="E61" s="16"/>
      <c r="F61" s="33"/>
      <c r="G61" s="33"/>
    </row>
    <row r="62" spans="2:7" x14ac:dyDescent="0.2">
      <c r="C62" s="15">
        <v>45170</v>
      </c>
      <c r="D62" s="17">
        <v>0</v>
      </c>
      <c r="E62" s="16"/>
      <c r="F62" s="33"/>
      <c r="G62" s="33"/>
    </row>
    <row r="63" spans="2:7" x14ac:dyDescent="0.2">
      <c r="C63" s="15">
        <v>45200</v>
      </c>
      <c r="D63" s="17">
        <v>0</v>
      </c>
      <c r="E63" s="16"/>
      <c r="F63" s="33"/>
      <c r="G63" s="33"/>
    </row>
    <row r="64" spans="2:7" x14ac:dyDescent="0.2">
      <c r="C64" s="15">
        <v>45231</v>
      </c>
      <c r="D64" s="17">
        <v>0</v>
      </c>
      <c r="E64" s="16"/>
      <c r="F64" s="33"/>
      <c r="G64" s="33"/>
    </row>
    <row r="65" spans="3:7" x14ac:dyDescent="0.2">
      <c r="C65" s="15">
        <v>45261</v>
      </c>
      <c r="D65" s="19">
        <v>0</v>
      </c>
      <c r="E65" s="16"/>
      <c r="F65" s="33"/>
      <c r="G65" s="33"/>
    </row>
    <row r="66" spans="3:7" x14ac:dyDescent="0.2">
      <c r="C66" s="49" t="s">
        <v>46</v>
      </c>
      <c r="D66" s="35">
        <f>SUM(D60:D65)</f>
        <v>0</v>
      </c>
      <c r="E66" s="16"/>
      <c r="F66" s="33"/>
      <c r="G66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0ACBB-D617-4CE6-8418-F9059ABA547C}">
  <dimension ref="A1:G68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25" customWidth="1"/>
    <col min="7" max="7" width="17.625" customWidth="1"/>
  </cols>
  <sheetData>
    <row r="1" spans="1:7" x14ac:dyDescent="0.2">
      <c r="A1" t="str">
        <f>'Current 05-31-25'!$A$1</f>
        <v>Staff DR1 Response 2 - Grayson Surcharge Summary.xlsx</v>
      </c>
    </row>
    <row r="4" spans="1:7" ht="14.25" customHeight="1" x14ac:dyDescent="0.2">
      <c r="B4" s="76" t="s">
        <v>48</v>
      </c>
      <c r="C4" s="77"/>
      <c r="D4" s="77"/>
      <c r="E4" s="77"/>
      <c r="F4" s="77"/>
      <c r="G4" s="78"/>
    </row>
    <row r="5" spans="1:7" x14ac:dyDescent="0.2">
      <c r="B5" s="79"/>
      <c r="C5" s="80"/>
      <c r="D5" s="80"/>
      <c r="E5" s="80"/>
      <c r="F5" s="80"/>
      <c r="G5" s="81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8" t="s">
        <v>15</v>
      </c>
      <c r="D12" s="69"/>
      <c r="E12" s="69"/>
      <c r="F12" s="69"/>
      <c r="G12" s="70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-35546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82">
        <f>'A - 05-31-22'!G33</f>
        <v>47908</v>
      </c>
    </row>
    <row r="15" spans="1:7" x14ac:dyDescent="0.2">
      <c r="B15" s="4" t="s">
        <v>75</v>
      </c>
      <c r="C15" s="8" t="s">
        <v>80</v>
      </c>
      <c r="D15" s="8"/>
      <c r="E15" s="8"/>
      <c r="F15" s="9"/>
      <c r="G15" s="82">
        <f>'B - 11-30-22'!G35</f>
        <v>62959</v>
      </c>
    </row>
    <row r="16" spans="1:7" x14ac:dyDescent="0.2">
      <c r="B16" s="4" t="s">
        <v>81</v>
      </c>
      <c r="C16" s="8" t="s">
        <v>86</v>
      </c>
      <c r="D16" s="8"/>
      <c r="E16" s="8"/>
      <c r="F16" s="11"/>
      <c r="G16" s="51">
        <f>'C - 05-31-23'!G37</f>
        <v>71765</v>
      </c>
    </row>
    <row r="17" spans="2:7" x14ac:dyDescent="0.2">
      <c r="B17" s="4" t="s">
        <v>87</v>
      </c>
      <c r="C17" s="8" t="s">
        <v>93</v>
      </c>
      <c r="D17" s="8"/>
      <c r="E17" s="8"/>
      <c r="F17" s="11"/>
      <c r="G17" s="51">
        <f>'D - 11-30-23'!G39</f>
        <v>-15288</v>
      </c>
    </row>
    <row r="18" spans="2:7" x14ac:dyDescent="0.2">
      <c r="B18" s="5" t="s">
        <v>94</v>
      </c>
      <c r="C18" s="8" t="s">
        <v>18</v>
      </c>
      <c r="D18" s="8"/>
      <c r="E18" s="8"/>
      <c r="F18" s="11"/>
      <c r="G18" s="12">
        <f>G13+G14+G15+G16+G17</f>
        <v>131798</v>
      </c>
    </row>
    <row r="19" spans="2:7" x14ac:dyDescent="0.2">
      <c r="B19" s="4">
        <v>2</v>
      </c>
      <c r="C19" s="13">
        <v>45292</v>
      </c>
      <c r="D19" s="51">
        <f>383982-32</f>
        <v>383950</v>
      </c>
      <c r="E19" s="52">
        <f>310067</f>
        <v>310067</v>
      </c>
      <c r="F19" s="14">
        <f t="shared" ref="F19:F26" si="0">D19-E19</f>
        <v>73883</v>
      </c>
      <c r="G19" s="12">
        <f t="shared" ref="G19:G26" si="1">G18+F19</f>
        <v>205681</v>
      </c>
    </row>
    <row r="20" spans="2:7" x14ac:dyDescent="0.2">
      <c r="B20" s="4">
        <v>3</v>
      </c>
      <c r="C20" s="15">
        <v>45323</v>
      </c>
      <c r="D20" s="53">
        <f>312448-31</f>
        <v>312417</v>
      </c>
      <c r="E20" s="54">
        <f>298033</f>
        <v>298033</v>
      </c>
      <c r="F20" s="16">
        <f t="shared" si="0"/>
        <v>14384</v>
      </c>
      <c r="G20" s="17">
        <f t="shared" si="1"/>
        <v>220065</v>
      </c>
    </row>
    <row r="21" spans="2:7" x14ac:dyDescent="0.2">
      <c r="B21" s="4">
        <v>4</v>
      </c>
      <c r="C21" s="15">
        <v>45352</v>
      </c>
      <c r="D21" s="53">
        <f>192761-23</f>
        <v>192738</v>
      </c>
      <c r="E21" s="54">
        <f>360810</f>
        <v>360810</v>
      </c>
      <c r="F21" s="16">
        <f t="shared" si="0"/>
        <v>-168072</v>
      </c>
      <c r="G21" s="17">
        <f t="shared" si="1"/>
        <v>51993</v>
      </c>
    </row>
    <row r="22" spans="2:7" x14ac:dyDescent="0.2">
      <c r="B22" s="4">
        <v>5</v>
      </c>
      <c r="C22" s="15">
        <v>45383</v>
      </c>
      <c r="D22" s="53">
        <f>204879-32</f>
        <v>204847</v>
      </c>
      <c r="E22" s="54">
        <f>239388</f>
        <v>239388</v>
      </c>
      <c r="F22" s="16">
        <f t="shared" si="0"/>
        <v>-34541</v>
      </c>
      <c r="G22" s="17">
        <f t="shared" si="1"/>
        <v>17452</v>
      </c>
    </row>
    <row r="23" spans="2:7" x14ac:dyDescent="0.2">
      <c r="B23" s="4">
        <v>6</v>
      </c>
      <c r="C23" s="15">
        <v>45413</v>
      </c>
      <c r="D23" s="53">
        <f>285913-39</f>
        <v>285874</v>
      </c>
      <c r="E23" s="54">
        <f>235881</f>
        <v>235881</v>
      </c>
      <c r="F23" s="16">
        <f t="shared" si="0"/>
        <v>49993</v>
      </c>
      <c r="G23" s="17">
        <f t="shared" si="1"/>
        <v>67445</v>
      </c>
    </row>
    <row r="24" spans="2:7" x14ac:dyDescent="0.2">
      <c r="B24" s="4">
        <v>7</v>
      </c>
      <c r="C24" s="15">
        <v>45444</v>
      </c>
      <c r="D24" s="53">
        <f>390958-46</f>
        <v>390912</v>
      </c>
      <c r="E24" s="54">
        <f>197727</f>
        <v>197727</v>
      </c>
      <c r="F24" s="18">
        <f t="shared" si="0"/>
        <v>193185</v>
      </c>
      <c r="G24" s="19">
        <f t="shared" si="1"/>
        <v>260630</v>
      </c>
    </row>
    <row r="25" spans="2:7" x14ac:dyDescent="0.2">
      <c r="B25" s="20" t="s">
        <v>19</v>
      </c>
      <c r="C25" s="13">
        <v>45474</v>
      </c>
      <c r="D25" s="51">
        <f>377034-0</f>
        <v>377034</v>
      </c>
      <c r="E25" s="52">
        <f>265168</f>
        <v>265168</v>
      </c>
      <c r="F25" s="14">
        <f t="shared" si="0"/>
        <v>111866</v>
      </c>
      <c r="G25" s="12">
        <f t="shared" si="1"/>
        <v>372496</v>
      </c>
    </row>
    <row r="26" spans="2:7" x14ac:dyDescent="0.2">
      <c r="B26" s="21" t="s">
        <v>20</v>
      </c>
      <c r="C26" s="22">
        <v>45505</v>
      </c>
      <c r="D26" s="60">
        <f>326481-0</f>
        <v>326481</v>
      </c>
      <c r="E26" s="61">
        <f>358750</f>
        <v>358750</v>
      </c>
      <c r="F26" s="18">
        <f t="shared" si="0"/>
        <v>-32269</v>
      </c>
      <c r="G26" s="19">
        <f t="shared" si="1"/>
        <v>340227</v>
      </c>
    </row>
    <row r="27" spans="2:7" x14ac:dyDescent="0.2">
      <c r="B27" s="5"/>
      <c r="C27" s="23" t="s">
        <v>95</v>
      </c>
      <c r="D27" s="24"/>
      <c r="E27" s="24"/>
      <c r="F27" s="24"/>
      <c r="G27" s="25"/>
    </row>
    <row r="28" spans="2:7" x14ac:dyDescent="0.2">
      <c r="B28" s="2"/>
      <c r="C28" s="1"/>
      <c r="D28" s="1"/>
      <c r="E28" s="1"/>
      <c r="F28" s="1"/>
      <c r="G28" s="12"/>
    </row>
    <row r="29" spans="2:7" x14ac:dyDescent="0.2">
      <c r="B29" s="4"/>
      <c r="C29" s="3"/>
      <c r="D29" s="4" t="s">
        <v>21</v>
      </c>
      <c r="E29" s="4" t="s">
        <v>22</v>
      </c>
      <c r="F29" s="3"/>
      <c r="G29" s="17"/>
    </row>
    <row r="30" spans="2:7" x14ac:dyDescent="0.2">
      <c r="B30" s="4">
        <v>8</v>
      </c>
      <c r="C30" s="3"/>
      <c r="D30" s="4" t="s">
        <v>23</v>
      </c>
      <c r="E30" s="4" t="s">
        <v>24</v>
      </c>
      <c r="F30" s="3"/>
      <c r="G30" s="26" t="s">
        <v>21</v>
      </c>
    </row>
    <row r="31" spans="2:7" x14ac:dyDescent="0.2">
      <c r="B31" s="4"/>
      <c r="C31" s="3"/>
      <c r="D31" s="4" t="s">
        <v>25</v>
      </c>
      <c r="E31" s="4" t="s">
        <v>26</v>
      </c>
      <c r="F31" s="3"/>
      <c r="G31" s="26" t="s">
        <v>27</v>
      </c>
    </row>
    <row r="32" spans="2:7" x14ac:dyDescent="0.2">
      <c r="B32" s="4"/>
      <c r="C32" s="3"/>
      <c r="D32" s="4" t="s">
        <v>28</v>
      </c>
      <c r="E32" s="4" t="s">
        <v>29</v>
      </c>
      <c r="F32" s="3"/>
      <c r="G32" s="26" t="s">
        <v>30</v>
      </c>
    </row>
    <row r="33" spans="2:7" x14ac:dyDescent="0.2">
      <c r="B33" s="5"/>
      <c r="C33" s="3"/>
      <c r="D33" s="4" t="s">
        <v>31</v>
      </c>
      <c r="E33" s="4" t="s">
        <v>32</v>
      </c>
      <c r="F33" s="3"/>
      <c r="G33" s="26" t="s">
        <v>33</v>
      </c>
    </row>
    <row r="34" spans="2:7" x14ac:dyDescent="0.2">
      <c r="B34" s="20" t="s">
        <v>34</v>
      </c>
      <c r="C34" s="1" t="s">
        <v>89</v>
      </c>
      <c r="D34" s="12">
        <f>-G13</f>
        <v>35546</v>
      </c>
      <c r="E34" s="12">
        <f>D68</f>
        <v>-23696</v>
      </c>
      <c r="F34" s="1"/>
      <c r="G34" s="12">
        <f t="shared" ref="G34:G38" si="2">D34+E34</f>
        <v>11850</v>
      </c>
    </row>
    <row r="35" spans="2:7" x14ac:dyDescent="0.2">
      <c r="B35" s="27" t="s">
        <v>35</v>
      </c>
      <c r="C35" s="3" t="s">
        <v>77</v>
      </c>
      <c r="D35" s="17">
        <f>-G14</f>
        <v>-47908</v>
      </c>
      <c r="E35" s="17">
        <v>0</v>
      </c>
      <c r="F35" s="3"/>
      <c r="G35" s="17">
        <f t="shared" si="2"/>
        <v>-47908</v>
      </c>
    </row>
    <row r="36" spans="2:7" x14ac:dyDescent="0.2">
      <c r="B36" s="27" t="s">
        <v>78</v>
      </c>
      <c r="C36" s="3" t="s">
        <v>83</v>
      </c>
      <c r="D36" s="17">
        <f>-G15</f>
        <v>-62959</v>
      </c>
      <c r="E36" s="17">
        <v>0</v>
      </c>
      <c r="F36" s="3"/>
      <c r="G36" s="17">
        <f t="shared" si="2"/>
        <v>-62959</v>
      </c>
    </row>
    <row r="37" spans="2:7" x14ac:dyDescent="0.2">
      <c r="B37" s="27" t="s">
        <v>84</v>
      </c>
      <c r="C37" s="3" t="s">
        <v>90</v>
      </c>
      <c r="D37" s="17">
        <f>-G16</f>
        <v>-71765</v>
      </c>
      <c r="E37" s="17">
        <v>0</v>
      </c>
      <c r="F37" s="3"/>
      <c r="G37" s="17">
        <f t="shared" si="2"/>
        <v>-71765</v>
      </c>
    </row>
    <row r="38" spans="2:7" x14ac:dyDescent="0.2">
      <c r="B38" s="27" t="s">
        <v>91</v>
      </c>
      <c r="C38" s="28" t="s">
        <v>96</v>
      </c>
      <c r="D38" s="19">
        <f>-G17</f>
        <v>15288</v>
      </c>
      <c r="E38" s="19">
        <v>0</v>
      </c>
      <c r="F38" s="28"/>
      <c r="G38" s="19">
        <f t="shared" si="2"/>
        <v>15288</v>
      </c>
    </row>
    <row r="39" spans="2:7" x14ac:dyDescent="0.2">
      <c r="B39" s="5" t="s">
        <v>97</v>
      </c>
      <c r="C39" s="29"/>
      <c r="D39" s="30"/>
      <c r="E39" s="30"/>
      <c r="F39" s="31" t="s">
        <v>36</v>
      </c>
      <c r="G39" s="19">
        <f>G34+G35+G36+G37+G38</f>
        <v>-155494</v>
      </c>
    </row>
    <row r="40" spans="2:7" x14ac:dyDescent="0.2">
      <c r="B40" s="32"/>
      <c r="G40" s="33"/>
    </row>
    <row r="41" spans="2:7" x14ac:dyDescent="0.2">
      <c r="B41" s="6">
        <v>9</v>
      </c>
      <c r="C41" s="34" t="s">
        <v>98</v>
      </c>
      <c r="D41" s="8"/>
      <c r="E41" s="8"/>
      <c r="F41" s="9"/>
      <c r="G41" s="35">
        <f>G24+G39</f>
        <v>105136</v>
      </c>
    </row>
    <row r="42" spans="2:7" x14ac:dyDescent="0.2">
      <c r="B42" s="32"/>
      <c r="G42" s="33"/>
    </row>
    <row r="43" spans="2:7" x14ac:dyDescent="0.2">
      <c r="B43" s="6">
        <v>10</v>
      </c>
      <c r="C43" s="34" t="s">
        <v>72</v>
      </c>
      <c r="D43" s="8"/>
      <c r="E43" s="8"/>
      <c r="F43" s="9"/>
      <c r="G43" s="35">
        <f>G41/6</f>
        <v>17522.666666666668</v>
      </c>
    </row>
    <row r="45" spans="2:7" x14ac:dyDescent="0.2">
      <c r="B45" s="1"/>
      <c r="C45" s="36" t="s">
        <v>37</v>
      </c>
      <c r="D45" s="37"/>
      <c r="E45" s="37"/>
      <c r="F45" s="37"/>
      <c r="G45" s="38"/>
    </row>
    <row r="46" spans="2:7" x14ac:dyDescent="0.2">
      <c r="B46" s="1"/>
      <c r="C46" s="39"/>
      <c r="D46" s="39"/>
      <c r="E46" s="39"/>
      <c r="F46" s="39"/>
      <c r="G46" s="11"/>
    </row>
    <row r="47" spans="2:7" x14ac:dyDescent="0.2">
      <c r="B47" s="4">
        <v>11</v>
      </c>
      <c r="C47" t="s">
        <v>38</v>
      </c>
      <c r="G47" s="41">
        <f>G18</f>
        <v>131798</v>
      </c>
    </row>
    <row r="48" spans="2:7" x14ac:dyDescent="0.2">
      <c r="B48" s="4">
        <v>12</v>
      </c>
      <c r="C48" t="s">
        <v>39</v>
      </c>
      <c r="G48" s="42">
        <f>G39</f>
        <v>-155494</v>
      </c>
    </row>
    <row r="49" spans="2:7" x14ac:dyDescent="0.2">
      <c r="B49" s="4"/>
      <c r="G49" s="41"/>
    </row>
    <row r="50" spans="2:7" ht="15" thickBot="1" x14ac:dyDescent="0.25">
      <c r="B50" s="4">
        <v>13</v>
      </c>
      <c r="C50" t="s">
        <v>40</v>
      </c>
      <c r="G50" s="43">
        <f>G47+G48</f>
        <v>-23696</v>
      </c>
    </row>
    <row r="51" spans="2:7" ht="15" thickTop="1" x14ac:dyDescent="0.2">
      <c r="B51" s="4"/>
      <c r="G51" s="41"/>
    </row>
    <row r="52" spans="2:7" x14ac:dyDescent="0.2">
      <c r="B52" s="4">
        <v>14</v>
      </c>
      <c r="C52" t="s">
        <v>41</v>
      </c>
      <c r="G52" s="41">
        <f>G41</f>
        <v>105136</v>
      </c>
    </row>
    <row r="53" spans="2:7" x14ac:dyDescent="0.2">
      <c r="B53" s="4"/>
      <c r="G53" s="41"/>
    </row>
    <row r="54" spans="2:7" x14ac:dyDescent="0.2">
      <c r="B54" s="4">
        <v>15</v>
      </c>
      <c r="C54" t="s">
        <v>42</v>
      </c>
      <c r="G54" s="42">
        <f>SUM(F19:F24)</f>
        <v>128832</v>
      </c>
    </row>
    <row r="55" spans="2:7" x14ac:dyDescent="0.2">
      <c r="B55" s="4"/>
      <c r="G55" s="41"/>
    </row>
    <row r="56" spans="2:7" ht="15" thickBot="1" x14ac:dyDescent="0.25">
      <c r="B56" s="4">
        <v>16</v>
      </c>
      <c r="C56" t="s">
        <v>43</v>
      </c>
      <c r="G56" s="43">
        <f>G52-G54</f>
        <v>-23696</v>
      </c>
    </row>
    <row r="57" spans="2:7" ht="15" thickTop="1" x14ac:dyDescent="0.2">
      <c r="B57" s="28"/>
      <c r="C57" s="44"/>
      <c r="D57" s="44"/>
      <c r="E57" s="44"/>
      <c r="F57" s="44"/>
      <c r="G57" s="45"/>
    </row>
    <row r="59" spans="2:7" x14ac:dyDescent="0.2">
      <c r="B59" t="s">
        <v>44</v>
      </c>
    </row>
    <row r="60" spans="2:7" x14ac:dyDescent="0.2">
      <c r="B60" s="32"/>
      <c r="C60" s="1"/>
      <c r="D60" s="2" t="s">
        <v>45</v>
      </c>
      <c r="E60" s="27"/>
      <c r="F60" s="32"/>
      <c r="G60" s="32"/>
    </row>
    <row r="61" spans="2:7" x14ac:dyDescent="0.2">
      <c r="B61" s="32"/>
      <c r="C61" s="5" t="s">
        <v>10</v>
      </c>
      <c r="D61" s="5" t="s">
        <v>73</v>
      </c>
      <c r="E61" s="27"/>
      <c r="F61" s="32"/>
      <c r="G61" s="32"/>
    </row>
    <row r="62" spans="2:7" x14ac:dyDescent="0.2">
      <c r="C62" s="13">
        <v>45292</v>
      </c>
      <c r="D62" s="12">
        <v>0</v>
      </c>
      <c r="E62" s="16"/>
      <c r="F62" s="33"/>
      <c r="G62" s="33"/>
    </row>
    <row r="63" spans="2:7" x14ac:dyDescent="0.2">
      <c r="C63" s="15">
        <v>45323</v>
      </c>
      <c r="D63" s="17">
        <v>0</v>
      </c>
      <c r="E63" s="16"/>
      <c r="F63" s="33"/>
      <c r="G63" s="33"/>
    </row>
    <row r="64" spans="2:7" x14ac:dyDescent="0.2">
      <c r="C64" s="15">
        <v>45352</v>
      </c>
      <c r="D64" s="17">
        <v>-5924</v>
      </c>
      <c r="E64" s="16"/>
      <c r="F64" s="33"/>
      <c r="G64" s="33"/>
    </row>
    <row r="65" spans="3:7" x14ac:dyDescent="0.2">
      <c r="C65" s="15">
        <v>45383</v>
      </c>
      <c r="D65" s="17">
        <v>-5924</v>
      </c>
      <c r="E65" s="16"/>
      <c r="F65" s="33"/>
      <c r="G65" s="33"/>
    </row>
    <row r="66" spans="3:7" x14ac:dyDescent="0.2">
      <c r="C66" s="15">
        <v>45413</v>
      </c>
      <c r="D66" s="17">
        <v>-5924</v>
      </c>
      <c r="E66" s="16"/>
      <c r="F66" s="33"/>
      <c r="G66" s="33"/>
    </row>
    <row r="67" spans="3:7" x14ac:dyDescent="0.2">
      <c r="C67" s="15">
        <v>45444</v>
      </c>
      <c r="D67" s="19">
        <v>-5924</v>
      </c>
      <c r="E67" s="16"/>
      <c r="F67" s="33"/>
      <c r="G67" s="33"/>
    </row>
    <row r="68" spans="3:7" x14ac:dyDescent="0.2">
      <c r="C68" s="49" t="s">
        <v>46</v>
      </c>
      <c r="D68" s="35">
        <f>SUM(D62:D67)</f>
        <v>-23696</v>
      </c>
      <c r="E68" s="16"/>
      <c r="F68" s="33"/>
      <c r="G68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B41F3-5962-4B07-BCB4-310EECF97AAC}">
  <dimension ref="A1:G70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7" x14ac:dyDescent="0.2">
      <c r="A1" t="str">
        <f>'Current 05-31-25'!$A$1</f>
        <v>Staff DR1 Response 2 - Grayson Surcharge Summary.xlsx</v>
      </c>
    </row>
    <row r="4" spans="1:7" ht="14.25" customHeight="1" x14ac:dyDescent="0.2">
      <c r="B4" s="76" t="s">
        <v>48</v>
      </c>
      <c r="C4" s="77"/>
      <c r="D4" s="77"/>
      <c r="E4" s="77"/>
      <c r="F4" s="77"/>
      <c r="G4" s="78"/>
    </row>
    <row r="5" spans="1:7" ht="14.25" customHeight="1" x14ac:dyDescent="0.2">
      <c r="B5" s="79"/>
      <c r="C5" s="80"/>
      <c r="D5" s="80"/>
      <c r="E5" s="80"/>
      <c r="F5" s="80"/>
      <c r="G5" s="81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8" t="s">
        <v>15</v>
      </c>
      <c r="D12" s="69"/>
      <c r="E12" s="69"/>
      <c r="F12" s="69"/>
      <c r="G12" s="70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-11850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82">
        <f>'A - 05-31-22'!G33</f>
        <v>47908</v>
      </c>
    </row>
    <row r="15" spans="1:7" x14ac:dyDescent="0.2">
      <c r="B15" s="4" t="s">
        <v>75</v>
      </c>
      <c r="C15" s="8" t="s">
        <v>80</v>
      </c>
      <c r="D15" s="8"/>
      <c r="E15" s="8"/>
      <c r="F15" s="9"/>
      <c r="G15" s="82">
        <f>'B - 11-30-22'!G35</f>
        <v>62959</v>
      </c>
    </row>
    <row r="16" spans="1:7" x14ac:dyDescent="0.2">
      <c r="B16" s="4" t="s">
        <v>81</v>
      </c>
      <c r="C16" s="8" t="s">
        <v>86</v>
      </c>
      <c r="D16" s="8"/>
      <c r="E16" s="8"/>
      <c r="F16" s="11"/>
      <c r="G16" s="51">
        <f>'C - 05-31-23'!G37</f>
        <v>71765</v>
      </c>
    </row>
    <row r="17" spans="2:7" x14ac:dyDescent="0.2">
      <c r="B17" s="4" t="s">
        <v>87</v>
      </c>
      <c r="C17" s="8" t="s">
        <v>93</v>
      </c>
      <c r="D17" s="8"/>
      <c r="E17" s="8"/>
      <c r="F17" s="11"/>
      <c r="G17" s="51">
        <f>'D - 11-30-23'!G39</f>
        <v>-15288</v>
      </c>
    </row>
    <row r="18" spans="2:7" x14ac:dyDescent="0.2">
      <c r="B18" s="4" t="s">
        <v>94</v>
      </c>
      <c r="C18" s="8" t="s">
        <v>99</v>
      </c>
      <c r="D18" s="8"/>
      <c r="E18" s="8"/>
      <c r="F18" s="11"/>
      <c r="G18" s="51">
        <f>'E - 05-31-24'!G41</f>
        <v>105136</v>
      </c>
    </row>
    <row r="19" spans="2:7" x14ac:dyDescent="0.2">
      <c r="B19" s="5" t="s">
        <v>100</v>
      </c>
      <c r="C19" s="8" t="s">
        <v>18</v>
      </c>
      <c r="D19" s="8"/>
      <c r="E19" s="8"/>
      <c r="F19" s="11"/>
      <c r="G19" s="12">
        <f>G13+G14+G15+G16+G17+G18</f>
        <v>260630</v>
      </c>
    </row>
    <row r="20" spans="2:7" x14ac:dyDescent="0.2">
      <c r="B20" s="4">
        <v>2</v>
      </c>
      <c r="C20" s="13">
        <v>45474</v>
      </c>
      <c r="D20" s="51">
        <f>377034-0</f>
        <v>377034</v>
      </c>
      <c r="E20" s="52">
        <f>265168</f>
        <v>265168</v>
      </c>
      <c r="F20" s="14">
        <f t="shared" ref="F20:F27" si="0">D20-E20</f>
        <v>111866</v>
      </c>
      <c r="G20" s="12">
        <f t="shared" ref="G20:G27" si="1">G19+F20</f>
        <v>372496</v>
      </c>
    </row>
    <row r="21" spans="2:7" x14ac:dyDescent="0.2">
      <c r="B21" s="4">
        <v>3</v>
      </c>
      <c r="C21" s="15">
        <v>45505</v>
      </c>
      <c r="D21" s="53">
        <f>326481-0</f>
        <v>326481</v>
      </c>
      <c r="E21" s="54">
        <f>358750</f>
        <v>358750</v>
      </c>
      <c r="F21" s="16">
        <f t="shared" si="0"/>
        <v>-32269</v>
      </c>
      <c r="G21" s="17">
        <f t="shared" si="1"/>
        <v>340227</v>
      </c>
    </row>
    <row r="22" spans="2:7" x14ac:dyDescent="0.2">
      <c r="B22" s="4">
        <v>4</v>
      </c>
      <c r="C22" s="15">
        <v>45536</v>
      </c>
      <c r="D22" s="53">
        <f>257047-0</f>
        <v>257047</v>
      </c>
      <c r="E22" s="54">
        <f>340599</f>
        <v>340599</v>
      </c>
      <c r="F22" s="16">
        <f t="shared" si="0"/>
        <v>-83552</v>
      </c>
      <c r="G22" s="17">
        <f t="shared" si="1"/>
        <v>256675</v>
      </c>
    </row>
    <row r="23" spans="2:7" x14ac:dyDescent="0.2">
      <c r="B23" s="4">
        <v>5</v>
      </c>
      <c r="C23" s="15">
        <v>45566</v>
      </c>
      <c r="D23" s="53">
        <f>209406-42</f>
        <v>209364</v>
      </c>
      <c r="E23" s="54">
        <f>347846</f>
        <v>347846</v>
      </c>
      <c r="F23" s="16">
        <f t="shared" si="0"/>
        <v>-138482</v>
      </c>
      <c r="G23" s="17">
        <f t="shared" si="1"/>
        <v>118193</v>
      </c>
    </row>
    <row r="24" spans="2:7" x14ac:dyDescent="0.2">
      <c r="B24" s="4">
        <v>6</v>
      </c>
      <c r="C24" s="15">
        <v>45597</v>
      </c>
      <c r="D24" s="53">
        <f>245588-44</f>
        <v>245544</v>
      </c>
      <c r="E24" s="54">
        <f>313653</f>
        <v>313653</v>
      </c>
      <c r="F24" s="16">
        <f t="shared" si="0"/>
        <v>-68109</v>
      </c>
      <c r="G24" s="17">
        <f t="shared" si="1"/>
        <v>50084</v>
      </c>
    </row>
    <row r="25" spans="2:7" x14ac:dyDescent="0.2">
      <c r="B25" s="4">
        <v>7</v>
      </c>
      <c r="C25" s="15">
        <v>45627</v>
      </c>
      <c r="D25" s="53">
        <f>382490-53</f>
        <v>382437</v>
      </c>
      <c r="E25" s="54">
        <f>212369</f>
        <v>212369</v>
      </c>
      <c r="F25" s="18">
        <f t="shared" si="0"/>
        <v>170068</v>
      </c>
      <c r="G25" s="19">
        <f t="shared" si="1"/>
        <v>220152</v>
      </c>
    </row>
    <row r="26" spans="2:7" x14ac:dyDescent="0.2">
      <c r="B26" s="20" t="s">
        <v>19</v>
      </c>
      <c r="C26" s="13">
        <v>45658</v>
      </c>
      <c r="D26" s="51">
        <f>491343-47</f>
        <v>491296</v>
      </c>
      <c r="E26" s="52">
        <f>279311</f>
        <v>279311</v>
      </c>
      <c r="F26" s="14">
        <f t="shared" si="0"/>
        <v>211985</v>
      </c>
      <c r="G26" s="12">
        <f t="shared" si="1"/>
        <v>432137</v>
      </c>
    </row>
    <row r="27" spans="2:7" x14ac:dyDescent="0.2">
      <c r="B27" s="21" t="s">
        <v>20</v>
      </c>
      <c r="C27" s="22">
        <v>45689</v>
      </c>
      <c r="D27" s="60">
        <f>340521-35</f>
        <v>340486</v>
      </c>
      <c r="E27" s="18">
        <v>0</v>
      </c>
      <c r="F27" s="18">
        <f t="shared" si="0"/>
        <v>340486</v>
      </c>
      <c r="G27" s="19">
        <f t="shared" si="1"/>
        <v>772623</v>
      </c>
    </row>
    <row r="28" spans="2:7" x14ac:dyDescent="0.2">
      <c r="B28" s="5"/>
      <c r="C28" s="23" t="s">
        <v>101</v>
      </c>
      <c r="D28" s="24"/>
      <c r="E28" s="24"/>
      <c r="F28" s="24"/>
      <c r="G28" s="25"/>
    </row>
    <row r="29" spans="2:7" x14ac:dyDescent="0.2">
      <c r="B29" s="2"/>
      <c r="C29" s="1"/>
      <c r="D29" s="1"/>
      <c r="E29" s="1"/>
      <c r="F29" s="1"/>
      <c r="G29" s="12"/>
    </row>
    <row r="30" spans="2:7" x14ac:dyDescent="0.2">
      <c r="B30" s="4"/>
      <c r="C30" s="3"/>
      <c r="D30" s="4" t="s">
        <v>21</v>
      </c>
      <c r="E30" s="4" t="s">
        <v>22</v>
      </c>
      <c r="F30" s="3"/>
      <c r="G30" s="17"/>
    </row>
    <row r="31" spans="2:7" x14ac:dyDescent="0.2">
      <c r="B31" s="4">
        <v>8</v>
      </c>
      <c r="C31" s="3"/>
      <c r="D31" s="4" t="s">
        <v>23</v>
      </c>
      <c r="E31" s="4" t="s">
        <v>24</v>
      </c>
      <c r="F31" s="3"/>
      <c r="G31" s="26" t="s">
        <v>21</v>
      </c>
    </row>
    <row r="32" spans="2:7" x14ac:dyDescent="0.2">
      <c r="B32" s="4"/>
      <c r="C32" s="3"/>
      <c r="D32" s="4" t="s">
        <v>25</v>
      </c>
      <c r="E32" s="4" t="s">
        <v>26</v>
      </c>
      <c r="F32" s="3"/>
      <c r="G32" s="26" t="s">
        <v>27</v>
      </c>
    </row>
    <row r="33" spans="2:7" x14ac:dyDescent="0.2">
      <c r="B33" s="4"/>
      <c r="C33" s="3"/>
      <c r="D33" s="4" t="s">
        <v>28</v>
      </c>
      <c r="E33" s="4" t="s">
        <v>29</v>
      </c>
      <c r="F33" s="3"/>
      <c r="G33" s="26" t="s">
        <v>30</v>
      </c>
    </row>
    <row r="34" spans="2:7" x14ac:dyDescent="0.2">
      <c r="B34" s="5"/>
      <c r="C34" s="3"/>
      <c r="D34" s="4" t="s">
        <v>31</v>
      </c>
      <c r="E34" s="4" t="s">
        <v>32</v>
      </c>
      <c r="F34" s="3"/>
      <c r="G34" s="26" t="s">
        <v>33</v>
      </c>
    </row>
    <row r="35" spans="2:7" x14ac:dyDescent="0.2">
      <c r="B35" s="20" t="s">
        <v>34</v>
      </c>
      <c r="C35" s="1" t="s">
        <v>89</v>
      </c>
      <c r="D35" s="12">
        <f t="shared" ref="D35:D40" si="2">-G13</f>
        <v>11850</v>
      </c>
      <c r="E35" s="12">
        <f>D70</f>
        <v>-11850</v>
      </c>
      <c r="F35" s="1"/>
      <c r="G35" s="12">
        <f t="shared" ref="G35:G40" si="3">D35+E35</f>
        <v>0</v>
      </c>
    </row>
    <row r="36" spans="2:7" x14ac:dyDescent="0.2">
      <c r="B36" s="27" t="s">
        <v>35</v>
      </c>
      <c r="C36" s="3" t="s">
        <v>77</v>
      </c>
      <c r="D36" s="17">
        <f t="shared" si="2"/>
        <v>-47908</v>
      </c>
      <c r="E36" s="17">
        <v>0</v>
      </c>
      <c r="F36" s="3"/>
      <c r="G36" s="17">
        <f t="shared" si="3"/>
        <v>-47908</v>
      </c>
    </row>
    <row r="37" spans="2:7" x14ac:dyDescent="0.2">
      <c r="B37" s="27" t="s">
        <v>78</v>
      </c>
      <c r="C37" s="3" t="s">
        <v>83</v>
      </c>
      <c r="D37" s="17">
        <f t="shared" si="2"/>
        <v>-62959</v>
      </c>
      <c r="E37" s="17">
        <v>0</v>
      </c>
      <c r="F37" s="3"/>
      <c r="G37" s="17">
        <f t="shared" si="3"/>
        <v>-62959</v>
      </c>
    </row>
    <row r="38" spans="2:7" x14ac:dyDescent="0.2">
      <c r="B38" s="27" t="s">
        <v>84</v>
      </c>
      <c r="C38" s="3" t="s">
        <v>90</v>
      </c>
      <c r="D38" s="17">
        <f t="shared" si="2"/>
        <v>-71765</v>
      </c>
      <c r="E38" s="17">
        <v>0</v>
      </c>
      <c r="F38" s="3"/>
      <c r="G38" s="17">
        <f t="shared" si="3"/>
        <v>-71765</v>
      </c>
    </row>
    <row r="39" spans="2:7" x14ac:dyDescent="0.2">
      <c r="B39" s="27" t="s">
        <v>91</v>
      </c>
      <c r="C39" s="3" t="s">
        <v>96</v>
      </c>
      <c r="D39" s="17">
        <f t="shared" si="2"/>
        <v>15288</v>
      </c>
      <c r="E39" s="17">
        <v>0</v>
      </c>
      <c r="F39" s="3"/>
      <c r="G39" s="17">
        <f t="shared" si="3"/>
        <v>15288</v>
      </c>
    </row>
    <row r="40" spans="2:7" x14ac:dyDescent="0.2">
      <c r="B40" s="27" t="s">
        <v>97</v>
      </c>
      <c r="C40" s="28" t="s">
        <v>102</v>
      </c>
      <c r="D40" s="19">
        <f t="shared" si="2"/>
        <v>-105136</v>
      </c>
      <c r="E40" s="19">
        <v>0</v>
      </c>
      <c r="F40" s="28"/>
      <c r="G40" s="19">
        <f t="shared" si="3"/>
        <v>-105136</v>
      </c>
    </row>
    <row r="41" spans="2:7" x14ac:dyDescent="0.2">
      <c r="B41" s="5" t="s">
        <v>103</v>
      </c>
      <c r="C41" s="29"/>
      <c r="D41" s="30"/>
      <c r="E41" s="30"/>
      <c r="F41" s="31" t="s">
        <v>36</v>
      </c>
      <c r="G41" s="19">
        <f>G35+G36+G37+G38+G39+G40</f>
        <v>-272480</v>
      </c>
    </row>
    <row r="42" spans="2:7" x14ac:dyDescent="0.2">
      <c r="B42" s="32"/>
      <c r="G42" s="33"/>
    </row>
    <row r="43" spans="2:7" x14ac:dyDescent="0.2">
      <c r="B43" s="6">
        <v>9</v>
      </c>
      <c r="C43" s="34" t="s">
        <v>104</v>
      </c>
      <c r="D43" s="8"/>
      <c r="E43" s="8"/>
      <c r="F43" s="9"/>
      <c r="G43" s="35">
        <f>G25+G41</f>
        <v>-52328</v>
      </c>
    </row>
    <row r="44" spans="2:7" x14ac:dyDescent="0.2">
      <c r="B44" s="32"/>
      <c r="G44" s="33"/>
    </row>
    <row r="45" spans="2:7" x14ac:dyDescent="0.2">
      <c r="B45" s="6">
        <v>10</v>
      </c>
      <c r="C45" s="34" t="s">
        <v>72</v>
      </c>
      <c r="D45" s="8"/>
      <c r="E45" s="8"/>
      <c r="F45" s="9"/>
      <c r="G45" s="35">
        <f>G43/6</f>
        <v>-8721.3333333333339</v>
      </c>
    </row>
    <row r="47" spans="2:7" x14ac:dyDescent="0.2">
      <c r="B47" s="1"/>
      <c r="C47" s="36" t="s">
        <v>37</v>
      </c>
      <c r="D47" s="37"/>
      <c r="E47" s="37"/>
      <c r="F47" s="37"/>
      <c r="G47" s="38"/>
    </row>
    <row r="48" spans="2:7" x14ac:dyDescent="0.2">
      <c r="B48" s="1"/>
      <c r="C48" s="39"/>
      <c r="D48" s="39"/>
      <c r="E48" s="39"/>
      <c r="F48" s="39"/>
      <c r="G48" s="11"/>
    </row>
    <row r="49" spans="2:7" x14ac:dyDescent="0.2">
      <c r="B49" s="4">
        <v>11</v>
      </c>
      <c r="C49" t="s">
        <v>38</v>
      </c>
      <c r="G49" s="41">
        <f>G19</f>
        <v>260630</v>
      </c>
    </row>
    <row r="50" spans="2:7" x14ac:dyDescent="0.2">
      <c r="B50" s="4">
        <v>12</v>
      </c>
      <c r="C50" t="s">
        <v>39</v>
      </c>
      <c r="G50" s="42">
        <f>G41</f>
        <v>-272480</v>
      </c>
    </row>
    <row r="51" spans="2:7" x14ac:dyDescent="0.2">
      <c r="B51" s="4"/>
      <c r="G51" s="41"/>
    </row>
    <row r="52" spans="2:7" ht="15" thickBot="1" x14ac:dyDescent="0.25">
      <c r="B52" s="4">
        <v>13</v>
      </c>
      <c r="C52" t="s">
        <v>40</v>
      </c>
      <c r="G52" s="43">
        <f>G49+G50</f>
        <v>-11850</v>
      </c>
    </row>
    <row r="53" spans="2:7" ht="15" thickTop="1" x14ac:dyDescent="0.2">
      <c r="B53" s="4"/>
      <c r="G53" s="41"/>
    </row>
    <row r="54" spans="2:7" x14ac:dyDescent="0.2">
      <c r="B54" s="4">
        <v>14</v>
      </c>
      <c r="C54" t="s">
        <v>41</v>
      </c>
      <c r="G54" s="41">
        <f>G43</f>
        <v>-52328</v>
      </c>
    </row>
    <row r="55" spans="2:7" x14ac:dyDescent="0.2">
      <c r="B55" s="4"/>
      <c r="G55" s="41"/>
    </row>
    <row r="56" spans="2:7" x14ac:dyDescent="0.2">
      <c r="B56" s="4">
        <v>15</v>
      </c>
      <c r="C56" t="s">
        <v>42</v>
      </c>
      <c r="G56" s="42">
        <f>SUM(F20:F25)</f>
        <v>-40478</v>
      </c>
    </row>
    <row r="57" spans="2:7" x14ac:dyDescent="0.2">
      <c r="B57" s="4"/>
      <c r="G57" s="41"/>
    </row>
    <row r="58" spans="2:7" ht="15" thickBot="1" x14ac:dyDescent="0.25">
      <c r="B58" s="4">
        <v>16</v>
      </c>
      <c r="C58" t="s">
        <v>43</v>
      </c>
      <c r="G58" s="43">
        <f>G54-G56</f>
        <v>-11850</v>
      </c>
    </row>
    <row r="59" spans="2:7" ht="15" thickTop="1" x14ac:dyDescent="0.2">
      <c r="B59" s="28"/>
      <c r="C59" s="44"/>
      <c r="D59" s="44"/>
      <c r="E59" s="44"/>
      <c r="F59" s="44"/>
      <c r="G59" s="45"/>
    </row>
    <row r="61" spans="2:7" x14ac:dyDescent="0.2">
      <c r="B61" t="s">
        <v>44</v>
      </c>
    </row>
    <row r="62" spans="2:7" x14ac:dyDescent="0.2">
      <c r="B62" s="32"/>
      <c r="C62" s="1"/>
      <c r="D62" s="2" t="s">
        <v>45</v>
      </c>
      <c r="E62" s="27"/>
      <c r="F62" s="32"/>
      <c r="G62" s="32"/>
    </row>
    <row r="63" spans="2:7" x14ac:dyDescent="0.2">
      <c r="B63" s="32"/>
      <c r="C63" s="5" t="s">
        <v>10</v>
      </c>
      <c r="D63" s="5" t="s">
        <v>73</v>
      </c>
      <c r="E63" s="27"/>
      <c r="F63" s="32"/>
      <c r="G63" s="32"/>
    </row>
    <row r="64" spans="2:7" x14ac:dyDescent="0.2">
      <c r="C64" s="13">
        <v>45474</v>
      </c>
      <c r="D64" s="12">
        <v>-5924</v>
      </c>
      <c r="E64" s="16"/>
      <c r="F64" s="33"/>
      <c r="G64" s="33"/>
    </row>
    <row r="65" spans="3:7" x14ac:dyDescent="0.2">
      <c r="C65" s="15">
        <v>45505</v>
      </c>
      <c r="D65" s="17">
        <v>-5926</v>
      </c>
      <c r="E65" s="16"/>
      <c r="F65" s="33"/>
      <c r="G65" s="33"/>
    </row>
    <row r="66" spans="3:7" x14ac:dyDescent="0.2">
      <c r="C66" s="15">
        <v>45536</v>
      </c>
      <c r="D66" s="17">
        <v>0</v>
      </c>
      <c r="E66" s="16"/>
      <c r="F66" s="33"/>
      <c r="G66" s="33"/>
    </row>
    <row r="67" spans="3:7" x14ac:dyDescent="0.2">
      <c r="C67" s="15">
        <v>45566</v>
      </c>
      <c r="D67" s="17">
        <v>0</v>
      </c>
      <c r="E67" s="16"/>
      <c r="F67" s="33"/>
      <c r="G67" s="33"/>
    </row>
    <row r="68" spans="3:7" x14ac:dyDescent="0.2">
      <c r="C68" s="15">
        <v>45597</v>
      </c>
      <c r="D68" s="17">
        <v>0</v>
      </c>
      <c r="E68" s="16"/>
      <c r="F68" s="33"/>
      <c r="G68" s="33"/>
    </row>
    <row r="69" spans="3:7" x14ac:dyDescent="0.2">
      <c r="C69" s="15">
        <v>45627</v>
      </c>
      <c r="D69" s="19">
        <v>0</v>
      </c>
      <c r="E69" s="16"/>
      <c r="F69" s="33"/>
      <c r="G69" s="33"/>
    </row>
    <row r="70" spans="3:7" x14ac:dyDescent="0.2">
      <c r="C70" s="49" t="s">
        <v>46</v>
      </c>
      <c r="D70" s="35">
        <f>SUM(D64:D69)</f>
        <v>-11850</v>
      </c>
      <c r="E70" s="16"/>
      <c r="F70" s="33"/>
      <c r="G70" s="33"/>
    </row>
  </sheetData>
  <mergeCells count="2">
    <mergeCell ref="B4:G5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05-31-25</vt:lpstr>
      <vt:lpstr>2025-00013 Summary</vt:lpstr>
      <vt:lpstr>A - 05-31-22</vt:lpstr>
      <vt:lpstr>B - 11-30-22</vt:lpstr>
      <vt:lpstr>C - 05-31-23</vt:lpstr>
      <vt:lpstr>D - 11-30-23</vt:lpstr>
      <vt:lpstr>E - 05-31-24</vt:lpstr>
      <vt:lpstr>F - 11-30-24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Jacob Watson</cp:lastModifiedBy>
  <dcterms:created xsi:type="dcterms:W3CDTF">2022-06-13T11:58:16Z</dcterms:created>
  <dcterms:modified xsi:type="dcterms:W3CDTF">2025-10-15T15:38:24Z</dcterms:modified>
</cp:coreProperties>
</file>