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ADD78FFF-B914-40FF-BCE6-ACCB5ACBBE6A}" xr6:coauthVersionLast="47" xr6:coauthVersionMax="47" xr10:uidLastSave="{00000000-0000-0000-0000-000000000000}"/>
  <bookViews>
    <workbookView xWindow="12900" yWindow="5595" windowWidth="38700" windowHeight="15285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E35" i="15"/>
  <c r="D35" i="15"/>
  <c r="G35" i="15" s="1"/>
  <c r="E27" i="15"/>
  <c r="D27" i="15"/>
  <c r="F27" i="15" s="1"/>
  <c r="F26" i="15"/>
  <c r="D26" i="15"/>
  <c r="E25" i="15"/>
  <c r="D25" i="15"/>
  <c r="F25" i="15" s="1"/>
  <c r="F24" i="15"/>
  <c r="E24" i="15"/>
  <c r="D24" i="15"/>
  <c r="F23" i="15"/>
  <c r="D23" i="15"/>
  <c r="D22" i="15"/>
  <c r="F22" i="15" s="1"/>
  <c r="D21" i="15"/>
  <c r="F21" i="15" s="1"/>
  <c r="D20" i="15"/>
  <c r="F20" i="15" s="1"/>
  <c r="D68" i="14"/>
  <c r="E34" i="14" s="1"/>
  <c r="D34" i="14"/>
  <c r="G34" i="14" s="1"/>
  <c r="D26" i="14"/>
  <c r="F26" i="14" s="1"/>
  <c r="D25" i="14"/>
  <c r="F25" i="14" s="1"/>
  <c r="D24" i="14"/>
  <c r="F24" i="14" s="1"/>
  <c r="F23" i="14"/>
  <c r="D23" i="14"/>
  <c r="D22" i="14"/>
  <c r="F22" i="14" s="1"/>
  <c r="D21" i="14"/>
  <c r="F21" i="14" s="1"/>
  <c r="D20" i="14"/>
  <c r="F20" i="14" s="1"/>
  <c r="F19" i="14"/>
  <c r="D19" i="14"/>
  <c r="D66" i="13"/>
  <c r="E33" i="13" s="1"/>
  <c r="D33" i="13"/>
  <c r="G33" i="13" s="1"/>
  <c r="D25" i="13"/>
  <c r="F25" i="13" s="1"/>
  <c r="D24" i="13"/>
  <c r="F24" i="13" s="1"/>
  <c r="D23" i="13"/>
  <c r="F23" i="13" s="1"/>
  <c r="F22" i="13"/>
  <c r="D22" i="13"/>
  <c r="D21" i="13"/>
  <c r="F21" i="13" s="1"/>
  <c r="D20" i="13"/>
  <c r="F20" i="13" s="1"/>
  <c r="D19" i="13"/>
  <c r="F19" i="13" s="1"/>
  <c r="F18" i="13"/>
  <c r="D18" i="13"/>
  <c r="D64" i="12"/>
  <c r="E32" i="12" s="1"/>
  <c r="G32" i="12" s="1"/>
  <c r="D32" i="12"/>
  <c r="F24" i="12"/>
  <c r="D24" i="12"/>
  <c r="D23" i="12"/>
  <c r="F23" i="12" s="1"/>
  <c r="D22" i="12"/>
  <c r="F22" i="12" s="1"/>
  <c r="D21" i="12"/>
  <c r="F21" i="12" s="1"/>
  <c r="F20" i="12"/>
  <c r="D20" i="12"/>
  <c r="D19" i="12"/>
  <c r="F19" i="12" s="1"/>
  <c r="D18" i="12"/>
  <c r="F18" i="12" s="1"/>
  <c r="D17" i="12"/>
  <c r="F17" i="12" s="1"/>
  <c r="D62" i="11"/>
  <c r="E31" i="11"/>
  <c r="D31" i="11"/>
  <c r="G31" i="11" s="1"/>
  <c r="D23" i="11"/>
  <c r="F23" i="11" s="1"/>
  <c r="D22" i="11"/>
  <c r="F22" i="11" s="1"/>
  <c r="F21" i="11"/>
  <c r="D21" i="11"/>
  <c r="D20" i="11"/>
  <c r="F20" i="11" s="1"/>
  <c r="D19" i="11"/>
  <c r="F19" i="11" s="1"/>
  <c r="D18" i="11"/>
  <c r="F18" i="11" s="1"/>
  <c r="F17" i="11"/>
  <c r="D17" i="11"/>
  <c r="D16" i="11"/>
  <c r="F16" i="11" s="1"/>
  <c r="D60" i="10"/>
  <c r="E30" i="10" s="1"/>
  <c r="D30" i="10"/>
  <c r="G30" i="10" s="1"/>
  <c r="G31" i="10" s="1"/>
  <c r="G40" i="10" s="1"/>
  <c r="D22" i="10"/>
  <c r="F22" i="10" s="1"/>
  <c r="F21" i="10"/>
  <c r="D21" i="10"/>
  <c r="D20" i="10"/>
  <c r="F20" i="10" s="1"/>
  <c r="D19" i="10"/>
  <c r="F19" i="10" s="1"/>
  <c r="D18" i="10"/>
  <c r="F18" i="10" s="1"/>
  <c r="F17" i="10"/>
  <c r="D17" i="10"/>
  <c r="D16" i="10"/>
  <c r="F16" i="10" s="1"/>
  <c r="D15" i="10"/>
  <c r="F15" i="10" s="1"/>
  <c r="G14" i="10"/>
  <c r="G39" i="10" s="1"/>
  <c r="G46" i="10" l="1"/>
  <c r="G50" i="12"/>
  <c r="G56" i="15"/>
  <c r="G42" i="10"/>
  <c r="G48" i="11"/>
  <c r="G52" i="13"/>
  <c r="G54" i="14"/>
  <c r="G15" i="10"/>
  <c r="G16" i="10" s="1"/>
  <c r="G17" i="10" s="1"/>
  <c r="G18" i="10" s="1"/>
  <c r="G19" i="10" s="1"/>
  <c r="G20" i="10" s="1"/>
  <c r="G21" i="10" l="1"/>
  <c r="G22" i="10" s="1"/>
  <c r="G33" i="10"/>
  <c r="G44" i="10" l="1"/>
  <c r="G48" i="10" s="1"/>
  <c r="E8" i="9"/>
  <c r="G14" i="15"/>
  <c r="G14" i="13"/>
  <c r="G14" i="11"/>
  <c r="G14" i="12"/>
  <c r="G35" i="10"/>
  <c r="G14" i="14"/>
  <c r="D36" i="15" l="1"/>
  <c r="G36" i="15" s="1"/>
  <c r="D35" i="14"/>
  <c r="G35" i="14" s="1"/>
  <c r="D33" i="12"/>
  <c r="G33" i="12" s="1"/>
  <c r="D32" i="11"/>
  <c r="G32" i="11" s="1"/>
  <c r="G33" i="11" s="1"/>
  <c r="G42" i="11" s="1"/>
  <c r="G15" i="11"/>
  <c r="D34" i="13"/>
  <c r="G34" i="13" s="1"/>
  <c r="F8" i="9"/>
  <c r="G41" i="11" l="1"/>
  <c r="G44" i="11" s="1"/>
  <c r="G16" i="11"/>
  <c r="G17" i="11" s="1"/>
  <c r="G18" i="11" s="1"/>
  <c r="G19" i="11" s="1"/>
  <c r="G20" i="11" s="1"/>
  <c r="G21" i="11" s="1"/>
  <c r="G35" i="11" l="1"/>
  <c r="G22" i="11"/>
  <c r="G23" i="11" s="1"/>
  <c r="G37" i="11" l="1"/>
  <c r="E9" i="9"/>
  <c r="G15" i="12"/>
  <c r="G15" i="13"/>
  <c r="G15" i="14"/>
  <c r="G46" i="11"/>
  <c r="G50" i="11" s="1"/>
  <c r="G15" i="15"/>
  <c r="D37" i="15" l="1"/>
  <c r="G37" i="15" s="1"/>
  <c r="D36" i="14"/>
  <c r="G36" i="14" s="1"/>
  <c r="D35" i="13"/>
  <c r="G35" i="13" s="1"/>
  <c r="D34" i="12"/>
  <c r="G34" i="12" s="1"/>
  <c r="G35" i="12" s="1"/>
  <c r="G44" i="12" s="1"/>
  <c r="G16" i="12"/>
  <c r="F9" i="9"/>
  <c r="G43" i="12" l="1"/>
  <c r="G46" i="12" s="1"/>
  <c r="G17" i="12"/>
  <c r="G18" i="12" s="1"/>
  <c r="G19" i="12" s="1"/>
  <c r="G20" i="12" s="1"/>
  <c r="G21" i="12" s="1"/>
  <c r="G22" i="12" s="1"/>
  <c r="G37" i="12" l="1"/>
  <c r="G23" i="12"/>
  <c r="G24" i="12" s="1"/>
  <c r="G48" i="12" l="1"/>
  <c r="G52" i="12" s="1"/>
  <c r="E10" i="9"/>
  <c r="G39" i="12"/>
  <c r="G16" i="15"/>
  <c r="G16" i="13"/>
  <c r="G16" i="14"/>
  <c r="D37" i="14" l="1"/>
  <c r="G37" i="14" s="1"/>
  <c r="D36" i="13"/>
  <c r="G36" i="13" s="1"/>
  <c r="G37" i="13" s="1"/>
  <c r="G46" i="13" s="1"/>
  <c r="G17" i="13"/>
  <c r="D38" i="15"/>
  <c r="G38" i="15" s="1"/>
  <c r="F10" i="9"/>
  <c r="G18" i="13" l="1"/>
  <c r="G19" i="13" s="1"/>
  <c r="G20" i="13" s="1"/>
  <c r="G21" i="13" s="1"/>
  <c r="G22" i="13" s="1"/>
  <c r="G23" i="13" s="1"/>
  <c r="G45" i="13"/>
  <c r="G48" i="13" s="1"/>
  <c r="G39" i="13" l="1"/>
  <c r="G24" i="13"/>
  <c r="G25" i="13" s="1"/>
  <c r="G50" i="13" l="1"/>
  <c r="G54" i="13" s="1"/>
  <c r="E11" i="9"/>
  <c r="G17" i="15"/>
  <c r="G41" i="13"/>
  <c r="G17" i="14"/>
  <c r="D38" i="14" l="1"/>
  <c r="G38" i="14" s="1"/>
  <c r="G39" i="14" s="1"/>
  <c r="G48" i="14" s="1"/>
  <c r="G18" i="14"/>
  <c r="D39" i="15"/>
  <c r="G39" i="15" s="1"/>
  <c r="F11" i="9"/>
  <c r="G47" i="14" l="1"/>
  <c r="G50" i="14" s="1"/>
  <c r="G19" i="14"/>
  <c r="G20" i="14" s="1"/>
  <c r="G21" i="14" s="1"/>
  <c r="G22" i="14" s="1"/>
  <c r="G23" i="14" s="1"/>
  <c r="G24" i="14" s="1"/>
  <c r="G41" i="14" l="1"/>
  <c r="G25" i="14"/>
  <c r="G26" i="14" s="1"/>
  <c r="E12" i="9" l="1"/>
  <c r="G18" i="15"/>
  <c r="G43" i="14"/>
  <c r="G52" i="14"/>
  <c r="G56" i="14" s="1"/>
  <c r="D40" i="15" l="1"/>
  <c r="G40" i="15" s="1"/>
  <c r="G41" i="15" s="1"/>
  <c r="G50" i="15" s="1"/>
  <c r="G19" i="15"/>
  <c r="F12" i="9"/>
  <c r="G20" i="15" l="1"/>
  <c r="G21" i="15" s="1"/>
  <c r="G22" i="15" s="1"/>
  <c r="G23" i="15" s="1"/>
  <c r="G24" i="15" s="1"/>
  <c r="G25" i="15" s="1"/>
  <c r="G49" i="15"/>
  <c r="G52" i="15" s="1"/>
  <c r="G26" i="15" l="1"/>
  <c r="G27" i="15" s="1"/>
  <c r="G43" i="15"/>
  <c r="G54" i="15" l="1"/>
  <c r="G58" i="15" s="1"/>
  <c r="G45" i="15"/>
  <c r="E13" i="9"/>
  <c r="F13" i="9" l="1"/>
  <c r="E15" i="9"/>
  <c r="E24" i="9" l="1"/>
  <c r="E22" i="9"/>
  <c r="F15" i="9"/>
  <c r="G33" i="8" l="1"/>
  <c r="D22" i="8"/>
  <c r="D21" i="8"/>
  <c r="D20" i="8"/>
  <c r="D19" i="8"/>
  <c r="D18" i="8"/>
  <c r="D17" i="8"/>
  <c r="E16" i="8"/>
  <c r="D16" i="8"/>
  <c r="D15" i="8"/>
  <c r="G14" i="8"/>
  <c r="D60" i="8" l="1"/>
  <c r="E30" i="8" s="1"/>
  <c r="D30" i="8" l="1"/>
  <c r="G30" i="8" s="1"/>
  <c r="G31" i="8" s="1"/>
  <c r="F22" i="8"/>
  <c r="F21" i="8"/>
  <c r="F20" i="8"/>
  <c r="F19" i="8"/>
  <c r="F18" i="8"/>
  <c r="F17" i="8"/>
  <c r="F16" i="8"/>
  <c r="F15" i="8"/>
  <c r="G46" i="8" l="1"/>
  <c r="G40" i="8" l="1"/>
  <c r="G39" i="8" l="1"/>
  <c r="G42" i="8" s="1"/>
  <c r="G15" i="8"/>
  <c r="G16" i="8" s="1"/>
  <c r="G17" i="8" s="1"/>
  <c r="G18" i="8" s="1"/>
  <c r="G19" i="8" s="1"/>
  <c r="G20" i="8" s="1"/>
  <c r="G21" i="8" l="1"/>
  <c r="G22" i="8" s="1"/>
  <c r="G35" i="8" l="1"/>
  <c r="G44" i="8"/>
  <c r="G48" i="8" s="1"/>
</calcChain>
</file>

<file path=xl/sharedStrings.xml><?xml version="1.0" encoding="utf-8"?>
<sst xmlns="http://schemas.openxmlformats.org/spreadsheetml/2006/main" count="481" uniqueCount="105">
  <si>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</si>
  <si>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</si>
  <si>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</si>
  <si>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</si>
  <si>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</si>
  <si>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</si>
  <si>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</si>
  <si>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</si>
  <si>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</si>
  <si>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</si>
  <si>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</si>
  <si>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</si>
  <si>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</si>
  <si>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</si>
  <si>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</si>
  <si>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</si>
  <si>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</si>
  <si>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</si>
  <si>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</si>
  <si>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</si>
  <si>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</si>
  <si>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</si>
  <si>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</si>
  <si>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</si>
  <si>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</si>
  <si>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</si>
  <si>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</si>
  <si>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</si>
  <si>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</si>
  <si>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</si>
  <si>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</si>
  <si>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</si>
  <si>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</si>
  <si>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</si>
  <si>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</si>
  <si>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</si>
  <si>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</si>
  <si>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</si>
  <si>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</si>
  <si>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</si>
  <si>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</si>
  <si>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</si>
  <si>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</si>
  <si>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</si>
  <si>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</si>
  <si>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</si>
  <si>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</si>
  <si>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</si>
  <si>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Farmers - Calculation of (Over)/Under Recovery</t>
  </si>
  <si>
    <t>From Case No. 2025-00013 (Over)/Under-Recovery</t>
  </si>
  <si>
    <t>Less Adjustment for Order amounts remaining to be amortized at end of review period June 2025</t>
  </si>
  <si>
    <t>From Case No. 2025-00013 Recovery</t>
  </si>
  <si>
    <t>2025-00013</t>
  </si>
  <si>
    <t>Monthly recovery (per month for six months)</t>
  </si>
  <si>
    <t>Staff DR1 Response 2 - Farmers Surcharge Summary.xlsx</t>
  </si>
  <si>
    <t>Farmers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</si>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</sst>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2" fillId="0" borderId="0" xfId="0" applyFont="1" applyAlignment="1">
      <alignment horizontal="center"/>
    </xf>
    <xf numFmtId="5" fontId="0" fillId="3" borderId="9" xfId="0" applyNumberFormat="1" applyFill="1" applyBorder="1"/>
    <xf numFmtId="5" fontId="0" fillId="3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5" fontId="0" fillId="3" borderId="10" xfId="0" applyNumberFormat="1" applyFill="1" applyBorder="1"/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0"/>
  <sheetViews>
    <sheetView tabSelected="1" workbookViewId="0">
      <selection activeCell="K26" sqref="K26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54</v>
      </c>
    </row>
    <row r="4" spans="1:8" ht="14.25" customHeight="1" x14ac:dyDescent="0.2">
      <c r="B4" s="61" t="s">
        <v>48</v>
      </c>
      <c r="C4" s="62"/>
      <c r="D4" s="62"/>
      <c r="E4" s="62"/>
      <c r="F4" s="62"/>
      <c r="G4" s="63"/>
    </row>
    <row r="5" spans="1:8" ht="14.25" customHeight="1" x14ac:dyDescent="0.2">
      <c r="B5" s="64"/>
      <c r="C5" s="65"/>
      <c r="D5" s="65"/>
      <c r="E5" s="65"/>
      <c r="F5" s="65"/>
      <c r="G5" s="66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49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A12" s="58"/>
      <c r="B12" s="2">
        <v>1</v>
      </c>
      <c r="C12" s="67" t="s">
        <v>15</v>
      </c>
      <c r="D12" s="68"/>
      <c r="E12" s="68"/>
      <c r="F12" s="68"/>
      <c r="G12" s="69"/>
      <c r="H12" s="58"/>
    </row>
    <row r="13" spans="1:8" x14ac:dyDescent="0.2">
      <c r="A13" s="32"/>
      <c r="B13" s="2" t="s">
        <v>16</v>
      </c>
      <c r="C13" s="8" t="s">
        <v>49</v>
      </c>
      <c r="D13" s="8"/>
      <c r="E13" s="8"/>
      <c r="F13" s="9"/>
      <c r="G13" s="10">
        <v>-261666</v>
      </c>
      <c r="H13" s="32"/>
    </row>
    <row r="14" spans="1:8" x14ac:dyDescent="0.2">
      <c r="B14" s="5" t="s">
        <v>17</v>
      </c>
      <c r="C14" s="8" t="s">
        <v>18</v>
      </c>
      <c r="D14" s="8"/>
      <c r="E14" s="8"/>
      <c r="F14" s="11"/>
      <c r="G14" s="12">
        <f>G13</f>
        <v>-261666</v>
      </c>
    </row>
    <row r="15" spans="1:8" x14ac:dyDescent="0.2">
      <c r="B15" s="4">
        <v>2</v>
      </c>
      <c r="C15" s="13">
        <v>45658</v>
      </c>
      <c r="D15" s="50">
        <f>936999-861</f>
        <v>936138</v>
      </c>
      <c r="E15" s="51">
        <v>797201.91</v>
      </c>
      <c r="F15" s="14">
        <f t="shared" ref="F15:F22" si="0">D15-E15</f>
        <v>138936.08999999997</v>
      </c>
      <c r="G15" s="12">
        <f t="shared" ref="G15:G22" si="1">G14+F15</f>
        <v>-122729.91000000003</v>
      </c>
    </row>
    <row r="16" spans="1:8" x14ac:dyDescent="0.2">
      <c r="B16" s="4">
        <v>3</v>
      </c>
      <c r="C16" s="15">
        <v>45689</v>
      </c>
      <c r="D16" s="52">
        <f>676328-649</f>
        <v>675679</v>
      </c>
      <c r="E16" s="53">
        <f>753714.17</f>
        <v>753714.17</v>
      </c>
      <c r="F16" s="16">
        <f t="shared" si="0"/>
        <v>-78035.170000000042</v>
      </c>
      <c r="G16" s="17">
        <f t="shared" si="1"/>
        <v>-200765.08000000007</v>
      </c>
    </row>
    <row r="17" spans="2:7" x14ac:dyDescent="0.2">
      <c r="B17" s="4">
        <v>4</v>
      </c>
      <c r="C17" s="15">
        <v>45717</v>
      </c>
      <c r="D17" s="52">
        <f>276466-368</f>
        <v>276098</v>
      </c>
      <c r="E17" s="53">
        <v>500685.18</v>
      </c>
      <c r="F17" s="16">
        <f t="shared" si="0"/>
        <v>-224587.18</v>
      </c>
      <c r="G17" s="17">
        <f t="shared" si="1"/>
        <v>-425352.26000000007</v>
      </c>
    </row>
    <row r="18" spans="2:7" x14ac:dyDescent="0.2">
      <c r="B18" s="4">
        <v>5</v>
      </c>
      <c r="C18" s="15">
        <v>45748</v>
      </c>
      <c r="D18" s="52">
        <f>297861-510</f>
        <v>297351</v>
      </c>
      <c r="E18" s="53">
        <v>270651.51</v>
      </c>
      <c r="F18" s="16">
        <f t="shared" si="0"/>
        <v>26699.489999999991</v>
      </c>
      <c r="G18" s="17">
        <f t="shared" si="1"/>
        <v>-398652.77000000008</v>
      </c>
    </row>
    <row r="19" spans="2:7" x14ac:dyDescent="0.2">
      <c r="B19" s="4">
        <v>6</v>
      </c>
      <c r="C19" s="15">
        <v>45778</v>
      </c>
      <c r="D19" s="52">
        <f>428297-765</f>
        <v>427532</v>
      </c>
      <c r="E19" s="53">
        <v>329680.92</v>
      </c>
      <c r="F19" s="16">
        <f t="shared" si="0"/>
        <v>97851.080000000016</v>
      </c>
      <c r="G19" s="17">
        <f t="shared" si="1"/>
        <v>-300801.69000000006</v>
      </c>
    </row>
    <row r="20" spans="2:7" x14ac:dyDescent="0.2">
      <c r="B20" s="4">
        <v>7</v>
      </c>
      <c r="C20" s="15">
        <v>45809</v>
      </c>
      <c r="D20" s="52">
        <f>642322-898</f>
        <v>641424</v>
      </c>
      <c r="E20" s="53">
        <v>525626</v>
      </c>
      <c r="F20" s="18">
        <f t="shared" si="0"/>
        <v>115798</v>
      </c>
      <c r="G20" s="19">
        <f t="shared" si="1"/>
        <v>-185003.69000000006</v>
      </c>
    </row>
    <row r="21" spans="2:7" x14ac:dyDescent="0.2">
      <c r="B21" s="20" t="s">
        <v>19</v>
      </c>
      <c r="C21" s="13">
        <v>45839</v>
      </c>
      <c r="D21" s="50">
        <f>892042-0</f>
        <v>892042</v>
      </c>
      <c r="E21" s="51">
        <v>725817.28</v>
      </c>
      <c r="F21" s="14">
        <f t="shared" si="0"/>
        <v>166224.71999999997</v>
      </c>
      <c r="G21" s="12">
        <f t="shared" si="1"/>
        <v>-18778.970000000088</v>
      </c>
    </row>
    <row r="22" spans="2:7" x14ac:dyDescent="0.2">
      <c r="B22" s="21" t="s">
        <v>20</v>
      </c>
      <c r="C22" s="22">
        <v>45870</v>
      </c>
      <c r="D22" s="59">
        <f>711277-0</f>
        <v>711277</v>
      </c>
      <c r="E22" s="60">
        <v>838078.32</v>
      </c>
      <c r="F22" s="18">
        <f t="shared" si="0"/>
        <v>-126801.31999999995</v>
      </c>
      <c r="G22" s="19">
        <f t="shared" si="1"/>
        <v>-145580.29000000004</v>
      </c>
    </row>
    <row r="23" spans="2:7" x14ac:dyDescent="0.2">
      <c r="B23" s="5"/>
      <c r="C23" s="23" t="s">
        <v>50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0" t="s">
        <v>34</v>
      </c>
      <c r="C30" s="54" t="s">
        <v>51</v>
      </c>
      <c r="D30" s="35">
        <f>-G13</f>
        <v>261666</v>
      </c>
      <c r="E30" s="35">
        <f>D60</f>
        <v>0</v>
      </c>
      <c r="F30" s="54"/>
      <c r="G30" s="35">
        <f t="shared" ref="G30" si="2">D30+E30</f>
        <v>261666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261666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76662.309999999939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53</v>
      </c>
      <c r="D35" s="8"/>
      <c r="E35" s="8"/>
      <c r="F35" s="9"/>
      <c r="G35" s="35">
        <f>G33/6</f>
        <v>12777.051666666657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38</v>
      </c>
      <c r="D39" s="40"/>
      <c r="E39" s="40"/>
      <c r="F39" s="40"/>
      <c r="G39" s="41">
        <f>G14</f>
        <v>-261666</v>
      </c>
    </row>
    <row r="40" spans="2:7" x14ac:dyDescent="0.2">
      <c r="B40" s="4">
        <v>12</v>
      </c>
      <c r="C40" s="40" t="s">
        <v>39</v>
      </c>
      <c r="D40" s="40"/>
      <c r="E40" s="40"/>
      <c r="F40" s="40"/>
      <c r="G40" s="42">
        <f>G31</f>
        <v>261666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41</v>
      </c>
      <c r="D44" s="40"/>
      <c r="E44" s="40"/>
      <c r="F44" s="40"/>
      <c r="G44" s="41">
        <f>G33</f>
        <v>76662.309999999939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76662.309999999939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56"/>
      <c r="G52" s="56"/>
    </row>
    <row r="53" spans="2:7" x14ac:dyDescent="0.2">
      <c r="B53" s="32"/>
      <c r="C53" s="5" t="s">
        <v>10</v>
      </c>
      <c r="D53" s="5" t="s">
        <v>52</v>
      </c>
      <c r="E53" s="27"/>
      <c r="F53" s="56"/>
      <c r="G53" s="56"/>
    </row>
    <row r="54" spans="2:7" x14ac:dyDescent="0.2">
      <c r="C54" s="13">
        <v>45658</v>
      </c>
      <c r="D54" s="46">
        <v>0</v>
      </c>
      <c r="E54" s="57"/>
      <c r="F54" s="55"/>
      <c r="G54" s="55"/>
    </row>
    <row r="55" spans="2:7" x14ac:dyDescent="0.2">
      <c r="C55" s="15">
        <v>45689</v>
      </c>
      <c r="D55" s="46">
        <v>0</v>
      </c>
      <c r="E55" s="57"/>
      <c r="F55" s="55"/>
      <c r="G55" s="55"/>
    </row>
    <row r="56" spans="2:7" x14ac:dyDescent="0.2">
      <c r="C56" s="15">
        <v>45717</v>
      </c>
      <c r="D56" s="46">
        <v>0</v>
      </c>
      <c r="E56" s="57"/>
      <c r="F56" s="55"/>
      <c r="G56" s="55"/>
    </row>
    <row r="57" spans="2:7" x14ac:dyDescent="0.2">
      <c r="C57" s="15">
        <v>45748</v>
      </c>
      <c r="D57" s="46">
        <v>0</v>
      </c>
      <c r="E57" s="57"/>
      <c r="F57" s="55"/>
      <c r="G57" s="55"/>
    </row>
    <row r="58" spans="2:7" x14ac:dyDescent="0.2">
      <c r="C58" s="15">
        <v>45778</v>
      </c>
      <c r="D58" s="46">
        <v>0</v>
      </c>
      <c r="E58" s="57"/>
      <c r="F58" s="55"/>
      <c r="G58" s="55"/>
    </row>
    <row r="59" spans="2:7" x14ac:dyDescent="0.2">
      <c r="C59" s="15">
        <v>45809</v>
      </c>
      <c r="D59" s="47">
        <v>0</v>
      </c>
      <c r="E59" s="57"/>
      <c r="F59" s="55"/>
      <c r="G59" s="55"/>
    </row>
    <row r="60" spans="2:7" x14ac:dyDescent="0.2">
      <c r="C60" s="48" t="s">
        <v>46</v>
      </c>
      <c r="D60" s="35">
        <f>SUM(D54:D59)</f>
        <v>0</v>
      </c>
      <c r="E60" s="16"/>
      <c r="F60" s="55"/>
      <c r="G60" s="55"/>
    </row>
  </sheetData>
  <mergeCells count="2">
    <mergeCell ref="B4:G5"/>
    <mergeCell ref="C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3C2AF-BA2E-41ED-AD46-10D186352360}">
  <dimension ref="A1:F25"/>
  <sheetViews>
    <sheetView workbookViewId="0"/>
  </sheetViews>
  <sheetFormatPr defaultColWidth="15.625" defaultRowHeight="14.25" x14ac:dyDescent="0.2"/>
  <sheetData>
    <row r="1" spans="1:6" x14ac:dyDescent="0.2">
      <c r="A1" t="str">
        <f>'Current 05-31-25'!$A$1</f>
        <v>Staff DR1 Response 2 - Farmers Surcharge Summary.xlsx</v>
      </c>
    </row>
    <row r="3" spans="1:6" ht="15" x14ac:dyDescent="0.25">
      <c r="C3" s="70" t="s">
        <v>55</v>
      </c>
      <c r="D3" s="70"/>
      <c r="E3" s="70"/>
    </row>
    <row r="4" spans="1:6" ht="15" x14ac:dyDescent="0.25">
      <c r="B4" s="70" t="s">
        <v>56</v>
      </c>
      <c r="C4" s="70"/>
      <c r="D4" s="70"/>
      <c r="E4" s="70"/>
      <c r="F4" s="70"/>
    </row>
    <row r="6" spans="1:6" ht="15" thickBot="1" x14ac:dyDescent="0.25">
      <c r="E6" s="71" t="s">
        <v>57</v>
      </c>
    </row>
    <row r="7" spans="1:6" x14ac:dyDescent="0.2">
      <c r="B7" t="s">
        <v>58</v>
      </c>
    </row>
    <row r="8" spans="1:6" x14ac:dyDescent="0.2">
      <c r="B8" t="s">
        <v>59</v>
      </c>
      <c r="E8" s="72">
        <f>'A - 05-31-22'!G33</f>
        <v>-41863.409999999974</v>
      </c>
      <c r="F8" s="73" t="str">
        <f>IF(E8&gt;0,"Under-Recovery","Over-Recovery")</f>
        <v>Over-Recovery</v>
      </c>
    </row>
    <row r="9" spans="1:6" x14ac:dyDescent="0.2">
      <c r="B9" t="s">
        <v>60</v>
      </c>
      <c r="E9" s="72">
        <f>'B - 11-30-22'!G35</f>
        <v>86505.020000000077</v>
      </c>
      <c r="F9" s="73" t="str">
        <f t="shared" ref="F9:F13" si="0">IF(E9&gt;0,"Under-Recovery","Over-Recovery")</f>
        <v>Under-Recovery</v>
      </c>
    </row>
    <row r="10" spans="1:6" x14ac:dyDescent="0.2">
      <c r="B10" t="s">
        <v>61</v>
      </c>
      <c r="E10" s="72">
        <f>'C - 05-31-23'!G37</f>
        <v>-143180.63</v>
      </c>
      <c r="F10" s="73" t="str">
        <f t="shared" si="0"/>
        <v>Over-Recovery</v>
      </c>
    </row>
    <row r="11" spans="1:6" x14ac:dyDescent="0.2">
      <c r="B11" t="s">
        <v>62</v>
      </c>
      <c r="E11" s="72">
        <f>'D - 11-30-23'!G39</f>
        <v>-93472.859999999928</v>
      </c>
      <c r="F11" s="73" t="str">
        <f t="shared" si="0"/>
        <v>Over-Recovery</v>
      </c>
    </row>
    <row r="12" spans="1:6" x14ac:dyDescent="0.2">
      <c r="B12" t="s">
        <v>63</v>
      </c>
      <c r="E12" s="72">
        <f>'E - 05-31-24'!G41</f>
        <v>196921.68000000005</v>
      </c>
      <c r="F12" s="73" t="str">
        <f t="shared" si="0"/>
        <v>Under-Recovery</v>
      </c>
    </row>
    <row r="13" spans="1:6" x14ac:dyDescent="0.2">
      <c r="B13" t="s">
        <v>64</v>
      </c>
      <c r="E13" s="72">
        <f>'F - 11-30-24'!G43</f>
        <v>-266575.44999999995</v>
      </c>
      <c r="F13" s="73" t="str">
        <f t="shared" si="0"/>
        <v>Over-Recovery</v>
      </c>
    </row>
    <row r="14" spans="1:6" x14ac:dyDescent="0.2">
      <c r="E14" s="72"/>
    </row>
    <row r="15" spans="1:6" ht="15" thickBot="1" x14ac:dyDescent="0.25">
      <c r="B15" t="s">
        <v>65</v>
      </c>
      <c r="E15" s="74">
        <f>SUM(E8:E13)</f>
        <v>-261665.64999999973</v>
      </c>
      <c r="F15" s="73" t="str">
        <f>IF(E15&gt;0,"Under-Recovery","Over-Recovery")</f>
        <v>Over-Recovery</v>
      </c>
    </row>
    <row r="16" spans="1:6" ht="15" thickTop="1" x14ac:dyDescent="0.2"/>
    <row r="20" spans="2:6" ht="15" x14ac:dyDescent="0.25">
      <c r="B20" s="70" t="s">
        <v>66</v>
      </c>
      <c r="C20" s="70"/>
      <c r="D20" s="70"/>
      <c r="E20" s="70"/>
      <c r="F20" s="70"/>
    </row>
    <row r="22" spans="2:6" x14ac:dyDescent="0.2">
      <c r="B22" t="s">
        <v>67</v>
      </c>
      <c r="E22" s="72">
        <f>ROUND(E15/6,0)</f>
        <v>-43611</v>
      </c>
    </row>
    <row r="23" spans="2:6" x14ac:dyDescent="0.2">
      <c r="E23" s="72"/>
    </row>
    <row r="24" spans="2:6" x14ac:dyDescent="0.2">
      <c r="B24" t="s">
        <v>68</v>
      </c>
      <c r="E24" s="72">
        <f>ROUND(E15/12,0)</f>
        <v>-21805</v>
      </c>
    </row>
    <row r="25" spans="2:6" x14ac:dyDescent="0.2">
      <c r="E25" s="72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8DEAF-3FC2-4681-81F1-39355735802F}">
  <dimension ref="A1:G6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Farmers Surcharge Summary.xlsx</v>
      </c>
    </row>
    <row r="4" spans="1:7" ht="14.25" customHeight="1" x14ac:dyDescent="0.2">
      <c r="B4" s="75" t="s">
        <v>48</v>
      </c>
      <c r="C4" s="76"/>
      <c r="D4" s="76"/>
      <c r="E4" s="76"/>
      <c r="F4" s="76"/>
      <c r="G4" s="77"/>
    </row>
    <row r="5" spans="1:7" ht="14.25" customHeight="1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7" t="s">
        <v>15</v>
      </c>
      <c r="D12" s="68"/>
      <c r="E12" s="68"/>
      <c r="F12" s="68"/>
      <c r="G12" s="69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340897</v>
      </c>
    </row>
    <row r="14" spans="1:7" x14ac:dyDescent="0.2">
      <c r="B14" s="5" t="s">
        <v>17</v>
      </c>
      <c r="C14" s="8" t="s">
        <v>18</v>
      </c>
      <c r="D14" s="8"/>
      <c r="E14" s="8"/>
      <c r="F14" s="11"/>
      <c r="G14" s="12">
        <f>G13</f>
        <v>340897</v>
      </c>
    </row>
    <row r="15" spans="1:7" x14ac:dyDescent="0.2">
      <c r="B15" s="4">
        <v>2</v>
      </c>
      <c r="C15" s="13">
        <v>44562</v>
      </c>
      <c r="D15" s="50">
        <f>545899-546</f>
        <v>545353</v>
      </c>
      <c r="E15" s="51">
        <v>676665.95</v>
      </c>
      <c r="F15" s="14">
        <f t="shared" ref="F15:F22" si="0">D15-E15</f>
        <v>-131312.94999999995</v>
      </c>
      <c r="G15" s="12">
        <f t="shared" ref="G15:G22" si="1">G14+F15</f>
        <v>209584.05000000005</v>
      </c>
    </row>
    <row r="16" spans="1:7" x14ac:dyDescent="0.2">
      <c r="B16" s="4">
        <v>3</v>
      </c>
      <c r="C16" s="15">
        <v>44593</v>
      </c>
      <c r="D16" s="52">
        <f>450184-247</f>
        <v>449937</v>
      </c>
      <c r="E16" s="53">
        <v>557008.54</v>
      </c>
      <c r="F16" s="16">
        <f t="shared" si="0"/>
        <v>-107071.54000000004</v>
      </c>
      <c r="G16" s="17">
        <f t="shared" si="1"/>
        <v>102512.51000000001</v>
      </c>
    </row>
    <row r="17" spans="2:7" x14ac:dyDescent="0.2">
      <c r="B17" s="4">
        <v>4</v>
      </c>
      <c r="C17" s="15">
        <v>44621</v>
      </c>
      <c r="D17" s="52">
        <f>310014-413</f>
        <v>309601</v>
      </c>
      <c r="E17" s="53">
        <v>397737.12</v>
      </c>
      <c r="F17" s="16">
        <f t="shared" si="0"/>
        <v>-88136.12</v>
      </c>
      <c r="G17" s="17">
        <f t="shared" si="1"/>
        <v>14376.390000000014</v>
      </c>
    </row>
    <row r="18" spans="2:7" x14ac:dyDescent="0.2">
      <c r="B18" s="4">
        <v>5</v>
      </c>
      <c r="C18" s="15">
        <v>44652</v>
      </c>
      <c r="D18" s="52">
        <f>378234-609</f>
        <v>377625</v>
      </c>
      <c r="E18" s="53">
        <v>277140.86</v>
      </c>
      <c r="F18" s="16">
        <f t="shared" si="0"/>
        <v>100484.14000000001</v>
      </c>
      <c r="G18" s="17">
        <f t="shared" si="1"/>
        <v>114860.53000000003</v>
      </c>
    </row>
    <row r="19" spans="2:7" x14ac:dyDescent="0.2">
      <c r="B19" s="4">
        <v>6</v>
      </c>
      <c r="C19" s="15">
        <v>44682</v>
      </c>
      <c r="D19" s="52">
        <f>434534-648</f>
        <v>433886</v>
      </c>
      <c r="E19" s="53">
        <v>395583.8</v>
      </c>
      <c r="F19" s="16">
        <f t="shared" si="0"/>
        <v>38302.200000000012</v>
      </c>
      <c r="G19" s="17">
        <f t="shared" si="1"/>
        <v>153162.73000000004</v>
      </c>
    </row>
    <row r="20" spans="2:7" x14ac:dyDescent="0.2">
      <c r="B20" s="4">
        <v>7</v>
      </c>
      <c r="C20" s="15">
        <v>44713</v>
      </c>
      <c r="D20" s="52">
        <f>603438-48</f>
        <v>603390</v>
      </c>
      <c r="E20" s="53">
        <v>457519.14</v>
      </c>
      <c r="F20" s="18">
        <f t="shared" si="0"/>
        <v>145870.85999999999</v>
      </c>
      <c r="G20" s="19">
        <f t="shared" si="1"/>
        <v>299033.59000000003</v>
      </c>
    </row>
    <row r="21" spans="2:7" x14ac:dyDescent="0.2">
      <c r="B21" s="20" t="s">
        <v>19</v>
      </c>
      <c r="C21" s="13">
        <v>44743</v>
      </c>
      <c r="D21" s="50">
        <f>697196-701</f>
        <v>696495</v>
      </c>
      <c r="E21" s="51">
        <v>636920.06999999995</v>
      </c>
      <c r="F21" s="14">
        <f t="shared" si="0"/>
        <v>59574.930000000051</v>
      </c>
      <c r="G21" s="12">
        <f t="shared" si="1"/>
        <v>358608.52000000008</v>
      </c>
    </row>
    <row r="22" spans="2:7" x14ac:dyDescent="0.2">
      <c r="B22" s="21" t="s">
        <v>20</v>
      </c>
      <c r="C22" s="22">
        <v>44774</v>
      </c>
      <c r="D22" s="59">
        <f>523488-39</f>
        <v>523449</v>
      </c>
      <c r="E22" s="60">
        <v>588316.69999999995</v>
      </c>
      <c r="F22" s="18">
        <f t="shared" si="0"/>
        <v>-64867.699999999953</v>
      </c>
      <c r="G22" s="19">
        <f t="shared" si="1"/>
        <v>293740.82000000012</v>
      </c>
    </row>
    <row r="23" spans="2:7" x14ac:dyDescent="0.2">
      <c r="B23" s="5"/>
      <c r="C23" s="23" t="s">
        <v>70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" t="s">
        <v>34</v>
      </c>
      <c r="C30" s="54" t="s">
        <v>71</v>
      </c>
      <c r="D30" s="35">
        <f>-G13</f>
        <v>-340897</v>
      </c>
      <c r="E30" s="35">
        <f>D60</f>
        <v>0</v>
      </c>
      <c r="F30" s="54"/>
      <c r="G30" s="35">
        <f>D30+E30</f>
        <v>-340897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-340897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-41863.409999999974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72</v>
      </c>
      <c r="D35" s="8"/>
      <c r="E35" s="8"/>
      <c r="F35" s="9"/>
      <c r="G35" s="35">
        <f>G33/6</f>
        <v>-6977.234999999996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38</v>
      </c>
      <c r="G39" s="41">
        <f>G14</f>
        <v>340897</v>
      </c>
    </row>
    <row r="40" spans="2:7" x14ac:dyDescent="0.2">
      <c r="B40" s="4">
        <v>12</v>
      </c>
      <c r="C40" t="s">
        <v>39</v>
      </c>
      <c r="G40" s="42">
        <f>G31</f>
        <v>-340897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40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41</v>
      </c>
      <c r="G44" s="41">
        <f>G33</f>
        <v>-41863.409999999974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42</v>
      </c>
      <c r="G46" s="42">
        <f>SUM(F15:F20)</f>
        <v>-41863.409999999974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73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8" t="s">
        <v>46</v>
      </c>
      <c r="D60" s="35">
        <f>SUM(D54:D59)</f>
        <v>0</v>
      </c>
      <c r="E60" s="16"/>
      <c r="F60" s="33"/>
      <c r="G60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2CD4-2BDA-4A65-8420-4312CEC6A7E8}">
  <dimension ref="A1:G62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7" x14ac:dyDescent="0.2">
      <c r="A1" t="str">
        <f>'Current 05-31-25'!$A$1</f>
        <v>Staff DR1 Response 2 - Farmers Surcharge Summary.xlsx</v>
      </c>
    </row>
    <row r="4" spans="1:7" ht="14.25" customHeight="1" x14ac:dyDescent="0.2">
      <c r="B4" s="75" t="s">
        <v>48</v>
      </c>
      <c r="C4" s="76"/>
      <c r="D4" s="76"/>
      <c r="E4" s="76"/>
      <c r="F4" s="76"/>
      <c r="G4" s="77"/>
    </row>
    <row r="5" spans="1:7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7" t="s">
        <v>15</v>
      </c>
      <c r="D12" s="68"/>
      <c r="E12" s="68"/>
      <c r="F12" s="68"/>
      <c r="G12" s="69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340897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1">
        <f>'A - 05-31-22'!G33</f>
        <v>-41863.409999999974</v>
      </c>
    </row>
    <row r="15" spans="1:7" x14ac:dyDescent="0.2">
      <c r="B15" s="5" t="s">
        <v>75</v>
      </c>
      <c r="C15" s="8" t="s">
        <v>18</v>
      </c>
      <c r="D15" s="8"/>
      <c r="E15" s="8"/>
      <c r="F15" s="11"/>
      <c r="G15" s="12">
        <f>G13+G14</f>
        <v>299033.59000000003</v>
      </c>
    </row>
    <row r="16" spans="1:7" x14ac:dyDescent="0.2">
      <c r="B16" s="4">
        <v>2</v>
      </c>
      <c r="C16" s="13">
        <v>44743</v>
      </c>
      <c r="D16" s="50">
        <f>697196-701</f>
        <v>696495</v>
      </c>
      <c r="E16" s="51">
        <v>636920.06999999995</v>
      </c>
      <c r="F16" s="14">
        <f t="shared" ref="F16:F23" si="0">D16-E16</f>
        <v>59574.930000000051</v>
      </c>
      <c r="G16" s="12">
        <f t="shared" ref="G16:G23" si="1">G15+F16</f>
        <v>358608.52000000008</v>
      </c>
    </row>
    <row r="17" spans="2:7" x14ac:dyDescent="0.2">
      <c r="B17" s="4">
        <v>3</v>
      </c>
      <c r="C17" s="15">
        <v>44774</v>
      </c>
      <c r="D17" s="52">
        <f>523488-39</f>
        <v>523449</v>
      </c>
      <c r="E17" s="53">
        <v>588316.69999999995</v>
      </c>
      <c r="F17" s="16">
        <f t="shared" si="0"/>
        <v>-64867.699999999953</v>
      </c>
      <c r="G17" s="17">
        <f t="shared" si="1"/>
        <v>293740.82000000012</v>
      </c>
    </row>
    <row r="18" spans="2:7" x14ac:dyDescent="0.2">
      <c r="B18" s="4">
        <v>4</v>
      </c>
      <c r="C18" s="15">
        <v>44805</v>
      </c>
      <c r="D18" s="52">
        <f>369300-0</f>
        <v>369300</v>
      </c>
      <c r="E18" s="53">
        <v>475235.2</v>
      </c>
      <c r="F18" s="16">
        <f t="shared" si="0"/>
        <v>-105935.20000000001</v>
      </c>
      <c r="G18" s="17">
        <f t="shared" si="1"/>
        <v>187805.62000000011</v>
      </c>
    </row>
    <row r="19" spans="2:7" x14ac:dyDescent="0.2">
      <c r="B19" s="4">
        <v>5</v>
      </c>
      <c r="C19" s="15">
        <v>44835</v>
      </c>
      <c r="D19" s="52">
        <f>391776-541</f>
        <v>391235</v>
      </c>
      <c r="E19" s="53">
        <v>325837.43</v>
      </c>
      <c r="F19" s="16">
        <f t="shared" si="0"/>
        <v>65397.570000000007</v>
      </c>
      <c r="G19" s="17">
        <f t="shared" si="1"/>
        <v>253203.19000000012</v>
      </c>
    </row>
    <row r="20" spans="2:7" x14ac:dyDescent="0.2">
      <c r="B20" s="4">
        <v>6</v>
      </c>
      <c r="C20" s="15">
        <v>44866</v>
      </c>
      <c r="D20" s="52">
        <f>486556-601</f>
        <v>485955</v>
      </c>
      <c r="E20" s="53">
        <v>421579.43</v>
      </c>
      <c r="F20" s="16">
        <f t="shared" si="0"/>
        <v>64375.570000000007</v>
      </c>
      <c r="G20" s="17">
        <f t="shared" si="1"/>
        <v>317578.76000000013</v>
      </c>
    </row>
    <row r="21" spans="2:7" x14ac:dyDescent="0.2">
      <c r="B21" s="4">
        <v>7</v>
      </c>
      <c r="C21" s="15">
        <v>44896</v>
      </c>
      <c r="D21" s="52">
        <f>674891-643</f>
        <v>674248</v>
      </c>
      <c r="E21" s="53">
        <v>606288.15</v>
      </c>
      <c r="F21" s="18">
        <f t="shared" si="0"/>
        <v>67959.849999999977</v>
      </c>
      <c r="G21" s="19">
        <f t="shared" si="1"/>
        <v>385538.6100000001</v>
      </c>
    </row>
    <row r="22" spans="2:7" x14ac:dyDescent="0.2">
      <c r="B22" s="20" t="s">
        <v>19</v>
      </c>
      <c r="C22" s="13">
        <v>44927</v>
      </c>
      <c r="D22" s="50">
        <f>538788-557</f>
        <v>538231</v>
      </c>
      <c r="E22" s="51">
        <v>617335.76</v>
      </c>
      <c r="F22" s="14">
        <f t="shared" si="0"/>
        <v>-79104.760000000009</v>
      </c>
      <c r="G22" s="12">
        <f t="shared" si="1"/>
        <v>306433.85000000009</v>
      </c>
    </row>
    <row r="23" spans="2:7" x14ac:dyDescent="0.2">
      <c r="B23" s="21" t="s">
        <v>20</v>
      </c>
      <c r="C23" s="22">
        <v>44958</v>
      </c>
      <c r="D23" s="59">
        <f>277865-374</f>
        <v>277491</v>
      </c>
      <c r="E23" s="60">
        <v>469412</v>
      </c>
      <c r="F23" s="18">
        <f t="shared" si="0"/>
        <v>-191921</v>
      </c>
      <c r="G23" s="19">
        <f t="shared" si="1"/>
        <v>114512.85000000009</v>
      </c>
    </row>
    <row r="24" spans="2:7" x14ac:dyDescent="0.2">
      <c r="B24" s="5"/>
      <c r="C24" s="23" t="s">
        <v>76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1" t="s">
        <v>71</v>
      </c>
      <c r="D31" s="12">
        <f>-G13</f>
        <v>-340897</v>
      </c>
      <c r="E31" s="12">
        <f>D62</f>
        <v>0</v>
      </c>
      <c r="F31" s="1"/>
      <c r="G31" s="12">
        <f>D31+E31</f>
        <v>-340897</v>
      </c>
    </row>
    <row r="32" spans="2:7" x14ac:dyDescent="0.2">
      <c r="B32" s="27" t="s">
        <v>35</v>
      </c>
      <c r="C32" s="28" t="s">
        <v>77</v>
      </c>
      <c r="D32" s="19">
        <f>-G14</f>
        <v>41863.409999999974</v>
      </c>
      <c r="E32" s="19">
        <v>0</v>
      </c>
      <c r="F32" s="28"/>
      <c r="G32" s="19">
        <f>D32+E32</f>
        <v>41863.409999999974</v>
      </c>
    </row>
    <row r="33" spans="2:7" x14ac:dyDescent="0.2">
      <c r="B33" s="5" t="s">
        <v>78</v>
      </c>
      <c r="C33" s="29"/>
      <c r="D33" s="30"/>
      <c r="E33" s="30"/>
      <c r="F33" s="31" t="s">
        <v>36</v>
      </c>
      <c r="G33" s="19">
        <f>G31+G32</f>
        <v>-299033.59000000003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79</v>
      </c>
      <c r="D35" s="8"/>
      <c r="E35" s="8"/>
      <c r="F35" s="9"/>
      <c r="G35" s="35">
        <f>G21+G33</f>
        <v>86505.020000000077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72</v>
      </c>
      <c r="D37" s="8"/>
      <c r="E37" s="8"/>
      <c r="F37" s="9"/>
      <c r="G37" s="35">
        <f>G35/6</f>
        <v>14417.503333333347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38</v>
      </c>
      <c r="G41" s="41">
        <f>G15</f>
        <v>299033.59000000003</v>
      </c>
    </row>
    <row r="42" spans="2:7" x14ac:dyDescent="0.2">
      <c r="B42" s="4">
        <v>12</v>
      </c>
      <c r="C42" t="s">
        <v>39</v>
      </c>
      <c r="G42" s="42">
        <f>G33</f>
        <v>-299033.59000000003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40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41</v>
      </c>
      <c r="G46" s="41">
        <f>G35</f>
        <v>86505.020000000077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42</v>
      </c>
      <c r="G48" s="42">
        <f>SUM(F16:F21)</f>
        <v>86505.020000000077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73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8" t="s">
        <v>46</v>
      </c>
      <c r="D62" s="35">
        <f>SUM(D56:D61)</f>
        <v>0</v>
      </c>
      <c r="E62" s="16"/>
      <c r="F62" s="33"/>
      <c r="G62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39E60-F766-4BF2-B4FE-FA19A00E30A5}">
  <dimension ref="A1:G64"/>
  <sheetViews>
    <sheetView workbookViewId="0">
      <selection activeCell="A2" sqref="A2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Farmers Surcharge Summary.xlsx</v>
      </c>
    </row>
    <row r="4" spans="1:7" ht="14.25" customHeight="1" x14ac:dyDescent="0.2">
      <c r="B4" s="75" t="s">
        <v>48</v>
      </c>
      <c r="C4" s="76"/>
      <c r="D4" s="76"/>
      <c r="E4" s="76"/>
      <c r="F4" s="76"/>
      <c r="G4" s="77"/>
    </row>
    <row r="5" spans="1:7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7" t="s">
        <v>15</v>
      </c>
      <c r="D12" s="68"/>
      <c r="E12" s="68"/>
      <c r="F12" s="68"/>
      <c r="G12" s="69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340897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1">
        <f>'A - 05-31-22'!G33</f>
        <v>-41863.409999999974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1">
        <f>'B - 11-30-22'!G35</f>
        <v>86505.020000000077</v>
      </c>
    </row>
    <row r="16" spans="1:7" x14ac:dyDescent="0.2">
      <c r="B16" s="5" t="s">
        <v>81</v>
      </c>
      <c r="C16" s="8" t="s">
        <v>18</v>
      </c>
      <c r="D16" s="8"/>
      <c r="E16" s="8"/>
      <c r="F16" s="11"/>
      <c r="G16" s="12">
        <f>G13+G14+G15</f>
        <v>385538.6100000001</v>
      </c>
    </row>
    <row r="17" spans="2:7" x14ac:dyDescent="0.2">
      <c r="B17" s="4">
        <v>2</v>
      </c>
      <c r="C17" s="13">
        <v>44927</v>
      </c>
      <c r="D17" s="50">
        <f>538788-557</f>
        <v>538231</v>
      </c>
      <c r="E17" s="51">
        <v>617335.76</v>
      </c>
      <c r="F17" s="14">
        <f t="shared" ref="F17:F24" si="0">D17-E17</f>
        <v>-79104.760000000009</v>
      </c>
      <c r="G17" s="12">
        <f t="shared" ref="G17:G24" si="1">G16+F17</f>
        <v>306433.85000000009</v>
      </c>
    </row>
    <row r="18" spans="2:7" x14ac:dyDescent="0.2">
      <c r="B18" s="4">
        <v>3</v>
      </c>
      <c r="C18" s="15">
        <v>44958</v>
      </c>
      <c r="D18" s="52">
        <f>277865-374</f>
        <v>277491</v>
      </c>
      <c r="E18" s="53">
        <v>469412</v>
      </c>
      <c r="F18" s="16">
        <f t="shared" si="0"/>
        <v>-191921</v>
      </c>
      <c r="G18" s="17">
        <f t="shared" si="1"/>
        <v>114512.85000000009</v>
      </c>
    </row>
    <row r="19" spans="2:7" x14ac:dyDescent="0.2">
      <c r="B19" s="4">
        <v>4</v>
      </c>
      <c r="C19" s="15">
        <v>44986</v>
      </c>
      <c r="D19" s="52">
        <f>353649-478</f>
        <v>353171</v>
      </c>
      <c r="E19" s="53">
        <v>299657.34999999998</v>
      </c>
      <c r="F19" s="16">
        <f t="shared" si="0"/>
        <v>53513.650000000023</v>
      </c>
      <c r="G19" s="17">
        <f t="shared" si="1"/>
        <v>168026.50000000012</v>
      </c>
    </row>
    <row r="20" spans="2:7" x14ac:dyDescent="0.2">
      <c r="B20" s="4">
        <v>5</v>
      </c>
      <c r="C20" s="15">
        <v>45017</v>
      </c>
      <c r="D20" s="52">
        <f>384854-652</f>
        <v>384202</v>
      </c>
      <c r="E20" s="53">
        <v>356162.67</v>
      </c>
      <c r="F20" s="16">
        <f t="shared" si="0"/>
        <v>28039.330000000016</v>
      </c>
      <c r="G20" s="17">
        <f t="shared" si="1"/>
        <v>196065.83000000013</v>
      </c>
    </row>
    <row r="21" spans="2:7" x14ac:dyDescent="0.2">
      <c r="B21" s="4">
        <v>6</v>
      </c>
      <c r="C21" s="15">
        <v>45047</v>
      </c>
      <c r="D21" s="52">
        <f>418758-636</f>
        <v>418122</v>
      </c>
      <c r="E21" s="53">
        <v>415456.58</v>
      </c>
      <c r="F21" s="16">
        <f t="shared" si="0"/>
        <v>2665.4199999999837</v>
      </c>
      <c r="G21" s="17">
        <f t="shared" si="1"/>
        <v>198731.25000000012</v>
      </c>
    </row>
    <row r="22" spans="2:7" x14ac:dyDescent="0.2">
      <c r="B22" s="4">
        <v>7</v>
      </c>
      <c r="C22" s="15">
        <v>45078</v>
      </c>
      <c r="D22" s="52">
        <f>483967-755</f>
        <v>483212</v>
      </c>
      <c r="E22" s="53">
        <v>439585.27</v>
      </c>
      <c r="F22" s="18">
        <f t="shared" si="0"/>
        <v>43626.729999999981</v>
      </c>
      <c r="G22" s="19">
        <f t="shared" si="1"/>
        <v>242357.9800000001</v>
      </c>
    </row>
    <row r="23" spans="2:7" x14ac:dyDescent="0.2">
      <c r="B23" s="20" t="s">
        <v>19</v>
      </c>
      <c r="C23" s="13">
        <v>45108</v>
      </c>
      <c r="D23" s="50">
        <f>641765-785</f>
        <v>640980</v>
      </c>
      <c r="E23" s="51">
        <v>612554.14</v>
      </c>
      <c r="F23" s="14">
        <f t="shared" si="0"/>
        <v>28425.859999999986</v>
      </c>
      <c r="G23" s="12">
        <f t="shared" si="1"/>
        <v>270783.84000000008</v>
      </c>
    </row>
    <row r="24" spans="2:7" x14ac:dyDescent="0.2">
      <c r="B24" s="21" t="s">
        <v>20</v>
      </c>
      <c r="C24" s="22">
        <v>45139</v>
      </c>
      <c r="D24" s="59">
        <f>663652-0</f>
        <v>663652</v>
      </c>
      <c r="E24" s="60">
        <v>612222.36</v>
      </c>
      <c r="F24" s="18">
        <f t="shared" si="0"/>
        <v>51429.640000000014</v>
      </c>
      <c r="G24" s="19">
        <f t="shared" si="1"/>
        <v>322213.4800000001</v>
      </c>
    </row>
    <row r="25" spans="2:7" x14ac:dyDescent="0.2">
      <c r="B25" s="5"/>
      <c r="C25" s="23" t="s">
        <v>82</v>
      </c>
      <c r="D25" s="24"/>
      <c r="E25" s="24"/>
      <c r="F25" s="24"/>
      <c r="G25" s="25"/>
    </row>
    <row r="26" spans="2:7" x14ac:dyDescent="0.2">
      <c r="B26" s="2"/>
      <c r="C26" s="1"/>
      <c r="D26" s="1"/>
      <c r="E26" s="1"/>
      <c r="F26" s="1"/>
      <c r="G26" s="12"/>
    </row>
    <row r="27" spans="2:7" x14ac:dyDescent="0.2">
      <c r="B27" s="4"/>
      <c r="C27" s="3"/>
      <c r="D27" s="4" t="s">
        <v>21</v>
      </c>
      <c r="E27" s="4" t="s">
        <v>22</v>
      </c>
      <c r="F27" s="3"/>
      <c r="G27" s="17"/>
    </row>
    <row r="28" spans="2:7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</row>
    <row r="29" spans="2:7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7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7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7" x14ac:dyDescent="0.2">
      <c r="B32" s="20" t="s">
        <v>34</v>
      </c>
      <c r="C32" s="1" t="s">
        <v>71</v>
      </c>
      <c r="D32" s="12">
        <f>-G13</f>
        <v>-340897</v>
      </c>
      <c r="E32" s="12">
        <f>D64</f>
        <v>0</v>
      </c>
      <c r="F32" s="1"/>
      <c r="G32" s="12">
        <f t="shared" ref="G32:G34" si="2">D32+E32</f>
        <v>-340897</v>
      </c>
    </row>
    <row r="33" spans="2:7" x14ac:dyDescent="0.2">
      <c r="B33" s="27" t="s">
        <v>35</v>
      </c>
      <c r="C33" s="82" t="s">
        <v>77</v>
      </c>
      <c r="D33" s="17">
        <f>-G14</f>
        <v>41863.409999999974</v>
      </c>
      <c r="E33" s="17">
        <v>0</v>
      </c>
      <c r="F33" s="3"/>
      <c r="G33" s="17">
        <f t="shared" si="2"/>
        <v>41863.409999999974</v>
      </c>
    </row>
    <row r="34" spans="2:7" x14ac:dyDescent="0.2">
      <c r="B34" s="27" t="s">
        <v>78</v>
      </c>
      <c r="C34" s="45" t="s">
        <v>83</v>
      </c>
      <c r="D34" s="19">
        <f>-G15</f>
        <v>-86505.020000000077</v>
      </c>
      <c r="E34" s="19">
        <v>0</v>
      </c>
      <c r="F34" s="28"/>
      <c r="G34" s="19">
        <f t="shared" si="2"/>
        <v>-86505.020000000077</v>
      </c>
    </row>
    <row r="35" spans="2:7" x14ac:dyDescent="0.2">
      <c r="B35" s="5" t="s">
        <v>84</v>
      </c>
      <c r="C35" s="29"/>
      <c r="D35" s="30"/>
      <c r="E35" s="30"/>
      <c r="F35" s="31" t="s">
        <v>36</v>
      </c>
      <c r="G35" s="19">
        <f>G32+G33+G34</f>
        <v>-385538.6100000001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85</v>
      </c>
      <c r="D37" s="8"/>
      <c r="E37" s="8"/>
      <c r="F37" s="9"/>
      <c r="G37" s="35">
        <f>G22+G35</f>
        <v>-143180.63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72</v>
      </c>
      <c r="D39" s="8"/>
      <c r="E39" s="8"/>
      <c r="F39" s="9"/>
      <c r="G39" s="35">
        <f>G37/6</f>
        <v>-23863.438333333335</v>
      </c>
    </row>
    <row r="41" spans="2:7" x14ac:dyDescent="0.2">
      <c r="B41" s="1"/>
      <c r="C41" s="36" t="s">
        <v>37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38</v>
      </c>
      <c r="G43" s="41">
        <f>G16</f>
        <v>385538.6100000001</v>
      </c>
    </row>
    <row r="44" spans="2:7" x14ac:dyDescent="0.2">
      <c r="B44" s="4">
        <v>12</v>
      </c>
      <c r="C44" t="s">
        <v>39</v>
      </c>
      <c r="G44" s="42">
        <f>G35</f>
        <v>-385538.6100000001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40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41</v>
      </c>
      <c r="G48" s="41">
        <f>G37</f>
        <v>-143180.63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-143180.63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0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73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8" t="s">
        <v>46</v>
      </c>
      <c r="D64" s="35">
        <f>SUM(D58:D63)</f>
        <v>0</v>
      </c>
      <c r="E64" s="16"/>
      <c r="F64" s="33"/>
      <c r="G64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4F42-F2D9-47C7-8E9B-E0661C8BFC8D}">
  <dimension ref="A1:G66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Farmers Surcharge Summary.xlsx</v>
      </c>
    </row>
    <row r="4" spans="1:7" ht="14.25" customHeight="1" x14ac:dyDescent="0.2">
      <c r="B4" s="75" t="s">
        <v>48</v>
      </c>
      <c r="C4" s="76"/>
      <c r="D4" s="76"/>
      <c r="E4" s="76"/>
      <c r="F4" s="76"/>
      <c r="G4" s="77"/>
    </row>
    <row r="5" spans="1:7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7" t="s">
        <v>15</v>
      </c>
      <c r="D12" s="68"/>
      <c r="E12" s="68"/>
      <c r="F12" s="68"/>
      <c r="G12" s="69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340897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1">
        <f>'A - 05-31-22'!G33</f>
        <v>-41863.409999999974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1">
        <f>'B - 11-30-22'!G35</f>
        <v>86505.020000000077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0">
        <f>'C - 05-31-23'!G37</f>
        <v>-143180.63</v>
      </c>
    </row>
    <row r="17" spans="2:7" x14ac:dyDescent="0.2">
      <c r="B17" s="5" t="s">
        <v>87</v>
      </c>
      <c r="C17" s="8" t="s">
        <v>18</v>
      </c>
      <c r="D17" s="8"/>
      <c r="E17" s="8"/>
      <c r="F17" s="11"/>
      <c r="G17" s="12">
        <f>G13+G14+G15+G16</f>
        <v>242357.9800000001</v>
      </c>
    </row>
    <row r="18" spans="2:7" x14ac:dyDescent="0.2">
      <c r="B18" s="4">
        <v>2</v>
      </c>
      <c r="C18" s="13">
        <v>45108</v>
      </c>
      <c r="D18" s="50">
        <f>641765-785</f>
        <v>640980</v>
      </c>
      <c r="E18" s="51">
        <v>612554.14</v>
      </c>
      <c r="F18" s="14">
        <f t="shared" ref="F18:F25" si="0">D18-E18</f>
        <v>28425.859999999986</v>
      </c>
      <c r="G18" s="12">
        <f t="shared" ref="G18:G25" si="1">G17+F18</f>
        <v>270783.84000000008</v>
      </c>
    </row>
    <row r="19" spans="2:7" x14ac:dyDescent="0.2">
      <c r="B19" s="4">
        <v>3</v>
      </c>
      <c r="C19" s="15">
        <v>45139</v>
      </c>
      <c r="D19" s="52">
        <f>663652-0</f>
        <v>663652</v>
      </c>
      <c r="E19" s="53">
        <v>612222.36</v>
      </c>
      <c r="F19" s="16">
        <f t="shared" si="0"/>
        <v>51429.640000000014</v>
      </c>
      <c r="G19" s="17">
        <f t="shared" si="1"/>
        <v>322213.4800000001</v>
      </c>
    </row>
    <row r="20" spans="2:7" x14ac:dyDescent="0.2">
      <c r="B20" s="4">
        <v>4</v>
      </c>
      <c r="C20" s="15">
        <v>45170</v>
      </c>
      <c r="D20" s="52">
        <f>426556-0</f>
        <v>426556</v>
      </c>
      <c r="E20" s="53">
        <v>593658.82999999996</v>
      </c>
      <c r="F20" s="16">
        <f t="shared" si="0"/>
        <v>-167102.82999999996</v>
      </c>
      <c r="G20" s="17">
        <f t="shared" si="1"/>
        <v>155110.65000000014</v>
      </c>
    </row>
    <row r="21" spans="2:7" x14ac:dyDescent="0.2">
      <c r="B21" s="4">
        <v>5</v>
      </c>
      <c r="C21" s="15">
        <v>45200</v>
      </c>
      <c r="D21" s="52">
        <f>375736-604</f>
        <v>375132</v>
      </c>
      <c r="E21" s="53">
        <v>414647.1</v>
      </c>
      <c r="F21" s="16">
        <f t="shared" si="0"/>
        <v>-39515.099999999977</v>
      </c>
      <c r="G21" s="17">
        <f t="shared" si="1"/>
        <v>115595.55000000016</v>
      </c>
    </row>
    <row r="22" spans="2:7" x14ac:dyDescent="0.2">
      <c r="B22" s="4">
        <v>6</v>
      </c>
      <c r="C22" s="15">
        <v>45231</v>
      </c>
      <c r="D22" s="52">
        <f>490527-715</f>
        <v>489812</v>
      </c>
      <c r="E22" s="53">
        <v>419737.34</v>
      </c>
      <c r="F22" s="16">
        <f t="shared" si="0"/>
        <v>70074.659999999974</v>
      </c>
      <c r="G22" s="17">
        <f t="shared" si="1"/>
        <v>185670.21000000014</v>
      </c>
    </row>
    <row r="23" spans="2:7" x14ac:dyDescent="0.2">
      <c r="B23" s="4">
        <v>7</v>
      </c>
      <c r="C23" s="15">
        <v>45261</v>
      </c>
      <c r="D23" s="52">
        <f>549774-738</f>
        <v>549036</v>
      </c>
      <c r="E23" s="53">
        <v>585821.09</v>
      </c>
      <c r="F23" s="18">
        <f t="shared" si="0"/>
        <v>-36785.089999999967</v>
      </c>
      <c r="G23" s="19">
        <f t="shared" si="1"/>
        <v>148885.12000000017</v>
      </c>
    </row>
    <row r="24" spans="2:7" x14ac:dyDescent="0.2">
      <c r="B24" s="20" t="s">
        <v>19</v>
      </c>
      <c r="C24" s="13">
        <v>45292</v>
      </c>
      <c r="D24" s="50">
        <f>705278-683</f>
        <v>704595</v>
      </c>
      <c r="E24" s="51">
        <v>660299.25</v>
      </c>
      <c r="F24" s="14">
        <f t="shared" si="0"/>
        <v>44295.75</v>
      </c>
      <c r="G24" s="12">
        <f t="shared" si="1"/>
        <v>193180.87000000017</v>
      </c>
    </row>
    <row r="25" spans="2:7" x14ac:dyDescent="0.2">
      <c r="B25" s="21" t="s">
        <v>20</v>
      </c>
      <c r="C25" s="22">
        <v>45323</v>
      </c>
      <c r="D25" s="59">
        <f>496682-633</f>
        <v>496049</v>
      </c>
      <c r="E25" s="60">
        <v>584741.82999999996</v>
      </c>
      <c r="F25" s="18">
        <f t="shared" si="0"/>
        <v>-88692.829999999958</v>
      </c>
      <c r="G25" s="19">
        <f t="shared" si="1"/>
        <v>104488.04000000021</v>
      </c>
    </row>
    <row r="26" spans="2:7" x14ac:dyDescent="0.2">
      <c r="B26" s="5"/>
      <c r="C26" s="23" t="s">
        <v>88</v>
      </c>
      <c r="D26" s="24"/>
      <c r="E26" s="24"/>
      <c r="F26" s="24"/>
      <c r="G26" s="25"/>
    </row>
    <row r="27" spans="2:7" x14ac:dyDescent="0.2">
      <c r="B27" s="2"/>
      <c r="C27" s="1"/>
      <c r="D27" s="1"/>
      <c r="E27" s="1"/>
      <c r="F27" s="1"/>
      <c r="G27" s="12"/>
    </row>
    <row r="28" spans="2:7" x14ac:dyDescent="0.2">
      <c r="B28" s="4"/>
      <c r="C28" s="3"/>
      <c r="D28" s="4" t="s">
        <v>21</v>
      </c>
      <c r="E28" s="4" t="s">
        <v>22</v>
      </c>
      <c r="F28" s="3"/>
      <c r="G28" s="17"/>
    </row>
    <row r="29" spans="2:7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</row>
    <row r="30" spans="2:7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7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7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83" t="s">
        <v>89</v>
      </c>
      <c r="D33" s="84">
        <f>-G13</f>
        <v>-340897</v>
      </c>
      <c r="E33" s="84">
        <f>D66</f>
        <v>0</v>
      </c>
      <c r="F33" s="39"/>
      <c r="G33" s="85">
        <f t="shared" ref="G33:G36" si="2">D33+E33</f>
        <v>-340897</v>
      </c>
    </row>
    <row r="34" spans="2:7" x14ac:dyDescent="0.2">
      <c r="B34" s="27" t="s">
        <v>35</v>
      </c>
      <c r="C34" s="86" t="s">
        <v>77</v>
      </c>
      <c r="D34" s="33">
        <f>-G14</f>
        <v>41863.409999999974</v>
      </c>
      <c r="E34" s="33">
        <v>0</v>
      </c>
      <c r="G34" s="41">
        <f t="shared" si="2"/>
        <v>41863.409999999974</v>
      </c>
    </row>
    <row r="35" spans="2:7" x14ac:dyDescent="0.2">
      <c r="B35" s="27" t="s">
        <v>78</v>
      </c>
      <c r="C35" s="86" t="s">
        <v>83</v>
      </c>
      <c r="D35" s="33">
        <f>-G15</f>
        <v>-86505.020000000077</v>
      </c>
      <c r="E35" s="33">
        <v>0</v>
      </c>
      <c r="G35" s="41">
        <f t="shared" si="2"/>
        <v>-86505.020000000077</v>
      </c>
    </row>
    <row r="36" spans="2:7" x14ac:dyDescent="0.2">
      <c r="B36" s="27" t="s">
        <v>84</v>
      </c>
      <c r="C36" s="87" t="s">
        <v>90</v>
      </c>
      <c r="D36" s="88">
        <f>-G16</f>
        <v>143180.63</v>
      </c>
      <c r="E36" s="88">
        <v>0</v>
      </c>
      <c r="F36" s="44"/>
      <c r="G36" s="42">
        <f t="shared" si="2"/>
        <v>143180.63</v>
      </c>
    </row>
    <row r="37" spans="2:7" x14ac:dyDescent="0.2">
      <c r="B37" s="5" t="s">
        <v>91</v>
      </c>
      <c r="C37" s="29"/>
      <c r="D37" s="30"/>
      <c r="E37" s="30"/>
      <c r="F37" s="31" t="s">
        <v>36</v>
      </c>
      <c r="G37" s="19">
        <f>G33+G34+G35+G36</f>
        <v>-242357.9800000001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92</v>
      </c>
      <c r="D39" s="8"/>
      <c r="E39" s="8"/>
      <c r="F39" s="9"/>
      <c r="G39" s="35">
        <f>G23+G37</f>
        <v>-93472.859999999928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72</v>
      </c>
      <c r="D41" s="8"/>
      <c r="E41" s="8"/>
      <c r="F41" s="9"/>
      <c r="G41" s="35">
        <f>G39/6</f>
        <v>-15578.809999999989</v>
      </c>
    </row>
    <row r="43" spans="2:7" x14ac:dyDescent="0.2">
      <c r="B43" s="1"/>
      <c r="C43" s="36" t="s">
        <v>37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38</v>
      </c>
      <c r="G45" s="41">
        <f>G17</f>
        <v>242357.9800000001</v>
      </c>
    </row>
    <row r="46" spans="2:7" x14ac:dyDescent="0.2">
      <c r="B46" s="4">
        <v>12</v>
      </c>
      <c r="C46" t="s">
        <v>39</v>
      </c>
      <c r="G46" s="42">
        <f>G37</f>
        <v>-242357.9800000001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40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41</v>
      </c>
      <c r="G50" s="41">
        <f>G39</f>
        <v>-93472.859999999928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42</v>
      </c>
      <c r="G52" s="42">
        <f>SUM(F18:F23)</f>
        <v>-93472.859999999928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43</v>
      </c>
      <c r="G54" s="43">
        <f>G50-G52</f>
        <v>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73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8" t="s">
        <v>46</v>
      </c>
      <c r="D66" s="35">
        <f>SUM(D60:D65)</f>
        <v>0</v>
      </c>
      <c r="E66" s="16"/>
      <c r="F66" s="33"/>
      <c r="G66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DCA-93B8-40AA-93D6-81D3DDFE40A6}">
  <dimension ref="A1:G68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 2 - Farmers Surcharge Summary.xlsx</v>
      </c>
    </row>
    <row r="4" spans="1:7" ht="14.25" customHeight="1" x14ac:dyDescent="0.2">
      <c r="B4" s="75" t="s">
        <v>48</v>
      </c>
      <c r="C4" s="76"/>
      <c r="D4" s="76"/>
      <c r="E4" s="76"/>
      <c r="F4" s="76"/>
      <c r="G4" s="77"/>
    </row>
    <row r="5" spans="1:7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7" t="s">
        <v>15</v>
      </c>
      <c r="D12" s="68"/>
      <c r="E12" s="68"/>
      <c r="F12" s="68"/>
      <c r="G12" s="69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340897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1">
        <f>'A - 05-31-22'!G33</f>
        <v>-41863.409999999974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1">
        <f>'B - 11-30-22'!G35</f>
        <v>86505.020000000077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0">
        <f>'C - 05-31-23'!G37</f>
        <v>-143180.63</v>
      </c>
    </row>
    <row r="17" spans="2:7" x14ac:dyDescent="0.2">
      <c r="B17" s="4" t="s">
        <v>87</v>
      </c>
      <c r="C17" s="8" t="s">
        <v>93</v>
      </c>
      <c r="D17" s="8"/>
      <c r="E17" s="8"/>
      <c r="F17" s="11"/>
      <c r="G17" s="50">
        <f>'D - 11-30-23'!G39</f>
        <v>-93472.859999999928</v>
      </c>
    </row>
    <row r="18" spans="2:7" x14ac:dyDescent="0.2">
      <c r="B18" s="5" t="s">
        <v>94</v>
      </c>
      <c r="C18" s="8" t="s">
        <v>18</v>
      </c>
      <c r="D18" s="8"/>
      <c r="E18" s="8"/>
      <c r="F18" s="11"/>
      <c r="G18" s="12">
        <f>G13+G14+G15+G16+G17</f>
        <v>148885.12000000017</v>
      </c>
    </row>
    <row r="19" spans="2:7" x14ac:dyDescent="0.2">
      <c r="B19" s="4">
        <v>2</v>
      </c>
      <c r="C19" s="13">
        <v>45292</v>
      </c>
      <c r="D19" s="50">
        <f>705278-683</f>
        <v>704595</v>
      </c>
      <c r="E19" s="51">
        <v>660299.25</v>
      </c>
      <c r="F19" s="14">
        <f t="shared" ref="F19:F26" si="0">D19-E19</f>
        <v>44295.75</v>
      </c>
      <c r="G19" s="12">
        <f t="shared" ref="G19:G26" si="1">G18+F19</f>
        <v>193180.87000000017</v>
      </c>
    </row>
    <row r="20" spans="2:7" x14ac:dyDescent="0.2">
      <c r="B20" s="4">
        <v>3</v>
      </c>
      <c r="C20" s="15">
        <v>45323</v>
      </c>
      <c r="D20" s="52">
        <f>496682-633</f>
        <v>496049</v>
      </c>
      <c r="E20" s="53">
        <v>584741.82999999996</v>
      </c>
      <c r="F20" s="16">
        <f t="shared" si="0"/>
        <v>-88692.829999999958</v>
      </c>
      <c r="G20" s="17">
        <f t="shared" si="1"/>
        <v>104488.04000000021</v>
      </c>
    </row>
    <row r="21" spans="2:7" x14ac:dyDescent="0.2">
      <c r="B21" s="4">
        <v>4</v>
      </c>
      <c r="C21" s="15">
        <v>45352</v>
      </c>
      <c r="D21" s="52">
        <f>298677-448</f>
        <v>298229</v>
      </c>
      <c r="E21" s="53">
        <v>449222.23</v>
      </c>
      <c r="F21" s="16">
        <f t="shared" si="0"/>
        <v>-150993.22999999998</v>
      </c>
      <c r="G21" s="17">
        <f t="shared" si="1"/>
        <v>-46505.189999999769</v>
      </c>
    </row>
    <row r="22" spans="2:7" x14ac:dyDescent="0.2">
      <c r="B22" s="4">
        <v>5</v>
      </c>
      <c r="C22" s="15">
        <v>45383</v>
      </c>
      <c r="D22" s="52">
        <f>319773-612</f>
        <v>319161</v>
      </c>
      <c r="E22" s="53">
        <v>302169.42</v>
      </c>
      <c r="F22" s="16">
        <f t="shared" si="0"/>
        <v>16991.580000000016</v>
      </c>
      <c r="G22" s="17">
        <f t="shared" si="1"/>
        <v>-29513.609999999753</v>
      </c>
    </row>
    <row r="23" spans="2:7" x14ac:dyDescent="0.2">
      <c r="B23" s="4">
        <v>6</v>
      </c>
      <c r="C23" s="15">
        <v>45413</v>
      </c>
      <c r="D23" s="52">
        <f>463414-737</f>
        <v>462677</v>
      </c>
      <c r="E23" s="53">
        <v>449544.79</v>
      </c>
      <c r="F23" s="16">
        <f t="shared" si="0"/>
        <v>13132.210000000021</v>
      </c>
      <c r="G23" s="17">
        <f t="shared" si="1"/>
        <v>-16381.399999999732</v>
      </c>
    </row>
    <row r="24" spans="2:7" x14ac:dyDescent="0.2">
      <c r="B24" s="4">
        <v>7</v>
      </c>
      <c r="C24" s="15">
        <v>45444</v>
      </c>
      <c r="D24" s="52">
        <f>675716-897</f>
        <v>674819</v>
      </c>
      <c r="E24" s="53">
        <v>539894.80000000005</v>
      </c>
      <c r="F24" s="18">
        <f t="shared" si="0"/>
        <v>134924.19999999995</v>
      </c>
      <c r="G24" s="19">
        <f t="shared" si="1"/>
        <v>118542.80000000022</v>
      </c>
    </row>
    <row r="25" spans="2:7" x14ac:dyDescent="0.2">
      <c r="B25" s="20" t="s">
        <v>19</v>
      </c>
      <c r="C25" s="13">
        <v>45474</v>
      </c>
      <c r="D25" s="50">
        <f>646438-0</f>
        <v>646438</v>
      </c>
      <c r="E25" s="51">
        <v>790430.57</v>
      </c>
      <c r="F25" s="14">
        <f t="shared" si="0"/>
        <v>-143992.56999999995</v>
      </c>
      <c r="G25" s="12">
        <f t="shared" si="1"/>
        <v>-25449.769999999728</v>
      </c>
    </row>
    <row r="26" spans="2:7" x14ac:dyDescent="0.2">
      <c r="B26" s="21" t="s">
        <v>20</v>
      </c>
      <c r="C26" s="22">
        <v>45505</v>
      </c>
      <c r="D26" s="59">
        <f>571387-0</f>
        <v>571387</v>
      </c>
      <c r="E26" s="60">
        <v>707674.56</v>
      </c>
      <c r="F26" s="18">
        <f t="shared" si="0"/>
        <v>-136287.56000000006</v>
      </c>
      <c r="G26" s="19">
        <f t="shared" si="1"/>
        <v>-161737.32999999978</v>
      </c>
    </row>
    <row r="27" spans="2:7" x14ac:dyDescent="0.2">
      <c r="B27" s="5"/>
      <c r="C27" s="23" t="s">
        <v>95</v>
      </c>
      <c r="D27" s="24"/>
      <c r="E27" s="24"/>
      <c r="F27" s="24"/>
      <c r="G27" s="25"/>
    </row>
    <row r="28" spans="2:7" x14ac:dyDescent="0.2">
      <c r="B28" s="2"/>
      <c r="C28" s="1"/>
      <c r="D28" s="1"/>
      <c r="E28" s="1"/>
      <c r="F28" s="1"/>
      <c r="G28" s="12"/>
    </row>
    <row r="29" spans="2:7" x14ac:dyDescent="0.2">
      <c r="B29" s="4"/>
      <c r="C29" s="3"/>
      <c r="D29" s="4" t="s">
        <v>21</v>
      </c>
      <c r="E29" s="4" t="s">
        <v>22</v>
      </c>
      <c r="F29" s="3"/>
      <c r="G29" s="17"/>
    </row>
    <row r="30" spans="2:7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</row>
    <row r="31" spans="2:7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7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89</v>
      </c>
      <c r="D34" s="12">
        <f>-G13</f>
        <v>-340897</v>
      </c>
      <c r="E34" s="12">
        <f>D68</f>
        <v>227264</v>
      </c>
      <c r="F34" s="1"/>
      <c r="G34" s="12">
        <f t="shared" ref="G34:G38" si="2">D34+E34</f>
        <v>-113633</v>
      </c>
    </row>
    <row r="35" spans="2:7" x14ac:dyDescent="0.2">
      <c r="B35" s="27" t="s">
        <v>35</v>
      </c>
      <c r="C35" s="3" t="s">
        <v>77</v>
      </c>
      <c r="D35" s="17">
        <f>-G14</f>
        <v>41863.409999999974</v>
      </c>
      <c r="E35" s="17">
        <v>0</v>
      </c>
      <c r="F35" s="3"/>
      <c r="G35" s="17">
        <f t="shared" si="2"/>
        <v>41863.409999999974</v>
      </c>
    </row>
    <row r="36" spans="2:7" x14ac:dyDescent="0.2">
      <c r="B36" s="27" t="s">
        <v>78</v>
      </c>
      <c r="C36" s="3" t="s">
        <v>83</v>
      </c>
      <c r="D36" s="17">
        <f>-G15</f>
        <v>-86505.020000000077</v>
      </c>
      <c r="E36" s="17">
        <v>0</v>
      </c>
      <c r="F36" s="3"/>
      <c r="G36" s="17">
        <f t="shared" si="2"/>
        <v>-86505.020000000077</v>
      </c>
    </row>
    <row r="37" spans="2:7" x14ac:dyDescent="0.2">
      <c r="B37" s="27" t="s">
        <v>84</v>
      </c>
      <c r="C37" s="3" t="s">
        <v>90</v>
      </c>
      <c r="D37" s="17">
        <f>-G16</f>
        <v>143180.63</v>
      </c>
      <c r="E37" s="17">
        <v>0</v>
      </c>
      <c r="F37" s="3"/>
      <c r="G37" s="17">
        <f t="shared" si="2"/>
        <v>143180.63</v>
      </c>
    </row>
    <row r="38" spans="2:7" x14ac:dyDescent="0.2">
      <c r="B38" s="27" t="s">
        <v>91</v>
      </c>
      <c r="C38" s="28" t="s">
        <v>96</v>
      </c>
      <c r="D38" s="19">
        <f>-G17</f>
        <v>93472.859999999928</v>
      </c>
      <c r="E38" s="19">
        <v>0</v>
      </c>
      <c r="F38" s="28"/>
      <c r="G38" s="19">
        <f t="shared" si="2"/>
        <v>93472.859999999928</v>
      </c>
    </row>
    <row r="39" spans="2:7" x14ac:dyDescent="0.2">
      <c r="B39" s="5" t="s">
        <v>97</v>
      </c>
      <c r="C39" s="29"/>
      <c r="D39" s="30"/>
      <c r="E39" s="30"/>
      <c r="F39" s="31" t="s">
        <v>36</v>
      </c>
      <c r="G39" s="19">
        <f>G34+G35+G36+G37+G38</f>
        <v>78378.87999999983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98</v>
      </c>
      <c r="D41" s="8"/>
      <c r="E41" s="8"/>
      <c r="F41" s="9"/>
      <c r="G41" s="35">
        <f>G24+G39</f>
        <v>196921.68000000005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72</v>
      </c>
      <c r="D43" s="8"/>
      <c r="E43" s="8"/>
      <c r="F43" s="9"/>
      <c r="G43" s="35">
        <f>G41/6</f>
        <v>32820.280000000006</v>
      </c>
    </row>
    <row r="45" spans="2:7" x14ac:dyDescent="0.2">
      <c r="B45" s="1"/>
      <c r="C45" s="36" t="s">
        <v>37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38</v>
      </c>
      <c r="G47" s="41">
        <f>G18</f>
        <v>148885.12000000017</v>
      </c>
    </row>
    <row r="48" spans="2:7" x14ac:dyDescent="0.2">
      <c r="B48" s="4">
        <v>12</v>
      </c>
      <c r="C48" t="s">
        <v>39</v>
      </c>
      <c r="G48" s="42">
        <f>G39</f>
        <v>78378.87999999983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40</v>
      </c>
      <c r="G50" s="43">
        <f>G47+G48</f>
        <v>227264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41</v>
      </c>
      <c r="G52" s="41">
        <f>G41</f>
        <v>196921.68000000005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42</v>
      </c>
      <c r="G54" s="42">
        <f>SUM(F19:F24)</f>
        <v>-30342.319999999949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43</v>
      </c>
      <c r="G56" s="43">
        <f>G52-G54</f>
        <v>227264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73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56816</v>
      </c>
      <c r="E64" s="16"/>
      <c r="F64" s="33"/>
      <c r="G64" s="33"/>
    </row>
    <row r="65" spans="3:7" x14ac:dyDescent="0.2">
      <c r="C65" s="15">
        <v>45383</v>
      </c>
      <c r="D65" s="17">
        <v>56816</v>
      </c>
      <c r="E65" s="16"/>
      <c r="F65" s="33"/>
      <c r="G65" s="33"/>
    </row>
    <row r="66" spans="3:7" x14ac:dyDescent="0.2">
      <c r="C66" s="15">
        <v>45413</v>
      </c>
      <c r="D66" s="17">
        <v>56816</v>
      </c>
      <c r="E66" s="16"/>
      <c r="F66" s="33"/>
      <c r="G66" s="33"/>
    </row>
    <row r="67" spans="3:7" x14ac:dyDescent="0.2">
      <c r="C67" s="15">
        <v>45444</v>
      </c>
      <c r="D67" s="19">
        <v>56816</v>
      </c>
      <c r="E67" s="16"/>
      <c r="F67" s="33"/>
      <c r="G67" s="33"/>
    </row>
    <row r="68" spans="3:7" x14ac:dyDescent="0.2">
      <c r="C68" s="48" t="s">
        <v>46</v>
      </c>
      <c r="D68" s="35">
        <f>SUM(D62:D67)</f>
        <v>227264</v>
      </c>
      <c r="E68" s="16"/>
      <c r="F68" s="33"/>
      <c r="G68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9D2F-D027-4A27-A18D-EED539EBF29B}">
  <dimension ref="A1:G7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 2 - Farmers Surcharge Summary.xlsx</v>
      </c>
    </row>
    <row r="4" spans="1:7" ht="14.25" customHeight="1" x14ac:dyDescent="0.2">
      <c r="B4" s="75" t="s">
        <v>48</v>
      </c>
      <c r="C4" s="76"/>
      <c r="D4" s="76"/>
      <c r="E4" s="76"/>
      <c r="F4" s="76"/>
      <c r="G4" s="77"/>
    </row>
    <row r="5" spans="1:7" ht="14.25" customHeight="1" x14ac:dyDescent="0.2">
      <c r="B5" s="78"/>
      <c r="C5" s="79"/>
      <c r="D5" s="79"/>
      <c r="E5" s="79"/>
      <c r="F5" s="79"/>
      <c r="G5" s="80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7" t="s">
        <v>15</v>
      </c>
      <c r="D12" s="68"/>
      <c r="E12" s="68"/>
      <c r="F12" s="68"/>
      <c r="G12" s="69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113633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1">
        <f>'A - 05-31-22'!G33</f>
        <v>-41863.409999999974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1">
        <f>'B - 11-30-22'!G35</f>
        <v>86505.020000000077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0">
        <f>'C - 05-31-23'!G37</f>
        <v>-143180.63</v>
      </c>
    </row>
    <row r="17" spans="2:7" x14ac:dyDescent="0.2">
      <c r="B17" s="4" t="s">
        <v>87</v>
      </c>
      <c r="C17" s="8" t="s">
        <v>93</v>
      </c>
      <c r="D17" s="8"/>
      <c r="E17" s="8"/>
      <c r="F17" s="11"/>
      <c r="G17" s="50">
        <f>'D - 11-30-23'!G39</f>
        <v>-93472.859999999928</v>
      </c>
    </row>
    <row r="18" spans="2:7" x14ac:dyDescent="0.2">
      <c r="B18" s="4" t="s">
        <v>94</v>
      </c>
      <c r="C18" s="8" t="s">
        <v>99</v>
      </c>
      <c r="D18" s="8"/>
      <c r="E18" s="8"/>
      <c r="F18" s="11"/>
      <c r="G18" s="50">
        <f>'E - 05-31-24'!G41</f>
        <v>196921.68000000005</v>
      </c>
    </row>
    <row r="19" spans="2:7" x14ac:dyDescent="0.2">
      <c r="B19" s="5" t="s">
        <v>100</v>
      </c>
      <c r="C19" s="8" t="s">
        <v>18</v>
      </c>
      <c r="D19" s="8"/>
      <c r="E19" s="8"/>
      <c r="F19" s="11"/>
      <c r="G19" s="12">
        <f>G13+G14+G15+G16+G17+G18</f>
        <v>118542.80000000022</v>
      </c>
    </row>
    <row r="20" spans="2:7" x14ac:dyDescent="0.2">
      <c r="B20" s="4">
        <v>2</v>
      </c>
      <c r="C20" s="13">
        <v>45474</v>
      </c>
      <c r="D20" s="50">
        <f>646438-0</f>
        <v>646438</v>
      </c>
      <c r="E20" s="51">
        <v>790430.57</v>
      </c>
      <c r="F20" s="14">
        <f t="shared" ref="F20:F27" si="0">D20-E20</f>
        <v>-143992.56999999995</v>
      </c>
      <c r="G20" s="12">
        <f t="shared" ref="G20:G27" si="1">G19+F20</f>
        <v>-25449.769999999728</v>
      </c>
    </row>
    <row r="21" spans="2:7" x14ac:dyDescent="0.2">
      <c r="B21" s="4">
        <v>3</v>
      </c>
      <c r="C21" s="15">
        <v>45505</v>
      </c>
      <c r="D21" s="52">
        <f>571387-0</f>
        <v>571387</v>
      </c>
      <c r="E21" s="53">
        <v>707674.56</v>
      </c>
      <c r="F21" s="16">
        <f t="shared" si="0"/>
        <v>-136287.56000000006</v>
      </c>
      <c r="G21" s="17">
        <f t="shared" si="1"/>
        <v>-161737.32999999978</v>
      </c>
    </row>
    <row r="22" spans="2:7" x14ac:dyDescent="0.2">
      <c r="B22" s="4">
        <v>4</v>
      </c>
      <c r="C22" s="15">
        <v>45536</v>
      </c>
      <c r="D22" s="52">
        <f>549748-0</f>
        <v>549748</v>
      </c>
      <c r="E22" s="53">
        <v>611485.71</v>
      </c>
      <c r="F22" s="16">
        <f t="shared" si="0"/>
        <v>-61737.709999999963</v>
      </c>
      <c r="G22" s="17">
        <f t="shared" si="1"/>
        <v>-223475.03999999975</v>
      </c>
    </row>
    <row r="23" spans="2:7" x14ac:dyDescent="0.2">
      <c r="B23" s="4">
        <v>5</v>
      </c>
      <c r="C23" s="15">
        <v>45566</v>
      </c>
      <c r="D23" s="52">
        <f>426484-748</f>
        <v>425736</v>
      </c>
      <c r="E23" s="53">
        <v>558802.07999999996</v>
      </c>
      <c r="F23" s="16">
        <f t="shared" si="0"/>
        <v>-133066.07999999996</v>
      </c>
      <c r="G23" s="17">
        <f t="shared" si="1"/>
        <v>-356541.1199999997</v>
      </c>
    </row>
    <row r="24" spans="2:7" x14ac:dyDescent="0.2">
      <c r="B24" s="4">
        <v>6</v>
      </c>
      <c r="C24" s="15">
        <v>45597</v>
      </c>
      <c r="D24" s="52">
        <f>474367-795</f>
        <v>473572</v>
      </c>
      <c r="E24" s="53">
        <f>507496.72</f>
        <v>507496.72</v>
      </c>
      <c r="F24" s="16">
        <f t="shared" si="0"/>
        <v>-33924.719999999972</v>
      </c>
      <c r="G24" s="17">
        <f t="shared" si="1"/>
        <v>-390465.83999999968</v>
      </c>
    </row>
    <row r="25" spans="2:7" x14ac:dyDescent="0.2">
      <c r="B25" s="4">
        <v>7</v>
      </c>
      <c r="C25" s="15">
        <v>45627</v>
      </c>
      <c r="D25" s="52">
        <f>733357-942</f>
        <v>732415</v>
      </c>
      <c r="E25" s="53">
        <f>603614.81</f>
        <v>603614.81000000006</v>
      </c>
      <c r="F25" s="18">
        <f t="shared" si="0"/>
        <v>128800.18999999994</v>
      </c>
      <c r="G25" s="19">
        <f t="shared" si="1"/>
        <v>-261665.64999999973</v>
      </c>
    </row>
    <row r="26" spans="2:7" x14ac:dyDescent="0.2">
      <c r="B26" s="20" t="s">
        <v>19</v>
      </c>
      <c r="C26" s="13">
        <v>45658</v>
      </c>
      <c r="D26" s="50">
        <f>936999-861</f>
        <v>936138</v>
      </c>
      <c r="E26" s="51">
        <v>797201.91</v>
      </c>
      <c r="F26" s="14">
        <f t="shared" si="0"/>
        <v>138936.08999999997</v>
      </c>
      <c r="G26" s="12">
        <f t="shared" si="1"/>
        <v>-122729.55999999976</v>
      </c>
    </row>
    <row r="27" spans="2:7" x14ac:dyDescent="0.2">
      <c r="B27" s="21" t="s">
        <v>20</v>
      </c>
      <c r="C27" s="22">
        <v>45689</v>
      </c>
      <c r="D27" s="59">
        <f>676328-649</f>
        <v>675679</v>
      </c>
      <c r="E27" s="60">
        <f>753714.17</f>
        <v>753714.17</v>
      </c>
      <c r="F27" s="18">
        <f t="shared" si="0"/>
        <v>-78035.170000000042</v>
      </c>
      <c r="G27" s="19">
        <f t="shared" si="1"/>
        <v>-200764.72999999981</v>
      </c>
    </row>
    <row r="28" spans="2:7" x14ac:dyDescent="0.2">
      <c r="B28" s="5"/>
      <c r="C28" s="23" t="s">
        <v>101</v>
      </c>
      <c r="D28" s="24"/>
      <c r="E28" s="24"/>
      <c r="F28" s="24"/>
      <c r="G28" s="25"/>
    </row>
    <row r="29" spans="2:7" x14ac:dyDescent="0.2">
      <c r="B29" s="2"/>
      <c r="C29" s="1"/>
      <c r="D29" s="1"/>
      <c r="E29" s="1"/>
      <c r="F29" s="1"/>
      <c r="G29" s="12"/>
    </row>
    <row r="30" spans="2:7" x14ac:dyDescent="0.2">
      <c r="B30" s="4"/>
      <c r="C30" s="3"/>
      <c r="D30" s="4" t="s">
        <v>21</v>
      </c>
      <c r="E30" s="4" t="s">
        <v>22</v>
      </c>
      <c r="F30" s="3"/>
      <c r="G30" s="17"/>
    </row>
    <row r="31" spans="2:7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</row>
    <row r="32" spans="2:7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89</v>
      </c>
      <c r="D35" s="12">
        <f t="shared" ref="D35:D40" si="2">-G13</f>
        <v>-113633</v>
      </c>
      <c r="E35" s="12">
        <f>D70</f>
        <v>113633</v>
      </c>
      <c r="F35" s="1"/>
      <c r="G35" s="12">
        <f t="shared" ref="G35:G40" si="3">D35+E35</f>
        <v>0</v>
      </c>
    </row>
    <row r="36" spans="2:7" x14ac:dyDescent="0.2">
      <c r="B36" s="27" t="s">
        <v>35</v>
      </c>
      <c r="C36" s="3" t="s">
        <v>77</v>
      </c>
      <c r="D36" s="17">
        <f t="shared" si="2"/>
        <v>41863.409999999974</v>
      </c>
      <c r="E36" s="17">
        <v>0</v>
      </c>
      <c r="F36" s="3"/>
      <c r="G36" s="17">
        <f t="shared" si="3"/>
        <v>41863.409999999974</v>
      </c>
    </row>
    <row r="37" spans="2:7" x14ac:dyDescent="0.2">
      <c r="B37" s="27" t="s">
        <v>78</v>
      </c>
      <c r="C37" s="3" t="s">
        <v>83</v>
      </c>
      <c r="D37" s="17">
        <f t="shared" si="2"/>
        <v>-86505.020000000077</v>
      </c>
      <c r="E37" s="17">
        <v>0</v>
      </c>
      <c r="F37" s="3"/>
      <c r="G37" s="17">
        <f t="shared" si="3"/>
        <v>-86505.020000000077</v>
      </c>
    </row>
    <row r="38" spans="2:7" x14ac:dyDescent="0.2">
      <c r="B38" s="27" t="s">
        <v>84</v>
      </c>
      <c r="C38" s="3" t="s">
        <v>90</v>
      </c>
      <c r="D38" s="17">
        <f t="shared" si="2"/>
        <v>143180.63</v>
      </c>
      <c r="E38" s="17">
        <v>0</v>
      </c>
      <c r="F38" s="3"/>
      <c r="G38" s="17">
        <f t="shared" si="3"/>
        <v>143180.63</v>
      </c>
    </row>
    <row r="39" spans="2:7" x14ac:dyDescent="0.2">
      <c r="B39" s="27" t="s">
        <v>91</v>
      </c>
      <c r="C39" s="3" t="s">
        <v>96</v>
      </c>
      <c r="D39" s="17">
        <f t="shared" si="2"/>
        <v>93472.859999999928</v>
      </c>
      <c r="E39" s="17">
        <v>0</v>
      </c>
      <c r="F39" s="3"/>
      <c r="G39" s="17">
        <f t="shared" si="3"/>
        <v>93472.859999999928</v>
      </c>
    </row>
    <row r="40" spans="2:7" x14ac:dyDescent="0.2">
      <c r="B40" s="27" t="s">
        <v>97</v>
      </c>
      <c r="C40" s="28" t="s">
        <v>102</v>
      </c>
      <c r="D40" s="19">
        <f t="shared" si="2"/>
        <v>-196921.68000000005</v>
      </c>
      <c r="E40" s="19">
        <v>0</v>
      </c>
      <c r="F40" s="28"/>
      <c r="G40" s="19">
        <f t="shared" si="3"/>
        <v>-196921.68000000005</v>
      </c>
    </row>
    <row r="41" spans="2:7" x14ac:dyDescent="0.2">
      <c r="B41" s="5" t="s">
        <v>103</v>
      </c>
      <c r="C41" s="29"/>
      <c r="D41" s="30"/>
      <c r="E41" s="30"/>
      <c r="F41" s="31" t="s">
        <v>36</v>
      </c>
      <c r="G41" s="19">
        <f>G35+G36+G37+G38+G39+G40</f>
        <v>-4909.8000000002212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104</v>
      </c>
      <c r="D43" s="8"/>
      <c r="E43" s="8"/>
      <c r="F43" s="9"/>
      <c r="G43" s="35">
        <f>G25+G41</f>
        <v>-266575.44999999995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72</v>
      </c>
      <c r="D45" s="8"/>
      <c r="E45" s="8"/>
      <c r="F45" s="9"/>
      <c r="G45" s="35">
        <f>G43/6</f>
        <v>-44429.241666666661</v>
      </c>
    </row>
    <row r="47" spans="2:7" x14ac:dyDescent="0.2">
      <c r="B47" s="1"/>
      <c r="C47" s="36" t="s">
        <v>37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38</v>
      </c>
      <c r="G49" s="41">
        <f>G19</f>
        <v>118542.80000000022</v>
      </c>
    </row>
    <row r="50" spans="2:7" x14ac:dyDescent="0.2">
      <c r="B50" s="4">
        <v>12</v>
      </c>
      <c r="C50" t="s">
        <v>39</v>
      </c>
      <c r="G50" s="42">
        <f>G41</f>
        <v>-4909.8000000002212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40</v>
      </c>
      <c r="G52" s="43">
        <f>G49+G50</f>
        <v>113633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41</v>
      </c>
      <c r="G54" s="41">
        <f>G43</f>
        <v>-266575.44999999995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42</v>
      </c>
      <c r="G56" s="42">
        <f>SUM(F20:F25)</f>
        <v>-380208.44999999995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43</v>
      </c>
      <c r="G58" s="43">
        <f>G54-G56</f>
        <v>113633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73</v>
      </c>
      <c r="E63" s="27"/>
      <c r="F63" s="32"/>
      <c r="G63" s="32"/>
    </row>
    <row r="64" spans="2:7" x14ac:dyDescent="0.2">
      <c r="C64" s="13">
        <v>45474</v>
      </c>
      <c r="D64" s="17">
        <v>56816</v>
      </c>
      <c r="E64" s="16"/>
      <c r="F64" s="33"/>
      <c r="G64" s="33"/>
    </row>
    <row r="65" spans="3:7" x14ac:dyDescent="0.2">
      <c r="C65" s="15">
        <v>45505</v>
      </c>
      <c r="D65" s="17">
        <v>56817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8" t="s">
        <v>46</v>
      </c>
      <c r="D70" s="35">
        <f>SUM(D64:D69)</f>
        <v>113633</v>
      </c>
      <c r="E70" s="16"/>
      <c r="F70" s="33"/>
      <c r="G70" s="33"/>
    </row>
  </sheetData>
  <mergeCells count="2">
    <mergeCell ref="B4:G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2025-10-15T15:36:02Z</dcterms:modified>
</cp:coreProperties>
</file>