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Pricing\Share\000 - PSC Cases\Env Surcharge Review Cases\PSC Case 2025-00266 - 2 yr Review\DR1\To be filed\"/>
    </mc:Choice>
  </mc:AlternateContent>
  <xr:revisionPtr revIDLastSave="0" documentId="13_ncr:1_{89C477C9-2A9F-4A13-AAA2-DAE5BA2ED813}" xr6:coauthVersionLast="47" xr6:coauthVersionMax="47" xr10:uidLastSave="{00000000-0000-0000-0000-000000000000}"/>
  <bookViews>
    <workbookView xWindow="42930" yWindow="8760" windowWidth="38700" windowHeight="15285" xr2:uid="{00000000-000D-0000-FFFF-FFFF00000000}"/>
  </bookViews>
  <sheets>
    <sheet name="Current 05-31-25" sheetId="9" r:id="rId1"/>
    <sheet name="2025-00013 Summary" sheetId="10" r:id="rId2"/>
    <sheet name="A - 05-31-22" sheetId="11" r:id="rId3"/>
    <sheet name="B - 11-30-22" sheetId="12" r:id="rId4"/>
    <sheet name="C - 05-31-23" sheetId="13" r:id="rId5"/>
    <sheet name="D - 11-30-23" sheetId="14" r:id="rId6"/>
    <sheet name="E - 05-31-24" sheetId="15" r:id="rId7"/>
    <sheet name="F - 11-30-24" sheetId="1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10" l="1"/>
  <c r="A1" i="12"/>
  <c r="A1" i="13"/>
  <c r="A1" i="14"/>
  <c r="A1" i="15"/>
  <c r="A1" i="16"/>
  <c r="A1" i="11"/>
  <c r="D70" i="16"/>
  <c r="E35" i="16" s="1"/>
  <c r="D35" i="16"/>
  <c r="G35" i="16" s="1"/>
  <c r="L27" i="16"/>
  <c r="D27" i="16"/>
  <c r="F27" i="16" s="1"/>
  <c r="L26" i="16"/>
  <c r="F26" i="16"/>
  <c r="D26" i="16"/>
  <c r="L25" i="16"/>
  <c r="F25" i="16"/>
  <c r="D25" i="16"/>
  <c r="L24" i="16"/>
  <c r="F24" i="16"/>
  <c r="D24" i="16"/>
  <c r="L23" i="16"/>
  <c r="D23" i="16"/>
  <c r="F23" i="16" s="1"/>
  <c r="J22" i="16"/>
  <c r="L22" i="16" s="1"/>
  <c r="D22" i="16"/>
  <c r="F22" i="16" s="1"/>
  <c r="L21" i="16"/>
  <c r="J21" i="16"/>
  <c r="D21" i="16"/>
  <c r="F21" i="16" s="1"/>
  <c r="J20" i="16"/>
  <c r="L20" i="16" s="1"/>
  <c r="M20" i="16" s="1"/>
  <c r="M21" i="16" s="1"/>
  <c r="D20" i="16"/>
  <c r="F20" i="16" s="1"/>
  <c r="D68" i="15"/>
  <c r="E34" i="15"/>
  <c r="D34" i="15"/>
  <c r="G34" i="15" s="1"/>
  <c r="L26" i="15"/>
  <c r="J26" i="15"/>
  <c r="F26" i="15"/>
  <c r="D26" i="15"/>
  <c r="J25" i="15"/>
  <c r="L25" i="15" s="1"/>
  <c r="D25" i="15"/>
  <c r="F25" i="15" s="1"/>
  <c r="L24" i="15"/>
  <c r="J24" i="15"/>
  <c r="F24" i="15"/>
  <c r="D24" i="15"/>
  <c r="J23" i="15"/>
  <c r="L23" i="15" s="1"/>
  <c r="D23" i="15"/>
  <c r="F23" i="15" s="1"/>
  <c r="L22" i="15"/>
  <c r="J22" i="15"/>
  <c r="F22" i="15"/>
  <c r="D22" i="15"/>
  <c r="J21" i="15"/>
  <c r="L21" i="15" s="1"/>
  <c r="D21" i="15"/>
  <c r="F21" i="15" s="1"/>
  <c r="L20" i="15"/>
  <c r="J20" i="15"/>
  <c r="F20" i="15"/>
  <c r="D20" i="15"/>
  <c r="J19" i="15"/>
  <c r="L19" i="15" s="1"/>
  <c r="M19" i="15" s="1"/>
  <c r="M20" i="15" s="1"/>
  <c r="M21" i="15" s="1"/>
  <c r="M22" i="15" s="1"/>
  <c r="M23" i="15" s="1"/>
  <c r="M24" i="15" s="1"/>
  <c r="D19" i="15"/>
  <c r="F19" i="15" s="1"/>
  <c r="G54" i="15" s="1"/>
  <c r="D66" i="14"/>
  <c r="E33" i="14"/>
  <c r="D33" i="14"/>
  <c r="G33" i="14" s="1"/>
  <c r="J25" i="14"/>
  <c r="L25" i="14" s="1"/>
  <c r="D25" i="14"/>
  <c r="F25" i="14" s="1"/>
  <c r="J24" i="14"/>
  <c r="L24" i="14" s="1"/>
  <c r="F24" i="14"/>
  <c r="D24" i="14"/>
  <c r="J23" i="14"/>
  <c r="L23" i="14" s="1"/>
  <c r="D23" i="14"/>
  <c r="F23" i="14" s="1"/>
  <c r="J22" i="14"/>
  <c r="L22" i="14" s="1"/>
  <c r="F22" i="14"/>
  <c r="D22" i="14"/>
  <c r="J21" i="14"/>
  <c r="L21" i="14" s="1"/>
  <c r="D21" i="14"/>
  <c r="F21" i="14" s="1"/>
  <c r="J20" i="14"/>
  <c r="L20" i="14" s="1"/>
  <c r="F20" i="14"/>
  <c r="D20" i="14"/>
  <c r="J19" i="14"/>
  <c r="L19" i="14" s="1"/>
  <c r="E19" i="14"/>
  <c r="D19" i="14"/>
  <c r="F19" i="14" s="1"/>
  <c r="J18" i="14"/>
  <c r="L18" i="14" s="1"/>
  <c r="M18" i="14" s="1"/>
  <c r="M19" i="14" s="1"/>
  <c r="M20" i="14" s="1"/>
  <c r="E18" i="14"/>
  <c r="D18" i="14"/>
  <c r="F18" i="14" s="1"/>
  <c r="D64" i="13"/>
  <c r="E32" i="13"/>
  <c r="D32" i="13"/>
  <c r="G32" i="13" s="1"/>
  <c r="L24" i="13"/>
  <c r="J24" i="13"/>
  <c r="E24" i="13"/>
  <c r="F24" i="13" s="1"/>
  <c r="D24" i="13"/>
  <c r="J23" i="13"/>
  <c r="L23" i="13" s="1"/>
  <c r="E23" i="13"/>
  <c r="D23" i="13"/>
  <c r="F23" i="13" s="1"/>
  <c r="J22" i="13"/>
  <c r="L22" i="13" s="1"/>
  <c r="E22" i="13"/>
  <c r="D22" i="13"/>
  <c r="F22" i="13" s="1"/>
  <c r="K21" i="13"/>
  <c r="J21" i="13"/>
  <c r="L21" i="13" s="1"/>
  <c r="E21" i="13"/>
  <c r="D21" i="13"/>
  <c r="F21" i="13" s="1"/>
  <c r="J20" i="13"/>
  <c r="L20" i="13" s="1"/>
  <c r="F20" i="13"/>
  <c r="D20" i="13"/>
  <c r="J19" i="13"/>
  <c r="L19" i="13" s="1"/>
  <c r="D19" i="13"/>
  <c r="F19" i="13" s="1"/>
  <c r="K18" i="13"/>
  <c r="J18" i="13"/>
  <c r="L18" i="13" s="1"/>
  <c r="E18" i="13"/>
  <c r="D18" i="13"/>
  <c r="F18" i="13" s="1"/>
  <c r="J17" i="13"/>
  <c r="L17" i="13" s="1"/>
  <c r="M17" i="13" s="1"/>
  <c r="M18" i="13" s="1"/>
  <c r="M19" i="13" s="1"/>
  <c r="M20" i="13" s="1"/>
  <c r="M21" i="13" s="1"/>
  <c r="M22" i="13" s="1"/>
  <c r="F17" i="13"/>
  <c r="D17" i="13"/>
  <c r="D62" i="12"/>
  <c r="E31" i="12"/>
  <c r="D31" i="12"/>
  <c r="G31" i="12" s="1"/>
  <c r="K23" i="12"/>
  <c r="L23" i="12" s="1"/>
  <c r="J23" i="12"/>
  <c r="E23" i="12"/>
  <c r="F23" i="12" s="1"/>
  <c r="D23" i="12"/>
  <c r="J22" i="12"/>
  <c r="L22" i="12" s="1"/>
  <c r="D22" i="12"/>
  <c r="F22" i="12" s="1"/>
  <c r="J21" i="12"/>
  <c r="L21" i="12" s="1"/>
  <c r="F21" i="12"/>
  <c r="D21" i="12"/>
  <c r="J20" i="12"/>
  <c r="L20" i="12" s="1"/>
  <c r="D20" i="12"/>
  <c r="F20" i="12" s="1"/>
  <c r="J19" i="12"/>
  <c r="L19" i="12" s="1"/>
  <c r="F19" i="12"/>
  <c r="D19" i="12"/>
  <c r="J18" i="12"/>
  <c r="L18" i="12" s="1"/>
  <c r="D18" i="12"/>
  <c r="F18" i="12" s="1"/>
  <c r="K17" i="12"/>
  <c r="J17" i="12"/>
  <c r="L17" i="12" s="1"/>
  <c r="F17" i="12"/>
  <c r="E17" i="12"/>
  <c r="D17" i="12"/>
  <c r="M16" i="12"/>
  <c r="L16" i="12"/>
  <c r="J16" i="12"/>
  <c r="F16" i="12"/>
  <c r="D16" i="12"/>
  <c r="D60" i="11"/>
  <c r="E30" i="11" s="1"/>
  <c r="D30" i="11"/>
  <c r="G30" i="11" s="1"/>
  <c r="G31" i="11" s="1"/>
  <c r="G40" i="11" s="1"/>
  <c r="L22" i="11"/>
  <c r="K22" i="11"/>
  <c r="J22" i="11"/>
  <c r="E22" i="11"/>
  <c r="D22" i="11"/>
  <c r="F22" i="11" s="1"/>
  <c r="L21" i="11"/>
  <c r="J21" i="11"/>
  <c r="D21" i="11"/>
  <c r="F21" i="11" s="1"/>
  <c r="J20" i="11"/>
  <c r="L20" i="11" s="1"/>
  <c r="D20" i="11"/>
  <c r="F20" i="11" s="1"/>
  <c r="L19" i="11"/>
  <c r="F19" i="11"/>
  <c r="D19" i="11"/>
  <c r="L18" i="11"/>
  <c r="K18" i="11"/>
  <c r="E18" i="11"/>
  <c r="D18" i="11"/>
  <c r="F18" i="11" s="1"/>
  <c r="L17" i="11"/>
  <c r="E17" i="11"/>
  <c r="D17" i="11"/>
  <c r="F17" i="11" s="1"/>
  <c r="L16" i="11"/>
  <c r="F16" i="11"/>
  <c r="D16" i="11"/>
  <c r="L15" i="11"/>
  <c r="M15" i="11" s="1"/>
  <c r="M16" i="11" s="1"/>
  <c r="M17" i="11" s="1"/>
  <c r="M18" i="11" s="1"/>
  <c r="M19" i="11" s="1"/>
  <c r="M20" i="11" s="1"/>
  <c r="D15" i="11"/>
  <c r="F15" i="11" s="1"/>
  <c r="G14" i="11"/>
  <c r="G39" i="11" s="1"/>
  <c r="G42" i="11" s="1"/>
  <c r="M26" i="13" l="1"/>
  <c r="M28" i="13" s="1"/>
  <c r="M23" i="13"/>
  <c r="M24" i="13" s="1"/>
  <c r="G52" i="14"/>
  <c r="M25" i="15"/>
  <c r="M26" i="15" s="1"/>
  <c r="M28" i="15"/>
  <c r="M30" i="15" s="1"/>
  <c r="G46" i="11"/>
  <c r="G15" i="11"/>
  <c r="G16" i="11" s="1"/>
  <c r="G17" i="11" s="1"/>
  <c r="G18" i="11" s="1"/>
  <c r="G19" i="11" s="1"/>
  <c r="G20" i="11" s="1"/>
  <c r="M21" i="11"/>
  <c r="M22" i="11" s="1"/>
  <c r="M24" i="11"/>
  <c r="M26" i="11" s="1"/>
  <c r="M21" i="14"/>
  <c r="M22" i="14" s="1"/>
  <c r="M23" i="14" s="1"/>
  <c r="G48" i="12"/>
  <c r="G56" i="16"/>
  <c r="M22" i="16"/>
  <c r="M23" i="16" s="1"/>
  <c r="M24" i="16" s="1"/>
  <c r="M25" i="16" s="1"/>
  <c r="M17" i="12"/>
  <c r="M18" i="12" s="1"/>
  <c r="M19" i="12" s="1"/>
  <c r="M20" i="12" s="1"/>
  <c r="M21" i="12" s="1"/>
  <c r="G50" i="13"/>
  <c r="G21" i="11" l="1"/>
  <c r="G22" i="11" s="1"/>
  <c r="G33" i="11"/>
  <c r="M22" i="12"/>
  <c r="M23" i="12" s="1"/>
  <c r="M25" i="12"/>
  <c r="M27" i="12" s="1"/>
  <c r="M26" i="16"/>
  <c r="M27" i="16" s="1"/>
  <c r="M29" i="16"/>
  <c r="M31" i="16" s="1"/>
  <c r="M27" i="14"/>
  <c r="M29" i="14" s="1"/>
  <c r="M24" i="14"/>
  <c r="M25" i="14" s="1"/>
  <c r="G14" i="13" l="1"/>
  <c r="G14" i="12"/>
  <c r="G44" i="11"/>
  <c r="G48" i="11" s="1"/>
  <c r="G14" i="15"/>
  <c r="G14" i="14"/>
  <c r="G35" i="11"/>
  <c r="E8" i="10"/>
  <c r="G14" i="16"/>
  <c r="D33" i="13" l="1"/>
  <c r="G33" i="13" s="1"/>
  <c r="F8" i="10"/>
  <c r="D34" i="14"/>
  <c r="G34" i="14" s="1"/>
  <c r="D35" i="15"/>
  <c r="G35" i="15" s="1"/>
  <c r="D36" i="16"/>
  <c r="G36" i="16" s="1"/>
  <c r="G15" i="12"/>
  <c r="D32" i="12"/>
  <c r="G32" i="12" s="1"/>
  <c r="G33" i="12" s="1"/>
  <c r="G42" i="12" s="1"/>
  <c r="G41" i="12" l="1"/>
  <c r="G44" i="12" s="1"/>
  <c r="G16" i="12"/>
  <c r="G17" i="12" s="1"/>
  <c r="G18" i="12" s="1"/>
  <c r="G19" i="12" s="1"/>
  <c r="G20" i="12" s="1"/>
  <c r="G21" i="12" s="1"/>
  <c r="G22" i="12" l="1"/>
  <c r="G23" i="12" s="1"/>
  <c r="G35" i="12"/>
  <c r="G15" i="15" l="1"/>
  <c r="G46" i="12"/>
  <c r="G50" i="12" s="1"/>
  <c r="E9" i="10"/>
  <c r="G15" i="16"/>
  <c r="G15" i="14"/>
  <c r="G37" i="12"/>
  <c r="G15" i="13"/>
  <c r="D34" i="13" l="1"/>
  <c r="G34" i="13" s="1"/>
  <c r="G35" i="13" s="1"/>
  <c r="G44" i="13" s="1"/>
  <c r="G16" i="13"/>
  <c r="D35" i="14"/>
  <c r="G35" i="14" s="1"/>
  <c r="D37" i="16"/>
  <c r="G37" i="16" s="1"/>
  <c r="F9" i="10"/>
  <c r="D36" i="15"/>
  <c r="G36" i="15" s="1"/>
  <c r="G43" i="13" l="1"/>
  <c r="G46" i="13" s="1"/>
  <c r="G17" i="13"/>
  <c r="G18" i="13" s="1"/>
  <c r="G19" i="13" s="1"/>
  <c r="G20" i="13" s="1"/>
  <c r="G21" i="13" s="1"/>
  <c r="G22" i="13" s="1"/>
  <c r="G23" i="13" l="1"/>
  <c r="G24" i="13" s="1"/>
  <c r="G37" i="13"/>
  <c r="G16" i="15" l="1"/>
  <c r="G48" i="13"/>
  <c r="G52" i="13" s="1"/>
  <c r="G39" i="13"/>
  <c r="E10" i="10"/>
  <c r="G16" i="14"/>
  <c r="G16" i="16"/>
  <c r="D38" i="16" l="1"/>
  <c r="G38" i="16" s="1"/>
  <c r="D36" i="14"/>
  <c r="G36" i="14" s="1"/>
  <c r="G37" i="14" s="1"/>
  <c r="G46" i="14" s="1"/>
  <c r="G17" i="14"/>
  <c r="F10" i="10"/>
  <c r="D37" i="15"/>
  <c r="G37" i="15" s="1"/>
  <c r="G18" i="14" l="1"/>
  <c r="G19" i="14" s="1"/>
  <c r="G20" i="14" s="1"/>
  <c r="G21" i="14" s="1"/>
  <c r="G22" i="14" s="1"/>
  <c r="G23" i="14" s="1"/>
  <c r="G45" i="14"/>
  <c r="G48" i="14" s="1"/>
  <c r="G39" i="14" l="1"/>
  <c r="G24" i="14"/>
  <c r="G25" i="14" s="1"/>
  <c r="G17" i="15" l="1"/>
  <c r="E11" i="10"/>
  <c r="G41" i="14"/>
  <c r="G50" i="14"/>
  <c r="G54" i="14" s="1"/>
  <c r="G17" i="16"/>
  <c r="D39" i="16" l="1"/>
  <c r="G39" i="16" s="1"/>
  <c r="F11" i="10"/>
  <c r="D38" i="15"/>
  <c r="G38" i="15" s="1"/>
  <c r="G39" i="15" s="1"/>
  <c r="G48" i="15" s="1"/>
  <c r="G18" i="15"/>
  <c r="G47" i="15" l="1"/>
  <c r="G50" i="15" s="1"/>
  <c r="G19" i="15"/>
  <c r="G20" i="15" s="1"/>
  <c r="G21" i="15" s="1"/>
  <c r="G22" i="15" s="1"/>
  <c r="G23" i="15" s="1"/>
  <c r="G24" i="15" s="1"/>
  <c r="G41" i="15" l="1"/>
  <c r="G25" i="15"/>
  <c r="G26" i="15" s="1"/>
  <c r="G52" i="15" l="1"/>
  <c r="G56" i="15" s="1"/>
  <c r="E12" i="10"/>
  <c r="G18" i="16"/>
  <c r="G43" i="15"/>
  <c r="D40" i="16" l="1"/>
  <c r="G40" i="16" s="1"/>
  <c r="G41" i="16" s="1"/>
  <c r="G50" i="16" s="1"/>
  <c r="G19" i="16"/>
  <c r="F12" i="10"/>
  <c r="G20" i="16" l="1"/>
  <c r="G21" i="16" s="1"/>
  <c r="G22" i="16" s="1"/>
  <c r="G23" i="16" s="1"/>
  <c r="G24" i="16" s="1"/>
  <c r="G25" i="16" s="1"/>
  <c r="G49" i="16"/>
  <c r="G52" i="16" s="1"/>
  <c r="G43" i="16" l="1"/>
  <c r="G26" i="16"/>
  <c r="G27" i="16" s="1"/>
  <c r="G54" i="16" l="1"/>
  <c r="G58" i="16" s="1"/>
  <c r="G45" i="16"/>
  <c r="E13" i="10"/>
  <c r="F13" i="10" l="1"/>
  <c r="E15" i="10"/>
  <c r="E24" i="10" l="1"/>
  <c r="E22" i="10"/>
  <c r="F15" i="10"/>
  <c r="G33" i="9" l="1"/>
  <c r="G31" i="9"/>
  <c r="G30" i="9" l="1"/>
  <c r="G20" i="9"/>
  <c r="G35" i="9"/>
  <c r="G14" i="9" l="1"/>
  <c r="G39" i="9" s="1"/>
  <c r="D60" i="9"/>
  <c r="E30" i="9" s="1"/>
  <c r="D30" i="9"/>
  <c r="J27" i="9"/>
  <c r="L27" i="9" s="1"/>
  <c r="J26" i="9"/>
  <c r="L26" i="9" s="1"/>
  <c r="J25" i="9"/>
  <c r="L25" i="9" s="1"/>
  <c r="J24" i="9"/>
  <c r="L24" i="9" s="1"/>
  <c r="J23" i="9"/>
  <c r="L23" i="9" s="1"/>
  <c r="L22" i="9"/>
  <c r="D22" i="9"/>
  <c r="F22" i="9" s="1"/>
  <c r="L21" i="9"/>
  <c r="E21" i="9"/>
  <c r="D21" i="9"/>
  <c r="F21" i="9" s="1"/>
  <c r="L20" i="9"/>
  <c r="M20" i="9" s="1"/>
  <c r="D20" i="9"/>
  <c r="F20" i="9" s="1"/>
  <c r="D19" i="9"/>
  <c r="F19" i="9" s="1"/>
  <c r="D18" i="9"/>
  <c r="F18" i="9" s="1"/>
  <c r="D17" i="9"/>
  <c r="F17" i="9" s="1"/>
  <c r="D16" i="9"/>
  <c r="F16" i="9" s="1"/>
  <c r="D15" i="9"/>
  <c r="F15" i="9" s="1"/>
  <c r="M21" i="9" l="1"/>
  <c r="M22" i="9" s="1"/>
  <c r="M23" i="9" s="1"/>
  <c r="M24" i="9" s="1"/>
  <c r="M25" i="9" s="1"/>
  <c r="G46" i="9"/>
  <c r="M26" i="9"/>
  <c r="M27" i="9" s="1"/>
  <c r="M29" i="9"/>
  <c r="M31" i="9" s="1"/>
  <c r="G15" i="9"/>
  <c r="G16" i="9" s="1"/>
  <c r="G17" i="9" s="1"/>
  <c r="G18" i="9" s="1"/>
  <c r="G19" i="9" s="1"/>
  <c r="G40" i="9" l="1"/>
  <c r="G42" i="9" s="1"/>
  <c r="G21" i="9"/>
  <c r="G22" i="9" s="1"/>
  <c r="G44" i="9" l="1"/>
  <c r="G48" i="9" s="1"/>
</calcChain>
</file>

<file path=xl/sharedStrings.xml><?xml version="1.0" encoding="utf-8"?>
<sst xmlns="http://schemas.openxmlformats.org/spreadsheetml/2006/main" count="622" uniqueCount="112">
  <si>
    <t>Billed to Retail</t>
  </si>
  <si>
    <t>EKPC Invoice</t>
  </si>
  <si>
    <t>Consumer &amp;</t>
  </si>
  <si>
    <t>Month recorded</t>
  </si>
  <si>
    <t xml:space="preserve">recorded on </t>
  </si>
  <si>
    <t>Monthly</t>
  </si>
  <si>
    <t>Cumulative</t>
  </si>
  <si>
    <t>Member's Books</t>
  </si>
  <si>
    <t>(Over) or Under</t>
  </si>
  <si>
    <t>Line No.</t>
  </si>
  <si>
    <t>Month &amp; Year</t>
  </si>
  <si>
    <t>(2)</t>
  </si>
  <si>
    <t>(3)</t>
  </si>
  <si>
    <t>(4)</t>
  </si>
  <si>
    <t>(5)</t>
  </si>
  <si>
    <t>Previous (Over)/Under-Recovery Remaining to be Amortized</t>
  </si>
  <si>
    <t>1a</t>
  </si>
  <si>
    <t>1b</t>
  </si>
  <si>
    <t>Total Previous (Over)/Under-Recovery</t>
  </si>
  <si>
    <t>Post</t>
  </si>
  <si>
    <t>Review</t>
  </si>
  <si>
    <t>Amount Per Case</t>
  </si>
  <si>
    <t>Amortization of</t>
  </si>
  <si>
    <t>Order Remaining</t>
  </si>
  <si>
    <t>Previous</t>
  </si>
  <si>
    <t>to be Amortized at</t>
  </si>
  <si>
    <t>(Over)/Under</t>
  </si>
  <si>
    <t>Order Remaining to</t>
  </si>
  <si>
    <t>beginning of Review</t>
  </si>
  <si>
    <t>Recoveries During</t>
  </si>
  <si>
    <t>be Amortized at end</t>
  </si>
  <si>
    <t>Period</t>
  </si>
  <si>
    <t>Review Period</t>
  </si>
  <si>
    <t>of Review Period</t>
  </si>
  <si>
    <t>8a</t>
  </si>
  <si>
    <t>8b</t>
  </si>
  <si>
    <t xml:space="preserve">Total Order amounts remaining - Over/(Under):      </t>
  </si>
  <si>
    <t>Reconciliation:</t>
  </si>
  <si>
    <t>Previous (Over)/Under-Recovery Remaining to be Amortized, beginning of Review Period</t>
  </si>
  <si>
    <t>Previous (Over)/Under-Recovery Remaining to be Amortized, ending of Review Period</t>
  </si>
  <si>
    <t>Total Amortization during Review Period</t>
  </si>
  <si>
    <t>(Over)/Under-Recovery from Column 5, Line 9</t>
  </si>
  <si>
    <t>Less:  Total Monthly (Over)/Under-Recovery for Review Period (Column 4, Lines 2 thru 7)</t>
  </si>
  <si>
    <t>Difference</t>
  </si>
  <si>
    <t>Amortization Detail, Column 3, Line 8:</t>
  </si>
  <si>
    <t>Case No.</t>
  </si>
  <si>
    <t xml:space="preserve">Totals  </t>
  </si>
  <si>
    <t>Cumulative six month (Over)/Under-Recovery [Cumulative net of remaining Case amortizations (Ln 7&amp;8b)]</t>
  </si>
  <si>
    <t>Cumberland Valley - Calculation of (Over)/Under Recovery</t>
  </si>
  <si>
    <t>Cumberland Valley - Calculation of (Over)/Under Recovery - Direct Surcharge Pass-Throughs</t>
  </si>
  <si>
    <t>(1)</t>
  </si>
  <si>
    <t>Cumulative 6-month (Over)/Under Recovery</t>
  </si>
  <si>
    <t>Monthly Recovery (per month for six months)</t>
  </si>
  <si>
    <t>Rate C, Rate G</t>
  </si>
  <si>
    <t>Rate E</t>
  </si>
  <si>
    <t>From Case No. 2025-00013 (Over)/Under-Recovery</t>
  </si>
  <si>
    <t>Less Adjustment for Order amounts remaining to be amortized at end of review period June 2025</t>
  </si>
  <si>
    <t>From Case No. 2025-00013 Recovery</t>
  </si>
  <si>
    <t>Monthly recovery (per month for six months)</t>
  </si>
  <si>
    <t>2025-00013</t>
  </si>
  <si>
    <t>Staff DR1 Response 2 - Cumberland Valley Surcharge Summary.xlsx</t>
  </si>
  <si>
    <t>Cumberland Velley</t>
  </si>
  <si>
    <t>Net (Over)/Under-Recovery of Environmental Surcharge</t>
  </si>
  <si>
    <t>Amount</t>
  </si>
  <si>
    <t>From:</t>
  </si>
  <si>
    <t xml:space="preserve">  Tab "A - 05-31-22", Line No. 9</t>
  </si>
  <si>
    <t xml:space="preserve">  Tab "B - 11-30-22", Line No. 9</t>
  </si>
  <si>
    <t xml:space="preserve">  Tab "C - 05-31-23", Line No. 9</t>
  </si>
  <si>
    <t xml:space="preserve">  Tab "D - 11-30-23", Line No. 9</t>
  </si>
  <si>
    <t xml:space="preserve">  Tab "E - 05-31-24", Line No. 9</t>
  </si>
  <si>
    <t xml:space="preserve">  Tab "F - 11-30-24", Line No. 9</t>
  </si>
  <si>
    <t>Total Net (Over)/Under-Recovery for Review Period</t>
  </si>
  <si>
    <t>Amortization Options for Total Net (Over)/Under-Recovery</t>
  </si>
  <si>
    <t>Traditional 6-Month Amortization Period</t>
  </si>
  <si>
    <t>Option - 12-Month Amortization Period</t>
  </si>
  <si>
    <t>Rate C (Mar-22), Rate G (Jun-22)</t>
  </si>
  <si>
    <t>From Case No. 2022-00141 (Over)/Under-Recovery</t>
  </si>
  <si>
    <t>Less Adjustment for Order amounts remaining to be amortized at end of review period June 2022</t>
  </si>
  <si>
    <t>Case No. 2022-00141 Recovery</t>
  </si>
  <si>
    <t>Monthly recovery (per month for six months</t>
  </si>
  <si>
    <t>2022-00141</t>
  </si>
  <si>
    <t>From Tab "A - 05-31-22" (Over)/Under-Recovery</t>
  </si>
  <si>
    <t>1c</t>
  </si>
  <si>
    <t>Less Adjustment for Order amounts remaining to be amortized at end of review period December 2022</t>
  </si>
  <si>
    <t>From Tab "A - 05-31-22" Recovery</t>
  </si>
  <si>
    <t>8c</t>
  </si>
  <si>
    <t>Cumulative six month (Over)/Under-Recovery [Cumulative net of remaining Case amortizations (Ln 7&amp;8c)]</t>
  </si>
  <si>
    <t>From Tab "B - 11-30-22" (Over)/Under-Recovery</t>
  </si>
  <si>
    <t>1d</t>
  </si>
  <si>
    <t>Less Adjustment for Order amounts remaining to be amortized at end of review period June 2023</t>
  </si>
  <si>
    <t>From Tab "B - 11-30-22" Recovery</t>
  </si>
  <si>
    <t>8d</t>
  </si>
  <si>
    <t>Cumulative six month (Over)/Under-Recovery [Cumulative net of remaining Case amortizations (Ln 7&amp;8d)]</t>
  </si>
  <si>
    <t>From Tab "C - 05-31-23" (Over)/Under-Recovery</t>
  </si>
  <si>
    <t>1e</t>
  </si>
  <si>
    <t>Less Adjustment for Order amounts remaining to be amortized at end of review period December 2023</t>
  </si>
  <si>
    <t>From Case No. 2022-00141 Recovery</t>
  </si>
  <si>
    <t>From Tab "C - 05-31-23" Recovery</t>
  </si>
  <si>
    <t>8e</t>
  </si>
  <si>
    <t>Cumulative six month (Over)/Under-Recovery [Cumulative net of remaining Case amortizations (Ln 7&amp;8e)]</t>
  </si>
  <si>
    <t>From Tab "D - 11-30-23" (Over)/Under-Recovery</t>
  </si>
  <si>
    <t>1f</t>
  </si>
  <si>
    <t>Less Adjustment for Order amounts remaining to be amortized at end of review period June 2024</t>
  </si>
  <si>
    <t>From Tab "D - 11-30-23" Recovery</t>
  </si>
  <si>
    <t>8f</t>
  </si>
  <si>
    <t>Cumulative six month (Over)/Under-Recovery [Cumulative net of remaining Case amortizations (Ln 7&amp;8f)]</t>
  </si>
  <si>
    <t>From Tab "E - 05-31-24" (Over)/Under-Recovery</t>
  </si>
  <si>
    <t>1g</t>
  </si>
  <si>
    <t>Less Adjustment for Order amounts remaining to be amortized at end of review period December 2024</t>
  </si>
  <si>
    <t>From Tab "E - 05-31-24" Recovery</t>
  </si>
  <si>
    <t>8g</t>
  </si>
  <si>
    <t>Cumulative six month (Over)/Under-Recovery [Cumulative net of remaining Case amortizations (Ln 7&amp;8g)]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</si>
</sst>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7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/>
      <diagonal/>
    </border>
    <border>
      <left style="thin">
        <color indexed="64"/>
      </left>
      <right/>
      <top style="dashDot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DotDot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4" fontId="4" fillId="0" borderId="0" applyFont="0" applyFill="0" applyBorder="0" applyAlignment="0" applyProtection="0"/>
  </cellStyleXfs>
  <cellXfs count="135">
    <xf numFmtId="0" fontId="0" fillId="0" borderId="0" xfId="0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4" xfId="0" applyBorder="1"/>
    <xf numFmtId="5" fontId="0" fillId="0" borderId="7" xfId="0" applyNumberFormat="1" applyBorder="1"/>
    <xf numFmtId="164" fontId="0" fillId="0" borderId="7" xfId="0" applyNumberFormat="1" applyBorder="1" applyAlignment="1">
      <alignment horizontal="right"/>
    </xf>
    <xf numFmtId="5" fontId="0" fillId="0" borderId="2" xfId="0" applyNumberFormat="1" applyBorder="1"/>
    <xf numFmtId="164" fontId="0" fillId="0" borderId="8" xfId="0" applyNumberFormat="1" applyBorder="1" applyAlignment="1">
      <alignment horizontal="right"/>
    </xf>
    <xf numFmtId="5" fontId="0" fillId="0" borderId="14" xfId="0" applyNumberFormat="1" applyBorder="1"/>
    <xf numFmtId="5" fontId="0" fillId="0" borderId="8" xfId="0" applyNumberFormat="1" applyBorder="1"/>
    <xf numFmtId="5" fontId="0" fillId="0" borderId="5" xfId="0" applyNumberFormat="1" applyBorder="1"/>
    <xf numFmtId="5" fontId="0" fillId="0" borderId="9" xfId="0" applyNumberFormat="1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9" xfId="0" applyNumberFormat="1" applyBorder="1" applyAlignment="1">
      <alignment horizontal="right"/>
    </xf>
    <xf numFmtId="0" fontId="0" fillId="2" borderId="9" xfId="0" applyFill="1" applyBorder="1" applyAlignment="1">
      <alignment horizontal="left"/>
    </xf>
    <xf numFmtId="0" fontId="0" fillId="2" borderId="1" xfId="0" applyFill="1" applyBorder="1"/>
    <xf numFmtId="5" fontId="0" fillId="2" borderId="6" xfId="0" applyNumberFormat="1" applyFill="1" applyBorder="1"/>
    <xf numFmtId="5" fontId="0" fillId="0" borderId="8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/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Alignment="1">
      <alignment horizontal="center"/>
    </xf>
    <xf numFmtId="5" fontId="0" fillId="0" borderId="0" xfId="0" applyNumberFormat="1"/>
    <xf numFmtId="0" fontId="0" fillId="0" borderId="11" xfId="0" applyBorder="1"/>
    <xf numFmtId="5" fontId="0" fillId="0" borderId="10" xfId="0" applyNumberFormat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3" xfId="0" applyBorder="1"/>
    <xf numFmtId="5" fontId="0" fillId="0" borderId="15" xfId="0" applyNumberFormat="1" applyBorder="1"/>
    <xf numFmtId="5" fontId="0" fillId="0" borderId="6" xfId="0" applyNumberFormat="1" applyBorder="1"/>
    <xf numFmtId="5" fontId="0" fillId="0" borderId="16" xfId="0" applyNumberFormat="1" applyBorder="1"/>
    <xf numFmtId="0" fontId="0" fillId="0" borderId="1" xfId="0" applyBorder="1"/>
    <xf numFmtId="0" fontId="0" fillId="0" borderId="6" xfId="0" applyBorder="1"/>
    <xf numFmtId="0" fontId="0" fillId="0" borderId="10" xfId="0" applyBorder="1" applyAlignment="1">
      <alignment horizontal="right"/>
    </xf>
    <xf numFmtId="5" fontId="0" fillId="3" borderId="7" xfId="0" applyNumberFormat="1" applyFill="1" applyBorder="1"/>
    <xf numFmtId="5" fontId="0" fillId="3" borderId="2" xfId="0" applyNumberFormat="1" applyFill="1" applyBorder="1"/>
    <xf numFmtId="5" fontId="0" fillId="3" borderId="8" xfId="0" applyNumberFormat="1" applyFill="1" applyBorder="1"/>
    <xf numFmtId="5" fontId="0" fillId="3" borderId="14" xfId="0" applyNumberFormat="1" applyFill="1" applyBorder="1"/>
    <xf numFmtId="5" fontId="0" fillId="3" borderId="9" xfId="0" applyNumberFormat="1" applyFill="1" applyBorder="1"/>
    <xf numFmtId="5" fontId="0" fillId="3" borderId="5" xfId="0" applyNumberFormat="1" applyFill="1" applyBorder="1"/>
    <xf numFmtId="0" fontId="0" fillId="0" borderId="10" xfId="0" applyBorder="1"/>
    <xf numFmtId="0" fontId="3" fillId="0" borderId="0" xfId="1"/>
    <xf numFmtId="0" fontId="1" fillId="0" borderId="0" xfId="1" applyFont="1"/>
    <xf numFmtId="0" fontId="2" fillId="0" borderId="7" xfId="1" applyFont="1" applyBorder="1"/>
    <xf numFmtId="0" fontId="2" fillId="0" borderId="7" xfId="1" applyFont="1" applyBorder="1" applyAlignment="1">
      <alignment horizontal="center"/>
    </xf>
    <xf numFmtId="0" fontId="2" fillId="0" borderId="8" xfId="1" applyFont="1" applyBorder="1"/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49" fontId="2" fillId="0" borderId="10" xfId="1" applyNumberFormat="1" applyFont="1" applyBorder="1" applyAlignment="1">
      <alignment horizontal="center"/>
    </xf>
    <xf numFmtId="5" fontId="2" fillId="3" borderId="8" xfId="3" applyNumberFormat="1" applyFont="1" applyFill="1" applyBorder="1" applyAlignment="1">
      <alignment horizontal="right"/>
    </xf>
    <xf numFmtId="5" fontId="2" fillId="0" borderId="7" xfId="1" applyNumberFormat="1" applyFont="1" applyBorder="1"/>
    <xf numFmtId="5" fontId="2" fillId="0" borderId="8" xfId="1" applyNumberFormat="1" applyFont="1" applyBorder="1"/>
    <xf numFmtId="5" fontId="2" fillId="0" borderId="9" xfId="1" applyNumberFormat="1" applyFont="1" applyBorder="1"/>
    <xf numFmtId="5" fontId="2" fillId="3" borderId="7" xfId="1" applyNumberFormat="1" applyFont="1" applyFill="1" applyBorder="1"/>
    <xf numFmtId="5" fontId="2" fillId="3" borderId="9" xfId="1" applyNumberFormat="1" applyFont="1" applyFill="1" applyBorder="1"/>
    <xf numFmtId="0" fontId="2" fillId="0" borderId="0" xfId="1" applyFont="1"/>
    <xf numFmtId="0" fontId="2" fillId="0" borderId="11" xfId="1" applyFont="1" applyBorder="1"/>
    <xf numFmtId="0" fontId="2" fillId="0" borderId="12" xfId="1" applyFont="1" applyBorder="1"/>
    <xf numFmtId="0" fontId="2" fillId="0" borderId="13" xfId="1" applyFont="1" applyBorder="1"/>
    <xf numFmtId="5" fontId="2" fillId="0" borderId="10" xfId="1" applyNumberFormat="1" applyFont="1" applyBorder="1"/>
    <xf numFmtId="5" fontId="2" fillId="0" borderId="0" xfId="1" applyNumberFormat="1" applyFont="1"/>
    <xf numFmtId="5" fontId="5" fillId="3" borderId="9" xfId="1" applyNumberFormat="1" applyFont="1" applyFill="1" applyBorder="1"/>
    <xf numFmtId="5" fontId="5" fillId="3" borderId="8" xfId="1" applyNumberFormat="1" applyFont="1" applyFill="1" applyBorder="1"/>
    <xf numFmtId="5" fontId="5" fillId="0" borderId="8" xfId="3" applyNumberFormat="1" applyFont="1" applyFill="1" applyBorder="1" applyAlignment="1">
      <alignment horizontal="right"/>
    </xf>
    <xf numFmtId="5" fontId="2" fillId="0" borderId="8" xfId="3" applyNumberFormat="1" applyFont="1" applyFill="1" applyBorder="1" applyAlignment="1">
      <alignment horizontal="right"/>
    </xf>
    <xf numFmtId="0" fontId="1" fillId="0" borderId="0" xfId="0" applyFont="1"/>
    <xf numFmtId="0" fontId="6" fillId="0" borderId="0" xfId="0" applyFont="1" applyAlignment="1">
      <alignment horizontal="center"/>
    </xf>
    <xf numFmtId="164" fontId="0" fillId="0" borderId="17" xfId="0" applyNumberFormat="1" applyBorder="1" applyAlignment="1">
      <alignment horizontal="right"/>
    </xf>
    <xf numFmtId="5" fontId="0" fillId="3" borderId="17" xfId="0" applyNumberFormat="1" applyFill="1" applyBorder="1"/>
    <xf numFmtId="5" fontId="0" fillId="3" borderId="18" xfId="0" applyNumberFormat="1" applyFill="1" applyBorder="1"/>
    <xf numFmtId="5" fontId="0" fillId="0" borderId="18" xfId="0" applyNumberFormat="1" applyBorder="1"/>
    <xf numFmtId="5" fontId="0" fillId="0" borderId="17" xfId="0" applyNumberFormat="1" applyBorder="1"/>
    <xf numFmtId="5" fontId="2" fillId="0" borderId="0" xfId="3" applyNumberFormat="1" applyFont="1" applyFill="1" applyBorder="1" applyAlignment="1">
      <alignment horizontal="right"/>
    </xf>
    <xf numFmtId="5" fontId="5" fillId="0" borderId="0" xfId="3" applyNumberFormat="1" applyFont="1" applyFill="1" applyBorder="1" applyAlignment="1">
      <alignment horizontal="right"/>
    </xf>
    <xf numFmtId="5" fontId="0" fillId="3" borderId="17" xfId="3" applyNumberFormat="1" applyFont="1" applyFill="1" applyBorder="1" applyAlignment="1">
      <alignment horizontal="right"/>
    </xf>
    <xf numFmtId="5" fontId="5" fillId="3" borderId="17" xfId="3" applyNumberFormat="1" applyFont="1" applyFill="1" applyBorder="1" applyAlignment="1">
      <alignment horizontal="right"/>
    </xf>
    <xf numFmtId="5" fontId="2" fillId="0" borderId="17" xfId="1" applyNumberFormat="1" applyFont="1" applyBorder="1"/>
    <xf numFmtId="17" fontId="5" fillId="0" borderId="8" xfId="2" applyNumberFormat="1" applyFont="1" applyBorder="1"/>
    <xf numFmtId="17" fontId="5" fillId="0" borderId="9" xfId="2" applyNumberFormat="1" applyFont="1" applyBorder="1"/>
    <xf numFmtId="0" fontId="0" fillId="0" borderId="5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2" xfId="1" applyFont="1" applyBorder="1" applyAlignment="1">
      <alignment horizontal="center" wrapText="1"/>
    </xf>
    <xf numFmtId="0" fontId="1" fillId="0" borderId="3" xfId="1" applyFont="1" applyBorder="1" applyAlignment="1">
      <alignment horizontal="center" wrapText="1"/>
    </xf>
    <xf numFmtId="0" fontId="1" fillId="0" borderId="4" xfId="1" applyFont="1" applyBorder="1" applyAlignment="1">
      <alignment horizontal="center" wrapText="1"/>
    </xf>
    <xf numFmtId="0" fontId="1" fillId="0" borderId="5" xfId="1" applyFont="1" applyBorder="1" applyAlignment="1">
      <alignment horizontal="center" wrapText="1"/>
    </xf>
    <xf numFmtId="0" fontId="1" fillId="0" borderId="1" xfId="1" applyFont="1" applyBorder="1" applyAlignment="1">
      <alignment horizontal="center" wrapText="1"/>
    </xf>
    <xf numFmtId="0" fontId="1" fillId="0" borderId="6" xfId="1" applyFont="1" applyBorder="1" applyAlignment="1">
      <alignment horizontal="center" wrapText="1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19" xfId="0" applyBorder="1" applyAlignment="1">
      <alignment horizontal="center"/>
    </xf>
    <xf numFmtId="6" fontId="0" fillId="0" borderId="0" xfId="0" applyNumberFormat="1"/>
    <xf numFmtId="0" fontId="0" fillId="0" borderId="0" xfId="0" applyAlignment="1">
      <alignment horizontal="right"/>
    </xf>
    <xf numFmtId="6" fontId="0" fillId="0" borderId="20" xfId="0" applyNumberFormat="1" applyBorder="1"/>
    <xf numFmtId="17" fontId="5" fillId="0" borderId="7" xfId="2" applyNumberFormat="1" applyFont="1" applyBorder="1"/>
    <xf numFmtId="5" fontId="2" fillId="3" borderId="0" xfId="3" applyNumberFormat="1" applyFont="1" applyFill="1" applyBorder="1" applyAlignment="1">
      <alignment horizontal="right"/>
    </xf>
    <xf numFmtId="5" fontId="5" fillId="3" borderId="14" xfId="0" applyNumberFormat="1" applyFont="1" applyFill="1" applyBorder="1"/>
    <xf numFmtId="5" fontId="2" fillId="3" borderId="17" xfId="3" applyNumberFormat="1" applyFont="1" applyFill="1" applyBorder="1" applyAlignment="1">
      <alignment horizontal="right"/>
    </xf>
    <xf numFmtId="5" fontId="5" fillId="3" borderId="8" xfId="3" applyNumberFormat="1" applyFont="1" applyFill="1" applyBorder="1" applyAlignment="1">
      <alignment horizontal="right"/>
    </xf>
    <xf numFmtId="5" fontId="2" fillId="3" borderId="8" xfId="1" applyNumberFormat="1" applyFont="1" applyFill="1" applyBorder="1"/>
    <xf numFmtId="5" fontId="2" fillId="3" borderId="21" xfId="1" applyNumberFormat="1" applyFont="1" applyFill="1" applyBorder="1"/>
    <xf numFmtId="5" fontId="5" fillId="3" borderId="5" xfId="0" applyNumberFormat="1" applyFont="1" applyFill="1" applyBorder="1"/>
    <xf numFmtId="5" fontId="0" fillId="3" borderId="10" xfId="0" applyNumberFormat="1" applyFill="1" applyBorder="1"/>
    <xf numFmtId="5" fontId="5" fillId="3" borderId="0" xfId="3" applyNumberFormat="1" applyFont="1" applyFill="1" applyBorder="1" applyAlignment="1">
      <alignment horizontal="right"/>
    </xf>
    <xf numFmtId="0" fontId="0" fillId="0" borderId="15" xfId="0" applyBorder="1"/>
    <xf numFmtId="0" fontId="0" fillId="0" borderId="2" xfId="0" applyBorder="1"/>
    <xf numFmtId="5" fontId="0" fillId="0" borderId="3" xfId="0" applyNumberFormat="1" applyBorder="1"/>
    <xf numFmtId="5" fontId="0" fillId="0" borderId="4" xfId="0" applyNumberFormat="1" applyBorder="1"/>
    <xf numFmtId="0" fontId="0" fillId="0" borderId="14" xfId="0" applyBorder="1"/>
    <xf numFmtId="0" fontId="0" fillId="0" borderId="5" xfId="0" applyBorder="1"/>
    <xf numFmtId="5" fontId="0" fillId="0" borderId="1" xfId="0" applyNumberFormat="1" applyBorder="1"/>
    <xf numFmtId="164" fontId="0" fillId="0" borderId="22" xfId="0" applyNumberFormat="1" applyBorder="1" applyAlignment="1">
      <alignment horizontal="right"/>
    </xf>
    <xf numFmtId="5" fontId="2" fillId="3" borderId="22" xfId="3" applyNumberFormat="1" applyFont="1" applyFill="1" applyBorder="1" applyAlignment="1">
      <alignment horizontal="right"/>
    </xf>
    <xf numFmtId="5" fontId="5" fillId="3" borderId="22" xfId="3" applyNumberFormat="1" applyFont="1" applyFill="1" applyBorder="1" applyAlignment="1">
      <alignment horizontal="right"/>
    </xf>
    <xf numFmtId="5" fontId="0" fillId="0" borderId="8" xfId="3" applyNumberFormat="1" applyFont="1" applyFill="1" applyBorder="1" applyAlignment="1">
      <alignment horizontal="right"/>
    </xf>
    <xf numFmtId="5" fontId="5" fillId="0" borderId="8" xfId="1" applyNumberFormat="1" applyFont="1" applyBorder="1"/>
    <xf numFmtId="5" fontId="5" fillId="0" borderId="9" xfId="1" applyNumberFormat="1" applyFont="1" applyBorder="1"/>
  </cellXfs>
  <cellStyles count="4">
    <cellStyle name="Currency 2" xfId="3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4157E-B86D-40BC-B562-D710F365F774}">
  <dimension ref="A1:M60"/>
  <sheetViews>
    <sheetView tabSelected="1" workbookViewId="0">
      <selection activeCell="I45" sqref="I45"/>
    </sheetView>
  </sheetViews>
  <sheetFormatPr defaultColWidth="12.625" defaultRowHeight="14.25" x14ac:dyDescent="0.2"/>
  <cols>
    <col min="2" max="2" width="8.625" customWidth="1"/>
    <col min="3" max="3" width="31.75" customWidth="1"/>
    <col min="4" max="5" width="17.625" customWidth="1"/>
    <col min="6" max="6" width="21.25" customWidth="1"/>
    <col min="7" max="7" width="17.625" customWidth="1"/>
    <col min="10" max="11" width="14.625" bestFit="1" customWidth="1"/>
    <col min="12" max="13" width="13.75" bestFit="1" customWidth="1"/>
  </cols>
  <sheetData>
    <row r="1" spans="1:13" x14ac:dyDescent="0.2">
      <c r="A1" t="s">
        <v>60</v>
      </c>
    </row>
    <row r="4" spans="1:13" ht="14.25" customHeight="1" x14ac:dyDescent="0.2">
      <c r="B4" s="92" t="s">
        <v>48</v>
      </c>
      <c r="C4" s="93"/>
      <c r="D4" s="93"/>
      <c r="E4" s="93"/>
      <c r="F4" s="93"/>
      <c r="G4" s="94"/>
      <c r="I4" s="98" t="s">
        <v>49</v>
      </c>
      <c r="J4" s="99"/>
      <c r="K4" s="99"/>
      <c r="L4" s="99"/>
      <c r="M4" s="100"/>
    </row>
    <row r="5" spans="1:13" ht="14.25" customHeight="1" x14ac:dyDescent="0.2">
      <c r="B5" s="95"/>
      <c r="C5" s="96"/>
      <c r="D5" s="96"/>
      <c r="E5" s="96"/>
      <c r="F5" s="96"/>
      <c r="G5" s="97"/>
      <c r="I5" s="101"/>
      <c r="J5" s="102"/>
      <c r="K5" s="102"/>
      <c r="L5" s="102"/>
      <c r="M5" s="103"/>
    </row>
    <row r="6" spans="1:13" ht="15.75" x14ac:dyDescent="0.25">
      <c r="D6" s="77" t="s">
        <v>54</v>
      </c>
      <c r="I6" s="52"/>
      <c r="J6" s="52"/>
      <c r="K6" s="52"/>
      <c r="L6" s="52"/>
      <c r="M6" s="52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x14ac:dyDescent="0.2">
      <c r="B8" s="3"/>
      <c r="C8" s="3"/>
      <c r="D8" s="4" t="s">
        <v>1</v>
      </c>
      <c r="E8" s="4" t="s">
        <v>2</v>
      </c>
      <c r="F8" s="3"/>
      <c r="G8" s="3"/>
    </row>
    <row r="9" spans="1:13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13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13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13" x14ac:dyDescent="0.2">
      <c r="B12" s="2">
        <v>1</v>
      </c>
      <c r="C12" s="104" t="s">
        <v>15</v>
      </c>
      <c r="D12" s="105"/>
      <c r="E12" s="105"/>
      <c r="F12" s="105"/>
      <c r="G12" s="106"/>
    </row>
    <row r="13" spans="1:13" ht="15.75" x14ac:dyDescent="0.25">
      <c r="B13" s="2" t="s">
        <v>16</v>
      </c>
      <c r="C13" s="8" t="s">
        <v>55</v>
      </c>
      <c r="D13" s="8"/>
      <c r="E13" s="8"/>
      <c r="F13" s="9"/>
      <c r="G13" s="34">
        <v>247191</v>
      </c>
      <c r="I13" s="53" t="s">
        <v>53</v>
      </c>
      <c r="J13" s="52"/>
      <c r="K13" s="52"/>
      <c r="L13" s="52"/>
      <c r="M13" s="52"/>
    </row>
    <row r="14" spans="1:13" ht="15" x14ac:dyDescent="0.2">
      <c r="A14" s="78"/>
      <c r="B14" s="5" t="s">
        <v>17</v>
      </c>
      <c r="C14" s="8" t="s">
        <v>18</v>
      </c>
      <c r="D14" s="8"/>
      <c r="E14" s="8"/>
      <c r="F14" s="10"/>
      <c r="G14" s="11">
        <f>SUM(G13:G13)</f>
        <v>247191</v>
      </c>
      <c r="H14" s="78"/>
      <c r="I14" s="52"/>
      <c r="J14" s="52"/>
      <c r="K14" s="52"/>
      <c r="L14" s="52"/>
      <c r="M14" s="52"/>
    </row>
    <row r="15" spans="1:13" x14ac:dyDescent="0.2">
      <c r="A15" s="31"/>
      <c r="B15" s="4">
        <v>2</v>
      </c>
      <c r="C15" s="12">
        <v>45658</v>
      </c>
      <c r="D15" s="45">
        <f>890117-103</f>
        <v>890014</v>
      </c>
      <c r="E15" s="46">
        <v>1091203.67</v>
      </c>
      <c r="F15" s="13">
        <f t="shared" ref="F15:F22" si="0">D15-E15</f>
        <v>-201189.66999999993</v>
      </c>
      <c r="G15" s="11">
        <f t="shared" ref="G15:G22" si="1">G14+F15</f>
        <v>46001.330000000075</v>
      </c>
      <c r="H15" s="31"/>
      <c r="I15" s="54"/>
      <c r="J15" s="54"/>
      <c r="K15" s="55" t="s">
        <v>0</v>
      </c>
      <c r="L15" s="54"/>
      <c r="M15" s="54"/>
    </row>
    <row r="16" spans="1:13" x14ac:dyDescent="0.2">
      <c r="B16" s="4">
        <v>3</v>
      </c>
      <c r="C16" s="14">
        <v>45689</v>
      </c>
      <c r="D16" s="47">
        <f>602353-78</f>
        <v>602275</v>
      </c>
      <c r="E16" s="48">
        <v>746164.62</v>
      </c>
      <c r="F16" s="15">
        <f t="shared" si="0"/>
        <v>-143889.62</v>
      </c>
      <c r="G16" s="16">
        <f t="shared" si="1"/>
        <v>-97888.289999999921</v>
      </c>
      <c r="I16" s="56"/>
      <c r="J16" s="57" t="s">
        <v>1</v>
      </c>
      <c r="K16" s="57" t="s">
        <v>2</v>
      </c>
      <c r="L16" s="56"/>
      <c r="M16" s="56"/>
    </row>
    <row r="17" spans="2:13" x14ac:dyDescent="0.2">
      <c r="B17" s="4">
        <v>4</v>
      </c>
      <c r="C17" s="14">
        <v>45717</v>
      </c>
      <c r="D17" s="47">
        <f>252967-44</f>
        <v>252923</v>
      </c>
      <c r="E17" s="48">
        <v>524607.01</v>
      </c>
      <c r="F17" s="15">
        <f t="shared" si="0"/>
        <v>-271684.01</v>
      </c>
      <c r="G17" s="16">
        <f t="shared" si="1"/>
        <v>-369572.29999999993</v>
      </c>
      <c r="I17" s="56"/>
      <c r="J17" s="57" t="s">
        <v>3</v>
      </c>
      <c r="K17" s="57" t="s">
        <v>4</v>
      </c>
      <c r="L17" s="57" t="s">
        <v>5</v>
      </c>
      <c r="M17" s="57" t="s">
        <v>6</v>
      </c>
    </row>
    <row r="18" spans="2:13" x14ac:dyDescent="0.2">
      <c r="B18" s="4">
        <v>5</v>
      </c>
      <c r="C18" s="79">
        <v>45748</v>
      </c>
      <c r="D18" s="80">
        <f>265770-62</f>
        <v>265708</v>
      </c>
      <c r="E18" s="81">
        <v>233134.91</v>
      </c>
      <c r="F18" s="82">
        <f t="shared" si="0"/>
        <v>32573.089999999997</v>
      </c>
      <c r="G18" s="83">
        <f t="shared" si="1"/>
        <v>-336999.20999999996</v>
      </c>
      <c r="I18" s="58"/>
      <c r="J18" s="58" t="s">
        <v>7</v>
      </c>
      <c r="K18" s="58" t="s">
        <v>7</v>
      </c>
      <c r="L18" s="58" t="s">
        <v>8</v>
      </c>
      <c r="M18" s="58" t="s">
        <v>8</v>
      </c>
    </row>
    <row r="19" spans="2:13" x14ac:dyDescent="0.2">
      <c r="B19" s="4">
        <v>6</v>
      </c>
      <c r="C19" s="14">
        <v>45778</v>
      </c>
      <c r="D19" s="47">
        <f>347902-93</f>
        <v>347809</v>
      </c>
      <c r="E19" s="48">
        <v>310025.51</v>
      </c>
      <c r="F19" s="15">
        <f t="shared" si="0"/>
        <v>37783.489999999991</v>
      </c>
      <c r="G19" s="16">
        <f t="shared" si="1"/>
        <v>-299215.71999999997</v>
      </c>
      <c r="I19" s="59" t="s">
        <v>10</v>
      </c>
      <c r="J19" s="60" t="s">
        <v>50</v>
      </c>
      <c r="K19" s="60" t="s">
        <v>11</v>
      </c>
      <c r="L19" s="60" t="s">
        <v>12</v>
      </c>
      <c r="M19" s="60" t="s">
        <v>13</v>
      </c>
    </row>
    <row r="20" spans="2:13" x14ac:dyDescent="0.2">
      <c r="B20" s="4">
        <v>7</v>
      </c>
      <c r="C20" s="14">
        <v>45809</v>
      </c>
      <c r="D20" s="47">
        <f>518944-116</f>
        <v>518828</v>
      </c>
      <c r="E20" s="48">
        <v>415400.89</v>
      </c>
      <c r="F20" s="17">
        <f t="shared" si="0"/>
        <v>103427.10999999999</v>
      </c>
      <c r="G20" s="18">
        <f>G19+F20</f>
        <v>-195788.61</v>
      </c>
      <c r="I20" s="12">
        <v>45658</v>
      </c>
      <c r="J20" s="76">
        <v>0</v>
      </c>
      <c r="K20" s="84">
        <v>0</v>
      </c>
      <c r="L20" s="62">
        <f t="shared" ref="L20:L27" si="2">J20-K20</f>
        <v>0</v>
      </c>
      <c r="M20" s="63">
        <f>L20</f>
        <v>0</v>
      </c>
    </row>
    <row r="21" spans="2:13" x14ac:dyDescent="0.2">
      <c r="B21" s="19" t="s">
        <v>19</v>
      </c>
      <c r="C21" s="12">
        <v>45839</v>
      </c>
      <c r="D21" s="45">
        <f>706129-0</f>
        <v>706129</v>
      </c>
      <c r="E21" s="46">
        <f>602528.75</f>
        <v>602528.75</v>
      </c>
      <c r="F21" s="13">
        <f t="shared" si="0"/>
        <v>103600.25</v>
      </c>
      <c r="G21" s="11">
        <f t="shared" si="1"/>
        <v>-92188.359999999986</v>
      </c>
      <c r="I21" s="14">
        <v>45689</v>
      </c>
      <c r="J21" s="76">
        <v>0</v>
      </c>
      <c r="K21" s="85">
        <v>0</v>
      </c>
      <c r="L21" s="63">
        <f t="shared" si="2"/>
        <v>0</v>
      </c>
      <c r="M21" s="63">
        <f>M20+L21</f>
        <v>0</v>
      </c>
    </row>
    <row r="22" spans="2:13" x14ac:dyDescent="0.2">
      <c r="B22" s="20" t="s">
        <v>20</v>
      </c>
      <c r="C22" s="21">
        <v>45870</v>
      </c>
      <c r="D22" s="49">
        <f>550967-0</f>
        <v>550967</v>
      </c>
      <c r="E22" s="50">
        <v>616861.31999999995</v>
      </c>
      <c r="F22" s="17">
        <f t="shared" si="0"/>
        <v>-65894.319999999949</v>
      </c>
      <c r="G22" s="18">
        <f t="shared" si="1"/>
        <v>-158082.67999999993</v>
      </c>
      <c r="I22" s="14">
        <v>45717</v>
      </c>
      <c r="J22" s="76">
        <v>0</v>
      </c>
      <c r="K22" s="75">
        <v>0</v>
      </c>
      <c r="L22" s="63">
        <f t="shared" si="2"/>
        <v>0</v>
      </c>
      <c r="M22" s="63">
        <f t="shared" ref="M22:M25" si="3">M21+L22</f>
        <v>0</v>
      </c>
    </row>
    <row r="23" spans="2:13" x14ac:dyDescent="0.2">
      <c r="B23" s="5"/>
      <c r="C23" s="22" t="s">
        <v>56</v>
      </c>
      <c r="D23" s="23"/>
      <c r="E23" s="23"/>
      <c r="F23" s="23"/>
      <c r="G23" s="24"/>
      <c r="I23" s="79">
        <v>45748</v>
      </c>
      <c r="J23" s="86">
        <f>26827+42538</f>
        <v>69365</v>
      </c>
      <c r="K23" s="87">
        <v>69365</v>
      </c>
      <c r="L23" s="88">
        <f t="shared" si="2"/>
        <v>0</v>
      </c>
      <c r="M23" s="88">
        <f t="shared" si="3"/>
        <v>0</v>
      </c>
    </row>
    <row r="24" spans="2:13" x14ac:dyDescent="0.2">
      <c r="B24" s="2"/>
      <c r="C24" s="1"/>
      <c r="D24" s="1"/>
      <c r="E24" s="1"/>
      <c r="F24" s="1"/>
      <c r="G24" s="11"/>
      <c r="I24" s="14">
        <v>45778</v>
      </c>
      <c r="J24" s="61">
        <f>47822+67816</f>
        <v>115638</v>
      </c>
      <c r="K24" s="74">
        <v>115638</v>
      </c>
      <c r="L24" s="63">
        <f t="shared" si="2"/>
        <v>0</v>
      </c>
      <c r="M24" s="63">
        <f t="shared" si="3"/>
        <v>0</v>
      </c>
    </row>
    <row r="25" spans="2:13" x14ac:dyDescent="0.2">
      <c r="B25" s="4"/>
      <c r="C25" s="3"/>
      <c r="D25" s="4" t="s">
        <v>21</v>
      </c>
      <c r="E25" s="4" t="s">
        <v>22</v>
      </c>
      <c r="F25" s="3"/>
      <c r="G25" s="16"/>
      <c r="I25" s="21">
        <v>45809</v>
      </c>
      <c r="J25" s="66">
        <f>56267+76136</f>
        <v>132403</v>
      </c>
      <c r="K25" s="66">
        <v>132403</v>
      </c>
      <c r="L25" s="64">
        <f t="shared" si="2"/>
        <v>0</v>
      </c>
      <c r="M25" s="64">
        <f t="shared" si="3"/>
        <v>0</v>
      </c>
    </row>
    <row r="26" spans="2:13" x14ac:dyDescent="0.2">
      <c r="B26" s="4">
        <v>8</v>
      </c>
      <c r="C26" s="3"/>
      <c r="D26" s="4" t="s">
        <v>23</v>
      </c>
      <c r="E26" s="4" t="s">
        <v>24</v>
      </c>
      <c r="F26" s="3"/>
      <c r="G26" s="25" t="s">
        <v>21</v>
      </c>
      <c r="I26" s="89">
        <v>45839</v>
      </c>
      <c r="J26" s="65">
        <f>65790+90758</f>
        <v>156548</v>
      </c>
      <c r="K26" s="65">
        <v>156548</v>
      </c>
      <c r="L26" s="63">
        <f t="shared" si="2"/>
        <v>0</v>
      </c>
      <c r="M26" s="63">
        <f>M25+L26</f>
        <v>0</v>
      </c>
    </row>
    <row r="27" spans="2:13" x14ac:dyDescent="0.2">
      <c r="B27" s="4"/>
      <c r="C27" s="3"/>
      <c r="D27" s="4" t="s">
        <v>25</v>
      </c>
      <c r="E27" s="4" t="s">
        <v>26</v>
      </c>
      <c r="F27" s="3"/>
      <c r="G27" s="25" t="s">
        <v>27</v>
      </c>
      <c r="I27" s="90">
        <v>45870</v>
      </c>
      <c r="J27" s="66">
        <f>61831+85187</f>
        <v>147018</v>
      </c>
      <c r="K27" s="73">
        <v>147018</v>
      </c>
      <c r="L27" s="64">
        <f t="shared" si="2"/>
        <v>0</v>
      </c>
      <c r="M27" s="64">
        <f>M26+L27</f>
        <v>0</v>
      </c>
    </row>
    <row r="28" spans="2:13" x14ac:dyDescent="0.2">
      <c r="B28" s="4"/>
      <c r="C28" s="3"/>
      <c r="D28" s="4" t="s">
        <v>28</v>
      </c>
      <c r="E28" s="4" t="s">
        <v>29</v>
      </c>
      <c r="F28" s="3"/>
      <c r="G28" s="25" t="s">
        <v>30</v>
      </c>
      <c r="I28" s="67"/>
      <c r="J28" s="67"/>
      <c r="K28" s="67"/>
      <c r="L28" s="67"/>
      <c r="M28" s="67"/>
    </row>
    <row r="29" spans="2:13" x14ac:dyDescent="0.2">
      <c r="B29" s="5"/>
      <c r="C29" s="3"/>
      <c r="D29" s="4" t="s">
        <v>31</v>
      </c>
      <c r="E29" s="4" t="s">
        <v>32</v>
      </c>
      <c r="F29" s="3"/>
      <c r="G29" s="25" t="s">
        <v>33</v>
      </c>
      <c r="I29" s="68" t="s">
        <v>51</v>
      </c>
      <c r="J29" s="69"/>
      <c r="K29" s="69"/>
      <c r="L29" s="70"/>
      <c r="M29" s="71">
        <f>M25</f>
        <v>0</v>
      </c>
    </row>
    <row r="30" spans="2:13" x14ac:dyDescent="0.2">
      <c r="B30" s="19" t="s">
        <v>34</v>
      </c>
      <c r="C30" s="51" t="s">
        <v>57</v>
      </c>
      <c r="D30" s="34">
        <f>-G13</f>
        <v>-247191</v>
      </c>
      <c r="E30" s="34">
        <f>D60</f>
        <v>0</v>
      </c>
      <c r="F30" s="51"/>
      <c r="G30" s="34">
        <f>D30+E30</f>
        <v>-247191</v>
      </c>
      <c r="I30" s="67"/>
      <c r="J30" s="67"/>
      <c r="K30" s="67"/>
      <c r="L30" s="67"/>
      <c r="M30" s="72"/>
    </row>
    <row r="31" spans="2:13" x14ac:dyDescent="0.2">
      <c r="B31" s="5" t="s">
        <v>35</v>
      </c>
      <c r="C31" s="28"/>
      <c r="D31" s="29"/>
      <c r="E31" s="29"/>
      <c r="F31" s="30" t="s">
        <v>36</v>
      </c>
      <c r="G31" s="18">
        <f>G30</f>
        <v>-247191</v>
      </c>
      <c r="I31" s="68" t="s">
        <v>52</v>
      </c>
      <c r="J31" s="69"/>
      <c r="K31" s="69"/>
      <c r="L31" s="70"/>
      <c r="M31" s="71">
        <f>M29/6</f>
        <v>0</v>
      </c>
    </row>
    <row r="32" spans="2:13" x14ac:dyDescent="0.2">
      <c r="B32" s="31"/>
      <c r="G32" s="32"/>
    </row>
    <row r="33" spans="2:7" x14ac:dyDescent="0.2">
      <c r="B33" s="6">
        <v>9</v>
      </c>
      <c r="C33" s="33" t="s">
        <v>47</v>
      </c>
      <c r="D33" s="8"/>
      <c r="E33" s="8"/>
      <c r="F33" s="9"/>
      <c r="G33" s="34">
        <f>G20+G31</f>
        <v>-442979.61</v>
      </c>
    </row>
    <row r="34" spans="2:7" x14ac:dyDescent="0.2">
      <c r="B34" s="31"/>
      <c r="G34" s="32"/>
    </row>
    <row r="35" spans="2:7" x14ac:dyDescent="0.2">
      <c r="B35" s="6">
        <v>10</v>
      </c>
      <c r="C35" s="33" t="s">
        <v>58</v>
      </c>
      <c r="D35" s="8"/>
      <c r="E35" s="8"/>
      <c r="F35" s="9"/>
      <c r="G35" s="34">
        <f>G33/6</f>
        <v>-73829.934999999998</v>
      </c>
    </row>
    <row r="37" spans="2:7" x14ac:dyDescent="0.2">
      <c r="B37" s="1"/>
      <c r="C37" s="35" t="s">
        <v>37</v>
      </c>
      <c r="D37" s="36"/>
      <c r="E37" s="36"/>
      <c r="F37" s="36"/>
      <c r="G37" s="37"/>
    </row>
    <row r="38" spans="2:7" x14ac:dyDescent="0.2">
      <c r="B38" s="1"/>
      <c r="C38" s="38"/>
      <c r="D38" s="38"/>
      <c r="E38" s="38"/>
      <c r="F38" s="38"/>
      <c r="G38" s="10"/>
    </row>
    <row r="39" spans="2:7" x14ac:dyDescent="0.2">
      <c r="B39" s="4">
        <v>11</v>
      </c>
      <c r="C39" t="s">
        <v>38</v>
      </c>
      <c r="G39" s="39">
        <f>G14</f>
        <v>247191</v>
      </c>
    </row>
    <row r="40" spans="2:7" x14ac:dyDescent="0.2">
      <c r="B40" s="4">
        <v>12</v>
      </c>
      <c r="C40" t="s">
        <v>39</v>
      </c>
      <c r="G40" s="40">
        <f>G31</f>
        <v>-247191</v>
      </c>
    </row>
    <row r="41" spans="2:7" x14ac:dyDescent="0.2">
      <c r="B41" s="4"/>
      <c r="G41" s="39"/>
    </row>
    <row r="42" spans="2:7" ht="15" thickBot="1" x14ac:dyDescent="0.25">
      <c r="B42" s="4">
        <v>13</v>
      </c>
      <c r="C42" t="s">
        <v>40</v>
      </c>
      <c r="G42" s="41">
        <f>G39+G40</f>
        <v>0</v>
      </c>
    </row>
    <row r="43" spans="2:7" ht="15" thickTop="1" x14ac:dyDescent="0.2">
      <c r="B43" s="4"/>
      <c r="G43" s="39"/>
    </row>
    <row r="44" spans="2:7" x14ac:dyDescent="0.2">
      <c r="B44" s="4">
        <v>14</v>
      </c>
      <c r="C44" t="s">
        <v>41</v>
      </c>
      <c r="G44" s="39">
        <f>G33</f>
        <v>-442979.61</v>
      </c>
    </row>
    <row r="45" spans="2:7" x14ac:dyDescent="0.2">
      <c r="B45" s="4"/>
      <c r="G45" s="39"/>
    </row>
    <row r="46" spans="2:7" x14ac:dyDescent="0.2">
      <c r="B46" s="4">
        <v>15</v>
      </c>
      <c r="C46" t="s">
        <v>42</v>
      </c>
      <c r="G46" s="40">
        <f>SUM(F15:F20)</f>
        <v>-442979.61</v>
      </c>
    </row>
    <row r="47" spans="2:7" x14ac:dyDescent="0.2">
      <c r="B47" s="4"/>
      <c r="G47" s="39"/>
    </row>
    <row r="48" spans="2:7" ht="15" thickBot="1" x14ac:dyDescent="0.25">
      <c r="B48" s="4">
        <v>16</v>
      </c>
      <c r="C48" t="s">
        <v>43</v>
      </c>
      <c r="G48" s="41">
        <f>G44-G46</f>
        <v>0</v>
      </c>
    </row>
    <row r="49" spans="2:7" ht="15" thickTop="1" x14ac:dyDescent="0.2">
      <c r="B49" s="27"/>
      <c r="C49" s="42"/>
      <c r="D49" s="42"/>
      <c r="E49" s="42"/>
      <c r="F49" s="42"/>
      <c r="G49" s="43"/>
    </row>
    <row r="51" spans="2:7" x14ac:dyDescent="0.2">
      <c r="B51" t="s">
        <v>44</v>
      </c>
    </row>
    <row r="52" spans="2:7" x14ac:dyDescent="0.2">
      <c r="B52" s="31"/>
      <c r="C52" s="1"/>
      <c r="D52" s="2" t="s">
        <v>45</v>
      </c>
      <c r="E52" s="26"/>
      <c r="F52" s="31"/>
      <c r="G52" s="31"/>
    </row>
    <row r="53" spans="2:7" x14ac:dyDescent="0.2">
      <c r="B53" s="31"/>
      <c r="C53" s="5" t="s">
        <v>10</v>
      </c>
      <c r="D53" s="5" t="s">
        <v>59</v>
      </c>
      <c r="E53" s="26"/>
      <c r="F53" s="31"/>
      <c r="G53" s="31"/>
    </row>
    <row r="54" spans="2:7" x14ac:dyDescent="0.2">
      <c r="C54" s="12">
        <v>45658</v>
      </c>
      <c r="D54" s="11">
        <v>0</v>
      </c>
      <c r="E54" s="15"/>
      <c r="F54" s="32"/>
      <c r="G54" s="32"/>
    </row>
    <row r="55" spans="2:7" x14ac:dyDescent="0.2">
      <c r="C55" s="14">
        <v>45689</v>
      </c>
      <c r="D55" s="16">
        <v>0</v>
      </c>
      <c r="E55" s="15"/>
      <c r="F55" s="32"/>
      <c r="G55" s="32"/>
    </row>
    <row r="56" spans="2:7" x14ac:dyDescent="0.2">
      <c r="C56" s="14">
        <v>45717</v>
      </c>
      <c r="D56" s="16">
        <v>0</v>
      </c>
      <c r="E56" s="15"/>
      <c r="F56" s="32"/>
      <c r="G56" s="32"/>
    </row>
    <row r="57" spans="2:7" x14ac:dyDescent="0.2">
      <c r="C57" s="14">
        <v>45748</v>
      </c>
      <c r="D57" s="16">
        <v>0</v>
      </c>
      <c r="E57" s="15"/>
      <c r="F57" s="32"/>
      <c r="G57" s="32"/>
    </row>
    <row r="58" spans="2:7" x14ac:dyDescent="0.2">
      <c r="C58" s="14">
        <v>45778</v>
      </c>
      <c r="D58" s="16">
        <v>0</v>
      </c>
      <c r="E58" s="15"/>
      <c r="F58" s="32"/>
      <c r="G58" s="32"/>
    </row>
    <row r="59" spans="2:7" x14ac:dyDescent="0.2">
      <c r="C59" s="14">
        <v>45809</v>
      </c>
      <c r="D59" s="18">
        <v>0</v>
      </c>
      <c r="E59" s="15"/>
      <c r="F59" s="32"/>
      <c r="G59" s="32"/>
    </row>
    <row r="60" spans="2:7" x14ac:dyDescent="0.2">
      <c r="C60" s="44" t="s">
        <v>46</v>
      </c>
      <c r="D60" s="34">
        <f>SUM(D54:D59)</f>
        <v>0</v>
      </c>
      <c r="E60" s="15"/>
      <c r="F60" s="32"/>
      <c r="G60" s="32"/>
    </row>
  </sheetData>
  <mergeCells count="3">
    <mergeCell ref="B4:G5"/>
    <mergeCell ref="I4:M5"/>
    <mergeCell ref="C12:G1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F5C99-64B9-474F-A1A9-DEF6203E749E}">
  <dimension ref="A1:F25"/>
  <sheetViews>
    <sheetView workbookViewId="0">
      <selection activeCell="E50" sqref="E50"/>
    </sheetView>
  </sheetViews>
  <sheetFormatPr defaultColWidth="15.625" defaultRowHeight="14.25" x14ac:dyDescent="0.2"/>
  <sheetData>
    <row r="1" spans="1:6" x14ac:dyDescent="0.2">
      <c r="A1" t="str">
        <f>'Current 05-31-25'!$A$1</f>
        <v>Staff DR1 Response 2 - Cumberland Valley Surcharge Summary.xlsx</v>
      </c>
    </row>
    <row r="3" spans="1:6" ht="15" x14ac:dyDescent="0.25">
      <c r="C3" s="107" t="s">
        <v>61</v>
      </c>
      <c r="D3" s="107"/>
      <c r="E3" s="107"/>
    </row>
    <row r="4" spans="1:6" ht="15" x14ac:dyDescent="0.25">
      <c r="B4" s="107" t="s">
        <v>62</v>
      </c>
      <c r="C4" s="107"/>
      <c r="D4" s="107"/>
      <c r="E4" s="107"/>
      <c r="F4" s="107"/>
    </row>
    <row r="6" spans="1:6" ht="15" thickBot="1" x14ac:dyDescent="0.25">
      <c r="E6" s="108" t="s">
        <v>63</v>
      </c>
    </row>
    <row r="7" spans="1:6" x14ac:dyDescent="0.2">
      <c r="B7" t="s">
        <v>64</v>
      </c>
    </row>
    <row r="8" spans="1:6" x14ac:dyDescent="0.2">
      <c r="B8" t="s">
        <v>65</v>
      </c>
      <c r="E8" s="109">
        <f>'A - 05-31-22'!G33</f>
        <v>-71053.040000000008</v>
      </c>
      <c r="F8" s="110" t="str">
        <f>IF(E8&gt;0,"Under-Recovery","Over-Recovery")</f>
        <v>Over-Recovery</v>
      </c>
    </row>
    <row r="9" spans="1:6" x14ac:dyDescent="0.2">
      <c r="B9" t="s">
        <v>66</v>
      </c>
      <c r="E9" s="109">
        <f>'B - 11-30-22'!G35</f>
        <v>411868.44000000006</v>
      </c>
      <c r="F9" s="110" t="str">
        <f t="shared" ref="F9:F13" si="0">IF(E9&gt;0,"Under-Recovery","Over-Recovery")</f>
        <v>Under-Recovery</v>
      </c>
    </row>
    <row r="10" spans="1:6" x14ac:dyDescent="0.2">
      <c r="B10" t="s">
        <v>67</v>
      </c>
      <c r="E10" s="109">
        <f>'C - 05-31-23'!G37</f>
        <v>-32967.619999999937</v>
      </c>
      <c r="F10" s="110" t="str">
        <f t="shared" si="0"/>
        <v>Over-Recovery</v>
      </c>
    </row>
    <row r="11" spans="1:6" x14ac:dyDescent="0.2">
      <c r="B11" t="s">
        <v>68</v>
      </c>
      <c r="E11" s="109">
        <f>'D - 11-30-23'!G39</f>
        <v>-4129.4199999999255</v>
      </c>
      <c r="F11" s="110" t="str">
        <f t="shared" si="0"/>
        <v>Over-Recovery</v>
      </c>
    </row>
    <row r="12" spans="1:6" x14ac:dyDescent="0.2">
      <c r="B12" t="s">
        <v>69</v>
      </c>
      <c r="E12" s="109">
        <f>'E - 05-31-24'!G41</f>
        <v>190265.64000000007</v>
      </c>
      <c r="F12" s="110" t="str">
        <f t="shared" si="0"/>
        <v>Under-Recovery</v>
      </c>
    </row>
    <row r="13" spans="1:6" x14ac:dyDescent="0.2">
      <c r="B13" t="s">
        <v>70</v>
      </c>
      <c r="E13" s="109">
        <f>'F - 11-30-24'!G43</f>
        <v>-246792.87999999995</v>
      </c>
      <c r="F13" s="110" t="str">
        <f t="shared" si="0"/>
        <v>Over-Recovery</v>
      </c>
    </row>
    <row r="14" spans="1:6" x14ac:dyDescent="0.2">
      <c r="E14" s="109"/>
    </row>
    <row r="15" spans="1:6" ht="15" thickBot="1" x14ac:dyDescent="0.25">
      <c r="B15" t="s">
        <v>71</v>
      </c>
      <c r="E15" s="111">
        <f>SUM(E8:E13)</f>
        <v>247191.12000000029</v>
      </c>
      <c r="F15" s="110" t="str">
        <f>IF(E15&gt;0,"Under-Recovery","Over-Recovery")</f>
        <v>Under-Recovery</v>
      </c>
    </row>
    <row r="16" spans="1:6" ht="15" thickTop="1" x14ac:dyDescent="0.2"/>
    <row r="20" spans="2:6" ht="15" x14ac:dyDescent="0.25">
      <c r="B20" s="107" t="s">
        <v>72</v>
      </c>
      <c r="C20" s="107"/>
      <c r="D20" s="107"/>
      <c r="E20" s="107"/>
      <c r="F20" s="107"/>
    </row>
    <row r="22" spans="2:6" x14ac:dyDescent="0.2">
      <c r="B22" t="s">
        <v>73</v>
      </c>
      <c r="E22" s="109">
        <f>ROUND(E15/6,0)</f>
        <v>41199</v>
      </c>
    </row>
    <row r="23" spans="2:6" x14ac:dyDescent="0.2">
      <c r="E23" s="109"/>
    </row>
    <row r="24" spans="2:6" x14ac:dyDescent="0.2">
      <c r="B24" t="s">
        <v>74</v>
      </c>
      <c r="E24" s="109">
        <f>ROUND(E15/12,0)</f>
        <v>20599</v>
      </c>
    </row>
    <row r="25" spans="2:6" x14ac:dyDescent="0.2">
      <c r="E25" s="109"/>
    </row>
  </sheetData>
  <mergeCells count="3">
    <mergeCell ref="C3:E3"/>
    <mergeCell ref="B4:F4"/>
    <mergeCell ref="B20:F20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68C5D-C270-4CFB-9501-583F9F616E5F}">
  <dimension ref="A1:M60"/>
  <sheetViews>
    <sheetView workbookViewId="0">
      <selection activeCell="A11" sqref="A11"/>
    </sheetView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125" customWidth="1"/>
    <col min="7" max="7" width="17.625" customWidth="1"/>
    <col min="10" max="11" width="14.625" bestFit="1" customWidth="1"/>
    <col min="12" max="13" width="13.75" bestFit="1" customWidth="1"/>
  </cols>
  <sheetData>
    <row r="1" spans="1:13" x14ac:dyDescent="0.2">
      <c r="A1" t="str">
        <f>'Current 05-31-25'!$A$1</f>
        <v>Staff DR1 Response 2 - Cumberland Valley Surcharge Summary.xlsx</v>
      </c>
    </row>
    <row r="4" spans="1:13" ht="14.25" customHeight="1" x14ac:dyDescent="0.2">
      <c r="B4" s="92" t="s">
        <v>48</v>
      </c>
      <c r="C4" s="93"/>
      <c r="D4" s="93"/>
      <c r="E4" s="93"/>
      <c r="F4" s="93"/>
      <c r="G4" s="94"/>
      <c r="I4" s="98" t="s">
        <v>49</v>
      </c>
      <c r="J4" s="99"/>
      <c r="K4" s="99"/>
      <c r="L4" s="99"/>
      <c r="M4" s="100"/>
    </row>
    <row r="5" spans="1:13" ht="14.25" customHeight="1" x14ac:dyDescent="0.2">
      <c r="B5" s="95"/>
      <c r="C5" s="96"/>
      <c r="D5" s="96"/>
      <c r="E5" s="96"/>
      <c r="F5" s="96"/>
      <c r="G5" s="97"/>
      <c r="I5" s="101"/>
      <c r="J5" s="102"/>
      <c r="K5" s="102"/>
      <c r="L5" s="102"/>
      <c r="M5" s="103"/>
    </row>
    <row r="6" spans="1:13" ht="15" x14ac:dyDescent="0.2">
      <c r="I6" s="52"/>
      <c r="J6" s="52"/>
      <c r="K6" s="52"/>
      <c r="L6" s="52"/>
      <c r="M6" s="52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ht="15.75" x14ac:dyDescent="0.25">
      <c r="B8" s="3"/>
      <c r="C8" s="3"/>
      <c r="D8" s="4" t="s">
        <v>1</v>
      </c>
      <c r="E8" s="4" t="s">
        <v>2</v>
      </c>
      <c r="F8" s="3"/>
      <c r="G8" s="3"/>
      <c r="I8" s="53" t="s">
        <v>75</v>
      </c>
      <c r="J8" s="52"/>
      <c r="K8" s="52"/>
      <c r="L8" s="52"/>
      <c r="M8" s="52"/>
    </row>
    <row r="9" spans="1:13" ht="15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  <c r="I9" s="52"/>
      <c r="J9" s="52"/>
      <c r="K9" s="52"/>
      <c r="L9" s="52"/>
      <c r="M9" s="52"/>
    </row>
    <row r="10" spans="1:13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  <c r="I10" s="54"/>
      <c r="J10" s="54"/>
      <c r="K10" s="55" t="s">
        <v>0</v>
      </c>
      <c r="L10" s="54"/>
      <c r="M10" s="54"/>
    </row>
    <row r="11" spans="1:13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  <c r="I11" s="56"/>
      <c r="J11" s="57" t="s">
        <v>1</v>
      </c>
      <c r="K11" s="57" t="s">
        <v>2</v>
      </c>
      <c r="L11" s="56"/>
      <c r="M11" s="56"/>
    </row>
    <row r="12" spans="1:13" x14ac:dyDescent="0.2">
      <c r="B12" s="2">
        <v>1</v>
      </c>
      <c r="C12" s="104" t="s">
        <v>15</v>
      </c>
      <c r="D12" s="105"/>
      <c r="E12" s="105"/>
      <c r="F12" s="105"/>
      <c r="G12" s="106"/>
      <c r="I12" s="56"/>
      <c r="J12" s="57" t="s">
        <v>3</v>
      </c>
      <c r="K12" s="57" t="s">
        <v>4</v>
      </c>
      <c r="L12" s="57" t="s">
        <v>5</v>
      </c>
      <c r="M12" s="57" t="s">
        <v>6</v>
      </c>
    </row>
    <row r="13" spans="1:13" x14ac:dyDescent="0.2">
      <c r="B13" s="2" t="s">
        <v>16</v>
      </c>
      <c r="C13" s="8" t="s">
        <v>76</v>
      </c>
      <c r="D13" s="8"/>
      <c r="E13" s="8"/>
      <c r="F13" s="9"/>
      <c r="G13" s="34">
        <v>11503</v>
      </c>
      <c r="I13" s="58"/>
      <c r="J13" s="58" t="s">
        <v>7</v>
      </c>
      <c r="K13" s="58" t="s">
        <v>7</v>
      </c>
      <c r="L13" s="58" t="s">
        <v>8</v>
      </c>
      <c r="M13" s="58" t="s">
        <v>8</v>
      </c>
    </row>
    <row r="14" spans="1:13" x14ac:dyDescent="0.2">
      <c r="B14" s="5" t="s">
        <v>17</v>
      </c>
      <c r="C14" s="8" t="s">
        <v>18</v>
      </c>
      <c r="D14" s="8"/>
      <c r="E14" s="8"/>
      <c r="F14" s="10"/>
      <c r="G14" s="11">
        <f>G13</f>
        <v>11503</v>
      </c>
      <c r="I14" s="59" t="s">
        <v>10</v>
      </c>
      <c r="J14" s="60" t="s">
        <v>50</v>
      </c>
      <c r="K14" s="60" t="s">
        <v>11</v>
      </c>
      <c r="L14" s="60" t="s">
        <v>12</v>
      </c>
      <c r="M14" s="60" t="s">
        <v>13</v>
      </c>
    </row>
    <row r="15" spans="1:13" x14ac:dyDescent="0.2">
      <c r="B15" s="4">
        <v>2</v>
      </c>
      <c r="C15" s="12">
        <v>44562</v>
      </c>
      <c r="D15" s="45">
        <f>525421-36</f>
        <v>525385</v>
      </c>
      <c r="E15" s="46">
        <v>733663.29</v>
      </c>
      <c r="F15" s="13">
        <f t="shared" ref="F15:F22" si="0">D15-E15</f>
        <v>-208278.29000000004</v>
      </c>
      <c r="G15" s="11">
        <f t="shared" ref="G15:G22" si="1">G14+F15</f>
        <v>-196775.29000000004</v>
      </c>
      <c r="I15" s="112">
        <v>44562</v>
      </c>
      <c r="J15" s="61">
        <v>0</v>
      </c>
      <c r="K15" s="113">
        <v>0</v>
      </c>
      <c r="L15" s="62">
        <f t="shared" ref="L15:L22" si="2">J15-K15</f>
        <v>0</v>
      </c>
      <c r="M15" s="63">
        <f>L15</f>
        <v>0</v>
      </c>
    </row>
    <row r="16" spans="1:13" x14ac:dyDescent="0.2">
      <c r="B16" s="4">
        <v>3</v>
      </c>
      <c r="C16" s="14">
        <v>44593</v>
      </c>
      <c r="D16" s="47">
        <f>413619-34</f>
        <v>413585</v>
      </c>
      <c r="E16" s="48">
        <v>411286.86</v>
      </c>
      <c r="F16" s="15">
        <f t="shared" si="0"/>
        <v>2298.140000000014</v>
      </c>
      <c r="G16" s="16">
        <f t="shared" si="1"/>
        <v>-194477.15000000002</v>
      </c>
      <c r="I16" s="89">
        <v>44593</v>
      </c>
      <c r="J16" s="61">
        <v>0</v>
      </c>
      <c r="K16" s="113">
        <v>0</v>
      </c>
      <c r="L16" s="63">
        <f t="shared" si="2"/>
        <v>0</v>
      </c>
      <c r="M16" s="63">
        <f>M15+L16</f>
        <v>0</v>
      </c>
    </row>
    <row r="17" spans="2:13" x14ac:dyDescent="0.2">
      <c r="B17" s="4">
        <v>4</v>
      </c>
      <c r="C17" s="14">
        <v>44621</v>
      </c>
      <c r="D17" s="47">
        <f>288751-28</f>
        <v>288723</v>
      </c>
      <c r="E17" s="114">
        <f>382871.15</f>
        <v>382871.15</v>
      </c>
      <c r="F17" s="15">
        <f t="shared" si="0"/>
        <v>-94148.150000000023</v>
      </c>
      <c r="G17" s="16">
        <f t="shared" si="1"/>
        <v>-288625.30000000005</v>
      </c>
      <c r="I17" s="89">
        <v>44621</v>
      </c>
      <c r="J17" s="115">
        <v>14199</v>
      </c>
      <c r="K17" s="115">
        <v>14199</v>
      </c>
      <c r="L17" s="63">
        <f t="shared" si="2"/>
        <v>0</v>
      </c>
      <c r="M17" s="63">
        <f t="shared" ref="M17:M20" si="3">M16+L17</f>
        <v>0</v>
      </c>
    </row>
    <row r="18" spans="2:13" x14ac:dyDescent="0.2">
      <c r="B18" s="4">
        <v>5</v>
      </c>
      <c r="C18" s="14">
        <v>44652</v>
      </c>
      <c r="D18" s="47">
        <f>328222-43</f>
        <v>328179</v>
      </c>
      <c r="E18" s="114">
        <f>246542.03-2000</f>
        <v>244542.03</v>
      </c>
      <c r="F18" s="15">
        <f t="shared" si="0"/>
        <v>83636.97</v>
      </c>
      <c r="G18" s="16">
        <f t="shared" si="1"/>
        <v>-204988.33000000005</v>
      </c>
      <c r="I18" s="89">
        <v>44652</v>
      </c>
      <c r="J18" s="61">
        <v>44299</v>
      </c>
      <c r="K18" s="116">
        <f>42299+2000</f>
        <v>44299</v>
      </c>
      <c r="L18" s="63">
        <f t="shared" si="2"/>
        <v>0</v>
      </c>
      <c r="M18" s="63">
        <f t="shared" si="3"/>
        <v>0</v>
      </c>
    </row>
    <row r="19" spans="2:13" x14ac:dyDescent="0.2">
      <c r="B19" s="4">
        <v>6</v>
      </c>
      <c r="C19" s="14">
        <v>44682</v>
      </c>
      <c r="D19" s="47">
        <f>351981-46</f>
        <v>351935</v>
      </c>
      <c r="E19" s="48">
        <v>308921.8</v>
      </c>
      <c r="F19" s="15">
        <f t="shared" si="0"/>
        <v>43013.200000000012</v>
      </c>
      <c r="G19" s="16">
        <f t="shared" si="1"/>
        <v>-161975.13000000003</v>
      </c>
      <c r="I19" s="89">
        <v>44682</v>
      </c>
      <c r="J19" s="61">
        <v>41245</v>
      </c>
      <c r="K19" s="117">
        <v>41245</v>
      </c>
      <c r="L19" s="63">
        <f t="shared" si="2"/>
        <v>0</v>
      </c>
      <c r="M19" s="63">
        <f t="shared" si="3"/>
        <v>0</v>
      </c>
    </row>
    <row r="20" spans="2:13" x14ac:dyDescent="0.2">
      <c r="B20" s="4">
        <v>7</v>
      </c>
      <c r="C20" s="14">
        <v>44713</v>
      </c>
      <c r="D20" s="47">
        <f>482938-55</f>
        <v>482883</v>
      </c>
      <c r="E20" s="48">
        <v>380457.91</v>
      </c>
      <c r="F20" s="17">
        <f t="shared" si="0"/>
        <v>102425.09000000003</v>
      </c>
      <c r="G20" s="18">
        <f t="shared" si="1"/>
        <v>-59550.040000000008</v>
      </c>
      <c r="I20" s="90">
        <v>44713</v>
      </c>
      <c r="J20" s="118">
        <f>46451+26083</f>
        <v>72534</v>
      </c>
      <c r="K20" s="118">
        <v>72534</v>
      </c>
      <c r="L20" s="64">
        <f t="shared" si="2"/>
        <v>0</v>
      </c>
      <c r="M20" s="64">
        <f t="shared" si="3"/>
        <v>0</v>
      </c>
    </row>
    <row r="21" spans="2:13" x14ac:dyDescent="0.2">
      <c r="B21" s="19" t="s">
        <v>19</v>
      </c>
      <c r="C21" s="12">
        <v>44743</v>
      </c>
      <c r="D21" s="45">
        <f>543048-56</f>
        <v>542992</v>
      </c>
      <c r="E21" s="46">
        <v>459530.43</v>
      </c>
      <c r="F21" s="13">
        <f t="shared" si="0"/>
        <v>83461.570000000007</v>
      </c>
      <c r="G21" s="11">
        <f t="shared" si="1"/>
        <v>23911.53</v>
      </c>
      <c r="I21" s="89">
        <v>44743</v>
      </c>
      <c r="J21" s="65">
        <f>49967+60114</f>
        <v>110081</v>
      </c>
      <c r="K21" s="65">
        <v>110081</v>
      </c>
      <c r="L21" s="63">
        <f t="shared" si="2"/>
        <v>0</v>
      </c>
      <c r="M21" s="63">
        <f>M20+L21</f>
        <v>0</v>
      </c>
    </row>
    <row r="22" spans="2:13" x14ac:dyDescent="0.2">
      <c r="B22" s="91" t="s">
        <v>20</v>
      </c>
      <c r="C22" s="21">
        <v>44774</v>
      </c>
      <c r="D22" s="49">
        <f>421656</f>
        <v>421656</v>
      </c>
      <c r="E22" s="119">
        <f>464851.29+2000</f>
        <v>466851.29</v>
      </c>
      <c r="F22" s="17">
        <f t="shared" si="0"/>
        <v>-45195.289999999979</v>
      </c>
      <c r="G22" s="18">
        <f t="shared" si="1"/>
        <v>-21283.75999999998</v>
      </c>
      <c r="I22" s="90">
        <v>44774</v>
      </c>
      <c r="J22" s="66">
        <f>35829+53619</f>
        <v>89448</v>
      </c>
      <c r="K22" s="73">
        <f>91448-2000</f>
        <v>89448</v>
      </c>
      <c r="L22" s="64">
        <f t="shared" si="2"/>
        <v>0</v>
      </c>
      <c r="M22" s="64">
        <f>M21+L22</f>
        <v>0</v>
      </c>
    </row>
    <row r="23" spans="2:13" x14ac:dyDescent="0.2">
      <c r="B23" s="5"/>
      <c r="C23" s="22" t="s">
        <v>77</v>
      </c>
      <c r="D23" s="23"/>
      <c r="E23" s="23"/>
      <c r="F23" s="23"/>
      <c r="G23" s="24"/>
      <c r="I23" s="67"/>
      <c r="J23" s="67"/>
      <c r="K23" s="67"/>
      <c r="L23" s="67"/>
      <c r="M23" s="67"/>
    </row>
    <row r="24" spans="2:13" x14ac:dyDescent="0.2">
      <c r="B24" s="2"/>
      <c r="C24" s="1"/>
      <c r="D24" s="1"/>
      <c r="E24" s="1"/>
      <c r="F24" s="1"/>
      <c r="G24" s="11"/>
      <c r="I24" s="68" t="s">
        <v>51</v>
      </c>
      <c r="J24" s="69"/>
      <c r="K24" s="69"/>
      <c r="L24" s="70"/>
      <c r="M24" s="71">
        <f>M20</f>
        <v>0</v>
      </c>
    </row>
    <row r="25" spans="2:13" x14ac:dyDescent="0.2">
      <c r="B25" s="4"/>
      <c r="C25" s="3"/>
      <c r="D25" s="4" t="s">
        <v>21</v>
      </c>
      <c r="E25" s="4" t="s">
        <v>22</v>
      </c>
      <c r="F25" s="3"/>
      <c r="G25" s="16"/>
      <c r="I25" s="67"/>
      <c r="J25" s="67"/>
      <c r="K25" s="67"/>
      <c r="L25" s="67"/>
      <c r="M25" s="72"/>
    </row>
    <row r="26" spans="2:13" x14ac:dyDescent="0.2">
      <c r="B26" s="4">
        <v>8</v>
      </c>
      <c r="C26" s="3"/>
      <c r="D26" s="4" t="s">
        <v>23</v>
      </c>
      <c r="E26" s="4" t="s">
        <v>24</v>
      </c>
      <c r="F26" s="3"/>
      <c r="G26" s="25" t="s">
        <v>21</v>
      </c>
      <c r="I26" s="68" t="s">
        <v>52</v>
      </c>
      <c r="J26" s="69"/>
      <c r="K26" s="69"/>
      <c r="L26" s="70"/>
      <c r="M26" s="71">
        <f>M24/6</f>
        <v>0</v>
      </c>
    </row>
    <row r="27" spans="2:13" x14ac:dyDescent="0.2">
      <c r="B27" s="4"/>
      <c r="C27" s="3"/>
      <c r="D27" s="4" t="s">
        <v>25</v>
      </c>
      <c r="E27" s="4" t="s">
        <v>26</v>
      </c>
      <c r="F27" s="3"/>
      <c r="G27" s="25" t="s">
        <v>27</v>
      </c>
    </row>
    <row r="28" spans="2:13" x14ac:dyDescent="0.2">
      <c r="B28" s="4"/>
      <c r="C28" s="3"/>
      <c r="D28" s="4" t="s">
        <v>28</v>
      </c>
      <c r="E28" s="4" t="s">
        <v>29</v>
      </c>
      <c r="F28" s="3"/>
      <c r="G28" s="25" t="s">
        <v>30</v>
      </c>
    </row>
    <row r="29" spans="2:13" x14ac:dyDescent="0.2">
      <c r="B29" s="5"/>
      <c r="C29" s="3"/>
      <c r="D29" s="4" t="s">
        <v>31</v>
      </c>
      <c r="E29" s="4" t="s">
        <v>32</v>
      </c>
      <c r="F29" s="3"/>
      <c r="G29" s="25" t="s">
        <v>33</v>
      </c>
    </row>
    <row r="30" spans="2:13" x14ac:dyDescent="0.2">
      <c r="B30" s="2" t="s">
        <v>34</v>
      </c>
      <c r="C30" s="51" t="s">
        <v>78</v>
      </c>
      <c r="D30" s="34">
        <f>-G13</f>
        <v>-11503</v>
      </c>
      <c r="E30" s="34">
        <f>D60</f>
        <v>0</v>
      </c>
      <c r="F30" s="51"/>
      <c r="G30" s="34">
        <f>D30+E30</f>
        <v>-11503</v>
      </c>
    </row>
    <row r="31" spans="2:13" x14ac:dyDescent="0.2">
      <c r="B31" s="5" t="s">
        <v>35</v>
      </c>
      <c r="C31" s="28"/>
      <c r="D31" s="29"/>
      <c r="E31" s="29"/>
      <c r="F31" s="30" t="s">
        <v>36</v>
      </c>
      <c r="G31" s="18">
        <f>G30</f>
        <v>-11503</v>
      </c>
    </row>
    <row r="32" spans="2:13" x14ac:dyDescent="0.2">
      <c r="B32" s="31"/>
      <c r="G32" s="32"/>
    </row>
    <row r="33" spans="2:7" x14ac:dyDescent="0.2">
      <c r="B33" s="6">
        <v>9</v>
      </c>
      <c r="C33" s="33" t="s">
        <v>47</v>
      </c>
      <c r="D33" s="8"/>
      <c r="E33" s="8"/>
      <c r="F33" s="9"/>
      <c r="G33" s="34">
        <f>G20+G31</f>
        <v>-71053.040000000008</v>
      </c>
    </row>
    <row r="34" spans="2:7" x14ac:dyDescent="0.2">
      <c r="B34" s="31"/>
      <c r="G34" s="32"/>
    </row>
    <row r="35" spans="2:7" x14ac:dyDescent="0.2">
      <c r="B35" s="6">
        <v>10</v>
      </c>
      <c r="C35" s="33" t="s">
        <v>79</v>
      </c>
      <c r="D35" s="8"/>
      <c r="E35" s="8"/>
      <c r="F35" s="9"/>
      <c r="G35" s="34">
        <f>G33/6</f>
        <v>-11842.173333333334</v>
      </c>
    </row>
    <row r="37" spans="2:7" x14ac:dyDescent="0.2">
      <c r="B37" s="1"/>
      <c r="C37" s="35" t="s">
        <v>37</v>
      </c>
      <c r="D37" s="36"/>
      <c r="E37" s="36"/>
      <c r="F37" s="36"/>
      <c r="G37" s="37"/>
    </row>
    <row r="38" spans="2:7" x14ac:dyDescent="0.2">
      <c r="B38" s="1"/>
      <c r="C38" s="38"/>
      <c r="D38" s="38"/>
      <c r="E38" s="38"/>
      <c r="F38" s="38"/>
      <c r="G38" s="10"/>
    </row>
    <row r="39" spans="2:7" x14ac:dyDescent="0.2">
      <c r="B39" s="4">
        <v>11</v>
      </c>
      <c r="C39" t="s">
        <v>38</v>
      </c>
      <c r="G39" s="39">
        <f>G14</f>
        <v>11503</v>
      </c>
    </row>
    <row r="40" spans="2:7" x14ac:dyDescent="0.2">
      <c r="B40" s="4">
        <v>12</v>
      </c>
      <c r="C40" t="s">
        <v>39</v>
      </c>
      <c r="G40" s="40">
        <f>G31</f>
        <v>-11503</v>
      </c>
    </row>
    <row r="41" spans="2:7" x14ac:dyDescent="0.2">
      <c r="B41" s="4"/>
      <c r="G41" s="39"/>
    </row>
    <row r="42" spans="2:7" ht="15" thickBot="1" x14ac:dyDescent="0.25">
      <c r="B42" s="4">
        <v>13</v>
      </c>
      <c r="C42" t="s">
        <v>40</v>
      </c>
      <c r="G42" s="41">
        <f>G39+G40</f>
        <v>0</v>
      </c>
    </row>
    <row r="43" spans="2:7" ht="15" thickTop="1" x14ac:dyDescent="0.2">
      <c r="B43" s="4"/>
      <c r="G43" s="39"/>
    </row>
    <row r="44" spans="2:7" x14ac:dyDescent="0.2">
      <c r="B44" s="4">
        <v>14</v>
      </c>
      <c r="C44" t="s">
        <v>41</v>
      </c>
      <c r="G44" s="39">
        <f>G33</f>
        <v>-71053.040000000008</v>
      </c>
    </row>
    <row r="45" spans="2:7" x14ac:dyDescent="0.2">
      <c r="B45" s="4"/>
      <c r="G45" s="39"/>
    </row>
    <row r="46" spans="2:7" x14ac:dyDescent="0.2">
      <c r="B46" s="4">
        <v>15</v>
      </c>
      <c r="C46" t="s">
        <v>42</v>
      </c>
      <c r="G46" s="40">
        <f>SUM(F15:F20)</f>
        <v>-71053.040000000008</v>
      </c>
    </row>
    <row r="47" spans="2:7" x14ac:dyDescent="0.2">
      <c r="B47" s="4"/>
      <c r="G47" s="39"/>
    </row>
    <row r="48" spans="2:7" ht="15" thickBot="1" x14ac:dyDescent="0.25">
      <c r="B48" s="4">
        <v>16</v>
      </c>
      <c r="C48" t="s">
        <v>43</v>
      </c>
      <c r="G48" s="41">
        <f>G44-G46</f>
        <v>0</v>
      </c>
    </row>
    <row r="49" spans="2:7" ht="15" thickTop="1" x14ac:dyDescent="0.2">
      <c r="B49" s="27"/>
      <c r="C49" s="42"/>
      <c r="D49" s="42"/>
      <c r="E49" s="42"/>
      <c r="F49" s="42"/>
      <c r="G49" s="43"/>
    </row>
    <row r="51" spans="2:7" x14ac:dyDescent="0.2">
      <c r="B51" t="s">
        <v>44</v>
      </c>
    </row>
    <row r="52" spans="2:7" x14ac:dyDescent="0.2">
      <c r="B52" s="31"/>
      <c r="C52" s="1"/>
      <c r="D52" s="2" t="s">
        <v>45</v>
      </c>
      <c r="E52" s="26"/>
      <c r="F52" s="31"/>
      <c r="G52" s="31"/>
    </row>
    <row r="53" spans="2:7" x14ac:dyDescent="0.2">
      <c r="B53" s="31"/>
      <c r="C53" s="5" t="s">
        <v>10</v>
      </c>
      <c r="D53" s="5" t="s">
        <v>80</v>
      </c>
      <c r="E53" s="26"/>
      <c r="F53" s="31"/>
      <c r="G53" s="31"/>
    </row>
    <row r="54" spans="2:7" x14ac:dyDescent="0.2">
      <c r="C54" s="12">
        <v>44562</v>
      </c>
      <c r="D54" s="11">
        <v>0</v>
      </c>
      <c r="E54" s="15"/>
      <c r="F54" s="32"/>
      <c r="G54" s="32"/>
    </row>
    <row r="55" spans="2:7" x14ac:dyDescent="0.2">
      <c r="C55" s="14">
        <v>44593</v>
      </c>
      <c r="D55" s="16">
        <v>0</v>
      </c>
      <c r="E55" s="15"/>
      <c r="F55" s="32"/>
      <c r="G55" s="32"/>
    </row>
    <row r="56" spans="2:7" x14ac:dyDescent="0.2">
      <c r="C56" s="14">
        <v>44621</v>
      </c>
      <c r="D56" s="16">
        <v>0</v>
      </c>
      <c r="E56" s="15"/>
      <c r="F56" s="32"/>
      <c r="G56" s="32"/>
    </row>
    <row r="57" spans="2:7" x14ac:dyDescent="0.2">
      <c r="C57" s="14">
        <v>44652</v>
      </c>
      <c r="D57" s="16">
        <v>0</v>
      </c>
      <c r="E57" s="15"/>
      <c r="F57" s="32"/>
      <c r="G57" s="32"/>
    </row>
    <row r="58" spans="2:7" x14ac:dyDescent="0.2">
      <c r="C58" s="14">
        <v>44682</v>
      </c>
      <c r="D58" s="16">
        <v>0</v>
      </c>
      <c r="E58" s="15"/>
      <c r="F58" s="32"/>
      <c r="G58" s="32"/>
    </row>
    <row r="59" spans="2:7" x14ac:dyDescent="0.2">
      <c r="C59" s="14">
        <v>44713</v>
      </c>
      <c r="D59" s="18">
        <v>0</v>
      </c>
      <c r="E59" s="15"/>
      <c r="F59" s="32"/>
      <c r="G59" s="32"/>
    </row>
    <row r="60" spans="2:7" x14ac:dyDescent="0.2">
      <c r="C60" s="44" t="s">
        <v>46</v>
      </c>
      <c r="D60" s="34">
        <f>SUM(D54:D59)</f>
        <v>0</v>
      </c>
      <c r="E60" s="15"/>
      <c r="F60" s="32"/>
      <c r="G60" s="32"/>
    </row>
  </sheetData>
  <mergeCells count="3">
    <mergeCell ref="B4:G5"/>
    <mergeCell ref="I4:M5"/>
    <mergeCell ref="C12:G12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D3396-C025-4B31-A69D-52960963CCCA}">
  <dimension ref="A1:M62"/>
  <sheetViews>
    <sheetView workbookViewId="0">
      <selection activeCell="A11" sqref="A11"/>
    </sheetView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125" customWidth="1"/>
    <col min="7" max="7" width="17.75" customWidth="1"/>
    <col min="10" max="11" width="14.625" bestFit="1" customWidth="1"/>
    <col min="12" max="13" width="13.75" bestFit="1" customWidth="1"/>
  </cols>
  <sheetData>
    <row r="1" spans="1:13" x14ac:dyDescent="0.2">
      <c r="A1" t="str">
        <f>'Current 05-31-25'!$A$1</f>
        <v>Staff DR1 Response 2 - Cumberland Valley Surcharge Summary.xlsx</v>
      </c>
    </row>
    <row r="4" spans="1:13" ht="14.25" customHeight="1" x14ac:dyDescent="0.2">
      <c r="B4" s="92" t="s">
        <v>48</v>
      </c>
      <c r="C4" s="93"/>
      <c r="D4" s="93"/>
      <c r="E4" s="93"/>
      <c r="F4" s="93"/>
      <c r="G4" s="94"/>
      <c r="I4" s="98" t="s">
        <v>49</v>
      </c>
      <c r="J4" s="99"/>
      <c r="K4" s="99"/>
      <c r="L4" s="99"/>
      <c r="M4" s="100"/>
    </row>
    <row r="5" spans="1:13" x14ac:dyDescent="0.2">
      <c r="B5" s="95"/>
      <c r="C5" s="96"/>
      <c r="D5" s="96"/>
      <c r="E5" s="96"/>
      <c r="F5" s="96"/>
      <c r="G5" s="97"/>
      <c r="I5" s="101"/>
      <c r="J5" s="102"/>
      <c r="K5" s="102"/>
      <c r="L5" s="102"/>
      <c r="M5" s="103"/>
    </row>
    <row r="6" spans="1:13" ht="15" x14ac:dyDescent="0.2">
      <c r="I6" s="52"/>
      <c r="J6" s="52"/>
      <c r="K6" s="52"/>
      <c r="L6" s="52"/>
      <c r="M6" s="52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x14ac:dyDescent="0.2">
      <c r="B8" s="3"/>
      <c r="C8" s="3"/>
      <c r="D8" s="4" t="s">
        <v>1</v>
      </c>
      <c r="E8" s="4" t="s">
        <v>2</v>
      </c>
      <c r="F8" s="3"/>
      <c r="G8" s="3"/>
    </row>
    <row r="9" spans="1:13" ht="15.75" x14ac:dyDescent="0.25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  <c r="I9" s="53" t="s">
        <v>53</v>
      </c>
      <c r="J9" s="52"/>
      <c r="K9" s="52"/>
      <c r="L9" s="52"/>
      <c r="M9" s="52"/>
    </row>
    <row r="10" spans="1:13" ht="15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  <c r="I10" s="52"/>
      <c r="J10" s="52"/>
      <c r="K10" s="52"/>
      <c r="L10" s="52"/>
      <c r="M10" s="52"/>
    </row>
    <row r="11" spans="1:13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  <c r="I11" s="54"/>
      <c r="J11" s="54"/>
      <c r="K11" s="55" t="s">
        <v>0</v>
      </c>
      <c r="L11" s="54"/>
      <c r="M11" s="54"/>
    </row>
    <row r="12" spans="1:13" x14ac:dyDescent="0.2">
      <c r="B12" s="2">
        <v>1</v>
      </c>
      <c r="C12" s="104" t="s">
        <v>15</v>
      </c>
      <c r="D12" s="105"/>
      <c r="E12" s="105"/>
      <c r="F12" s="105"/>
      <c r="G12" s="106"/>
      <c r="I12" s="56"/>
      <c r="J12" s="57" t="s">
        <v>1</v>
      </c>
      <c r="K12" s="57" t="s">
        <v>2</v>
      </c>
      <c r="L12" s="56"/>
      <c r="M12" s="56"/>
    </row>
    <row r="13" spans="1:13" x14ac:dyDescent="0.2">
      <c r="B13" s="2" t="s">
        <v>16</v>
      </c>
      <c r="C13" s="8" t="s">
        <v>76</v>
      </c>
      <c r="D13" s="8"/>
      <c r="E13" s="8"/>
      <c r="F13" s="9"/>
      <c r="G13" s="34">
        <v>11503</v>
      </c>
      <c r="I13" s="56"/>
      <c r="J13" s="57" t="s">
        <v>3</v>
      </c>
      <c r="K13" s="57" t="s">
        <v>4</v>
      </c>
      <c r="L13" s="57" t="s">
        <v>5</v>
      </c>
      <c r="M13" s="57" t="s">
        <v>6</v>
      </c>
    </row>
    <row r="14" spans="1:13" x14ac:dyDescent="0.2">
      <c r="B14" s="4" t="s">
        <v>17</v>
      </c>
      <c r="C14" s="8" t="s">
        <v>81</v>
      </c>
      <c r="D14" s="8"/>
      <c r="E14" s="8"/>
      <c r="F14" s="9"/>
      <c r="G14" s="120">
        <f>'A - 05-31-22'!G33</f>
        <v>-71053.040000000008</v>
      </c>
      <c r="I14" s="58"/>
      <c r="J14" s="58" t="s">
        <v>7</v>
      </c>
      <c r="K14" s="58" t="s">
        <v>7</v>
      </c>
      <c r="L14" s="58" t="s">
        <v>8</v>
      </c>
      <c r="M14" s="58" t="s">
        <v>8</v>
      </c>
    </row>
    <row r="15" spans="1:13" x14ac:dyDescent="0.2">
      <c r="B15" s="5" t="s">
        <v>82</v>
      </c>
      <c r="C15" s="8" t="s">
        <v>18</v>
      </c>
      <c r="D15" s="8"/>
      <c r="E15" s="8"/>
      <c r="F15" s="10"/>
      <c r="G15" s="11">
        <f>G13+G14</f>
        <v>-59550.040000000008</v>
      </c>
      <c r="I15" s="59" t="s">
        <v>10</v>
      </c>
      <c r="J15" s="60" t="s">
        <v>50</v>
      </c>
      <c r="K15" s="60" t="s">
        <v>11</v>
      </c>
      <c r="L15" s="60" t="s">
        <v>12</v>
      </c>
      <c r="M15" s="60" t="s">
        <v>13</v>
      </c>
    </row>
    <row r="16" spans="1:13" x14ac:dyDescent="0.2">
      <c r="B16" s="4">
        <v>2</v>
      </c>
      <c r="C16" s="12">
        <v>44743</v>
      </c>
      <c r="D16" s="45">
        <f>543048-56</f>
        <v>542992</v>
      </c>
      <c r="E16" s="46">
        <v>459530.43</v>
      </c>
      <c r="F16" s="13">
        <f t="shared" ref="F16:F23" si="0">D16-E16</f>
        <v>83461.570000000007</v>
      </c>
      <c r="G16" s="11">
        <f t="shared" ref="G16:G23" si="1">G15+F16</f>
        <v>23911.53</v>
      </c>
      <c r="I16" s="112">
        <v>44743</v>
      </c>
      <c r="J16" s="61">
        <f>49967+60114</f>
        <v>110081</v>
      </c>
      <c r="K16" s="113">
        <v>110081</v>
      </c>
      <c r="L16" s="62">
        <f t="shared" ref="L16:L23" si="2">J16-K16</f>
        <v>0</v>
      </c>
      <c r="M16" s="63">
        <f>L16</f>
        <v>0</v>
      </c>
    </row>
    <row r="17" spans="2:13" x14ac:dyDescent="0.2">
      <c r="B17" s="4">
        <v>3</v>
      </c>
      <c r="C17" s="14">
        <v>44774</v>
      </c>
      <c r="D17" s="47">
        <f>421656-49</f>
        <v>421607</v>
      </c>
      <c r="E17" s="114">
        <f>464851.29+2000</f>
        <v>466851.29</v>
      </c>
      <c r="F17" s="15">
        <f t="shared" si="0"/>
        <v>-45244.289999999979</v>
      </c>
      <c r="G17" s="16">
        <f t="shared" si="1"/>
        <v>-21332.75999999998</v>
      </c>
      <c r="I17" s="89">
        <v>44774</v>
      </c>
      <c r="J17" s="61">
        <f>35829+53619</f>
        <v>89448</v>
      </c>
      <c r="K17" s="121">
        <f>91448-2000</f>
        <v>89448</v>
      </c>
      <c r="L17" s="63">
        <f t="shared" si="2"/>
        <v>0</v>
      </c>
      <c r="M17" s="63">
        <f>M16+L17</f>
        <v>0</v>
      </c>
    </row>
    <row r="18" spans="2:13" x14ac:dyDescent="0.2">
      <c r="B18" s="4">
        <v>4</v>
      </c>
      <c r="C18" s="14">
        <v>44805</v>
      </c>
      <c r="D18" s="47">
        <f>286408-0</f>
        <v>286408</v>
      </c>
      <c r="E18" s="48">
        <v>274922.65000000002</v>
      </c>
      <c r="F18" s="15">
        <f t="shared" si="0"/>
        <v>11485.349999999977</v>
      </c>
      <c r="G18" s="16">
        <f t="shared" si="1"/>
        <v>-9847.4100000000035</v>
      </c>
      <c r="I18" s="89">
        <v>44805</v>
      </c>
      <c r="J18" s="61">
        <f>34861+47184</f>
        <v>82045</v>
      </c>
      <c r="K18" s="61">
        <v>82045</v>
      </c>
      <c r="L18" s="63">
        <f t="shared" si="2"/>
        <v>0</v>
      </c>
      <c r="M18" s="63">
        <f t="shared" ref="M18:M21" si="3">M17+L18</f>
        <v>0</v>
      </c>
    </row>
    <row r="19" spans="2:13" x14ac:dyDescent="0.2">
      <c r="B19" s="4">
        <v>5</v>
      </c>
      <c r="C19" s="14">
        <v>44835</v>
      </c>
      <c r="D19" s="47">
        <f>357610-43</f>
        <v>357567</v>
      </c>
      <c r="E19" s="48">
        <v>224976.07</v>
      </c>
      <c r="F19" s="15">
        <f t="shared" si="0"/>
        <v>132590.93</v>
      </c>
      <c r="G19" s="16">
        <f t="shared" si="1"/>
        <v>122743.51999999999</v>
      </c>
      <c r="I19" s="89">
        <v>44835</v>
      </c>
      <c r="J19" s="61">
        <f>44287+61989</f>
        <v>106276</v>
      </c>
      <c r="K19" s="116">
        <v>106276</v>
      </c>
      <c r="L19" s="63">
        <f t="shared" si="2"/>
        <v>0</v>
      </c>
      <c r="M19" s="63">
        <f t="shared" si="3"/>
        <v>0</v>
      </c>
    </row>
    <row r="20" spans="2:13" x14ac:dyDescent="0.2">
      <c r="B20" s="4">
        <v>6</v>
      </c>
      <c r="C20" s="14">
        <v>44866</v>
      </c>
      <c r="D20" s="47">
        <f>454990-48</f>
        <v>454942</v>
      </c>
      <c r="E20" s="48">
        <v>378048.02</v>
      </c>
      <c r="F20" s="15">
        <f t="shared" si="0"/>
        <v>76893.979999999981</v>
      </c>
      <c r="G20" s="16">
        <f t="shared" si="1"/>
        <v>199637.49999999997</v>
      </c>
      <c r="I20" s="89">
        <v>44866</v>
      </c>
      <c r="J20" s="61">
        <f>43795+56132</f>
        <v>99927</v>
      </c>
      <c r="K20" s="117">
        <v>99927</v>
      </c>
      <c r="L20" s="63">
        <f t="shared" si="2"/>
        <v>0</v>
      </c>
      <c r="M20" s="63">
        <f t="shared" si="3"/>
        <v>0</v>
      </c>
    </row>
    <row r="21" spans="2:13" x14ac:dyDescent="0.2">
      <c r="B21" s="4">
        <v>7</v>
      </c>
      <c r="C21" s="14">
        <v>44896</v>
      </c>
      <c r="D21" s="47">
        <f>628730-51</f>
        <v>628679</v>
      </c>
      <c r="E21" s="48">
        <v>475998.1</v>
      </c>
      <c r="F21" s="17">
        <f t="shared" si="0"/>
        <v>152680.90000000002</v>
      </c>
      <c r="G21" s="18">
        <f t="shared" si="1"/>
        <v>352318.4</v>
      </c>
      <c r="I21" s="90">
        <v>44896</v>
      </c>
      <c r="J21" s="66">
        <f>35782+53931</f>
        <v>89713</v>
      </c>
      <c r="K21" s="66">
        <v>89713</v>
      </c>
      <c r="L21" s="64">
        <f t="shared" si="2"/>
        <v>0</v>
      </c>
      <c r="M21" s="64">
        <f t="shared" si="3"/>
        <v>0</v>
      </c>
    </row>
    <row r="22" spans="2:13" x14ac:dyDescent="0.2">
      <c r="B22" s="19" t="s">
        <v>19</v>
      </c>
      <c r="C22" s="12">
        <v>44927</v>
      </c>
      <c r="D22" s="45">
        <f>505386-44</f>
        <v>505342</v>
      </c>
      <c r="E22" s="46">
        <v>444566.18</v>
      </c>
      <c r="F22" s="13">
        <f t="shared" si="0"/>
        <v>60775.820000000007</v>
      </c>
      <c r="G22" s="11">
        <f t="shared" si="1"/>
        <v>413094.22000000003</v>
      </c>
      <c r="I22" s="89">
        <v>44927</v>
      </c>
      <c r="J22" s="65">
        <f>36223+37243</f>
        <v>73466</v>
      </c>
      <c r="K22" s="65">
        <v>73466</v>
      </c>
      <c r="L22" s="63">
        <f t="shared" si="2"/>
        <v>0</v>
      </c>
      <c r="M22" s="63">
        <f>M21+L22</f>
        <v>0</v>
      </c>
    </row>
    <row r="23" spans="2:13" x14ac:dyDescent="0.2">
      <c r="B23" s="91" t="s">
        <v>20</v>
      </c>
      <c r="C23" s="21">
        <v>44958</v>
      </c>
      <c r="D23" s="49">
        <f>259634-30</f>
        <v>259604</v>
      </c>
      <c r="E23" s="119">
        <f>455713.47+364</f>
        <v>456077.47</v>
      </c>
      <c r="F23" s="17">
        <f t="shared" si="0"/>
        <v>-196473.46999999997</v>
      </c>
      <c r="G23" s="18">
        <f t="shared" si="1"/>
        <v>216620.75000000006</v>
      </c>
      <c r="I23" s="90">
        <v>44958</v>
      </c>
      <c r="J23" s="66">
        <f>22266+14595</f>
        <v>36861</v>
      </c>
      <c r="K23" s="73">
        <f>37225-364</f>
        <v>36861</v>
      </c>
      <c r="L23" s="64">
        <f t="shared" si="2"/>
        <v>0</v>
      </c>
      <c r="M23" s="64">
        <f>M22+L23</f>
        <v>0</v>
      </c>
    </row>
    <row r="24" spans="2:13" x14ac:dyDescent="0.2">
      <c r="B24" s="5"/>
      <c r="C24" s="22" t="s">
        <v>83</v>
      </c>
      <c r="D24" s="23"/>
      <c r="E24" s="23"/>
      <c r="F24" s="23"/>
      <c r="G24" s="24"/>
      <c r="I24" s="67"/>
      <c r="J24" s="67"/>
      <c r="K24" s="67"/>
      <c r="L24" s="67"/>
      <c r="M24" s="67"/>
    </row>
    <row r="25" spans="2:13" x14ac:dyDescent="0.2">
      <c r="B25" s="2"/>
      <c r="C25" s="1"/>
      <c r="D25" s="1"/>
      <c r="E25" s="1"/>
      <c r="F25" s="1"/>
      <c r="G25" s="11"/>
      <c r="I25" s="68" t="s">
        <v>51</v>
      </c>
      <c r="J25" s="69"/>
      <c r="K25" s="69"/>
      <c r="L25" s="70"/>
      <c r="M25" s="71">
        <f>M21</f>
        <v>0</v>
      </c>
    </row>
    <row r="26" spans="2:13" x14ac:dyDescent="0.2">
      <c r="B26" s="4"/>
      <c r="C26" s="3"/>
      <c r="D26" s="4" t="s">
        <v>21</v>
      </c>
      <c r="E26" s="4" t="s">
        <v>22</v>
      </c>
      <c r="F26" s="3"/>
      <c r="G26" s="16"/>
      <c r="I26" s="67"/>
      <c r="J26" s="67"/>
      <c r="K26" s="67"/>
      <c r="L26" s="67"/>
      <c r="M26" s="72"/>
    </row>
    <row r="27" spans="2:13" x14ac:dyDescent="0.2">
      <c r="B27" s="4">
        <v>8</v>
      </c>
      <c r="C27" s="3"/>
      <c r="D27" s="4" t="s">
        <v>23</v>
      </c>
      <c r="E27" s="4" t="s">
        <v>24</v>
      </c>
      <c r="F27" s="3"/>
      <c r="G27" s="25" t="s">
        <v>21</v>
      </c>
      <c r="I27" s="68" t="s">
        <v>52</v>
      </c>
      <c r="J27" s="69"/>
      <c r="K27" s="69"/>
      <c r="L27" s="70"/>
      <c r="M27" s="71">
        <f>M25/6</f>
        <v>0</v>
      </c>
    </row>
    <row r="28" spans="2:13" x14ac:dyDescent="0.2">
      <c r="B28" s="4"/>
      <c r="C28" s="3"/>
      <c r="D28" s="4" t="s">
        <v>25</v>
      </c>
      <c r="E28" s="4" t="s">
        <v>26</v>
      </c>
      <c r="F28" s="3"/>
      <c r="G28" s="25" t="s">
        <v>27</v>
      </c>
    </row>
    <row r="29" spans="2:13" x14ac:dyDescent="0.2">
      <c r="B29" s="4"/>
      <c r="C29" s="3"/>
      <c r="D29" s="4" t="s">
        <v>28</v>
      </c>
      <c r="E29" s="4" t="s">
        <v>29</v>
      </c>
      <c r="F29" s="3"/>
      <c r="G29" s="25" t="s">
        <v>30</v>
      </c>
    </row>
    <row r="30" spans="2:13" x14ac:dyDescent="0.2">
      <c r="B30" s="5"/>
      <c r="C30" s="3"/>
      <c r="D30" s="4" t="s">
        <v>31</v>
      </c>
      <c r="E30" s="4" t="s">
        <v>32</v>
      </c>
      <c r="F30" s="3"/>
      <c r="G30" s="25" t="s">
        <v>33</v>
      </c>
    </row>
    <row r="31" spans="2:13" x14ac:dyDescent="0.2">
      <c r="B31" s="19" t="s">
        <v>34</v>
      </c>
      <c r="C31" s="1" t="s">
        <v>78</v>
      </c>
      <c r="D31" s="11">
        <f>-G13</f>
        <v>-11503</v>
      </c>
      <c r="E31" s="11">
        <f>D62</f>
        <v>0</v>
      </c>
      <c r="F31" s="1"/>
      <c r="G31" s="11">
        <f>D31+E31</f>
        <v>-11503</v>
      </c>
    </row>
    <row r="32" spans="2:13" x14ac:dyDescent="0.2">
      <c r="B32" s="26" t="s">
        <v>35</v>
      </c>
      <c r="C32" s="27" t="s">
        <v>84</v>
      </c>
      <c r="D32" s="18">
        <f>-G14</f>
        <v>71053.040000000008</v>
      </c>
      <c r="E32" s="18">
        <v>0</v>
      </c>
      <c r="F32" s="27"/>
      <c r="G32" s="18">
        <f>D32+E32</f>
        <v>71053.040000000008</v>
      </c>
    </row>
    <row r="33" spans="2:7" x14ac:dyDescent="0.2">
      <c r="B33" s="5" t="s">
        <v>85</v>
      </c>
      <c r="C33" s="28"/>
      <c r="D33" s="29"/>
      <c r="E33" s="29"/>
      <c r="F33" s="30" t="s">
        <v>36</v>
      </c>
      <c r="G33" s="18">
        <f>G31+G32</f>
        <v>59550.040000000008</v>
      </c>
    </row>
    <row r="34" spans="2:7" x14ac:dyDescent="0.2">
      <c r="B34" s="31"/>
      <c r="G34" s="32"/>
    </row>
    <row r="35" spans="2:7" x14ac:dyDescent="0.2">
      <c r="B35" s="6">
        <v>9</v>
      </c>
      <c r="C35" s="33" t="s">
        <v>86</v>
      </c>
      <c r="D35" s="8"/>
      <c r="E35" s="8"/>
      <c r="F35" s="9"/>
      <c r="G35" s="34">
        <f>G21+G33</f>
        <v>411868.44000000006</v>
      </c>
    </row>
    <row r="36" spans="2:7" x14ac:dyDescent="0.2">
      <c r="B36" s="31"/>
      <c r="G36" s="32"/>
    </row>
    <row r="37" spans="2:7" x14ac:dyDescent="0.2">
      <c r="B37" s="6">
        <v>10</v>
      </c>
      <c r="C37" s="33" t="s">
        <v>79</v>
      </c>
      <c r="D37" s="8"/>
      <c r="E37" s="8"/>
      <c r="F37" s="9"/>
      <c r="G37" s="34">
        <f>G35/6</f>
        <v>68644.740000000005</v>
      </c>
    </row>
    <row r="39" spans="2:7" x14ac:dyDescent="0.2">
      <c r="B39" s="1"/>
      <c r="C39" s="35" t="s">
        <v>37</v>
      </c>
      <c r="D39" s="36"/>
      <c r="E39" s="36"/>
      <c r="F39" s="36"/>
      <c r="G39" s="37"/>
    </row>
    <row r="40" spans="2:7" x14ac:dyDescent="0.2">
      <c r="B40" s="1"/>
      <c r="C40" s="38"/>
      <c r="D40" s="38"/>
      <c r="E40" s="38"/>
      <c r="F40" s="38"/>
      <c r="G40" s="10"/>
    </row>
    <row r="41" spans="2:7" x14ac:dyDescent="0.2">
      <c r="B41" s="4">
        <v>11</v>
      </c>
      <c r="C41" t="s">
        <v>38</v>
      </c>
      <c r="G41" s="39">
        <f>G15</f>
        <v>-59550.040000000008</v>
      </c>
    </row>
    <row r="42" spans="2:7" x14ac:dyDescent="0.2">
      <c r="B42" s="4">
        <v>12</v>
      </c>
      <c r="C42" t="s">
        <v>39</v>
      </c>
      <c r="G42" s="40">
        <f>G33</f>
        <v>59550.040000000008</v>
      </c>
    </row>
    <row r="43" spans="2:7" x14ac:dyDescent="0.2">
      <c r="B43" s="4"/>
      <c r="G43" s="39"/>
    </row>
    <row r="44" spans="2:7" ht="15" thickBot="1" x14ac:dyDescent="0.25">
      <c r="B44" s="4">
        <v>13</v>
      </c>
      <c r="C44" t="s">
        <v>40</v>
      </c>
      <c r="G44" s="41">
        <f>G41+G42</f>
        <v>0</v>
      </c>
    </row>
    <row r="45" spans="2:7" ht="15" thickTop="1" x14ac:dyDescent="0.2">
      <c r="B45" s="4"/>
      <c r="G45" s="39"/>
    </row>
    <row r="46" spans="2:7" x14ac:dyDescent="0.2">
      <c r="B46" s="4">
        <v>14</v>
      </c>
      <c r="C46" t="s">
        <v>41</v>
      </c>
      <c r="G46" s="39">
        <f>G35</f>
        <v>411868.44000000006</v>
      </c>
    </row>
    <row r="47" spans="2:7" x14ac:dyDescent="0.2">
      <c r="B47" s="4"/>
      <c r="G47" s="39"/>
    </row>
    <row r="48" spans="2:7" x14ac:dyDescent="0.2">
      <c r="B48" s="4">
        <v>15</v>
      </c>
      <c r="C48" t="s">
        <v>42</v>
      </c>
      <c r="G48" s="40">
        <f>SUM(F16:F21)</f>
        <v>411868.44</v>
      </c>
    </row>
    <row r="49" spans="2:7" x14ac:dyDescent="0.2">
      <c r="B49" s="4"/>
      <c r="G49" s="39"/>
    </row>
    <row r="50" spans="2:7" ht="15" thickBot="1" x14ac:dyDescent="0.25">
      <c r="B50" s="4">
        <v>16</v>
      </c>
      <c r="C50" t="s">
        <v>43</v>
      </c>
      <c r="G50" s="41">
        <f>G46-G48</f>
        <v>0</v>
      </c>
    </row>
    <row r="51" spans="2:7" ht="15" thickTop="1" x14ac:dyDescent="0.2">
      <c r="B51" s="27"/>
      <c r="C51" s="42"/>
      <c r="D51" s="42"/>
      <c r="E51" s="42"/>
      <c r="F51" s="42"/>
      <c r="G51" s="43"/>
    </row>
    <row r="53" spans="2:7" x14ac:dyDescent="0.2">
      <c r="B53" t="s">
        <v>44</v>
      </c>
    </row>
    <row r="54" spans="2:7" x14ac:dyDescent="0.2">
      <c r="B54" s="31"/>
      <c r="C54" s="1"/>
      <c r="D54" s="2" t="s">
        <v>45</v>
      </c>
      <c r="E54" s="26"/>
      <c r="F54" s="31"/>
      <c r="G54" s="31"/>
    </row>
    <row r="55" spans="2:7" x14ac:dyDescent="0.2">
      <c r="B55" s="31"/>
      <c r="C55" s="5" t="s">
        <v>10</v>
      </c>
      <c r="D55" s="5" t="s">
        <v>80</v>
      </c>
      <c r="E55" s="26"/>
      <c r="F55" s="31"/>
      <c r="G55" s="31"/>
    </row>
    <row r="56" spans="2:7" x14ac:dyDescent="0.2">
      <c r="C56" s="12">
        <v>44743</v>
      </c>
      <c r="D56" s="11">
        <v>0</v>
      </c>
      <c r="E56" s="15"/>
      <c r="F56" s="32"/>
      <c r="G56" s="32"/>
    </row>
    <row r="57" spans="2:7" x14ac:dyDescent="0.2">
      <c r="C57" s="14">
        <v>44774</v>
      </c>
      <c r="D57" s="16">
        <v>0</v>
      </c>
      <c r="E57" s="15"/>
      <c r="F57" s="32"/>
      <c r="G57" s="32"/>
    </row>
    <row r="58" spans="2:7" x14ac:dyDescent="0.2">
      <c r="C58" s="14">
        <v>44805</v>
      </c>
      <c r="D58" s="16">
        <v>0</v>
      </c>
      <c r="E58" s="15"/>
      <c r="F58" s="32"/>
      <c r="G58" s="32"/>
    </row>
    <row r="59" spans="2:7" x14ac:dyDescent="0.2">
      <c r="C59" s="14">
        <v>44835</v>
      </c>
      <c r="D59" s="16">
        <v>0</v>
      </c>
      <c r="E59" s="15"/>
      <c r="F59" s="32"/>
      <c r="G59" s="32"/>
    </row>
    <row r="60" spans="2:7" x14ac:dyDescent="0.2">
      <c r="C60" s="14">
        <v>44866</v>
      </c>
      <c r="D60" s="16">
        <v>0</v>
      </c>
      <c r="E60" s="15"/>
      <c r="F60" s="32"/>
      <c r="G60" s="32"/>
    </row>
    <row r="61" spans="2:7" x14ac:dyDescent="0.2">
      <c r="C61" s="14">
        <v>44896</v>
      </c>
      <c r="D61" s="18">
        <v>0</v>
      </c>
      <c r="E61" s="15"/>
      <c r="F61" s="32"/>
      <c r="G61" s="32"/>
    </row>
    <row r="62" spans="2:7" x14ac:dyDescent="0.2">
      <c r="C62" s="44" t="s">
        <v>46</v>
      </c>
      <c r="D62" s="34">
        <f>SUM(D56:D61)</f>
        <v>0</v>
      </c>
      <c r="E62" s="15"/>
      <c r="F62" s="32"/>
      <c r="G62" s="32"/>
    </row>
  </sheetData>
  <mergeCells count="3">
    <mergeCell ref="B4:G5"/>
    <mergeCell ref="I4:M5"/>
    <mergeCell ref="C12:G12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6B45A-EC86-4802-8075-73CCC9AA1AD2}">
  <dimension ref="A1:M64"/>
  <sheetViews>
    <sheetView workbookViewId="0">
      <selection activeCell="A11" sqref="A11"/>
    </sheetView>
  </sheetViews>
  <sheetFormatPr defaultColWidth="12.625" defaultRowHeight="14.25" x14ac:dyDescent="0.2"/>
  <cols>
    <col min="2" max="2" width="8.75" customWidth="1"/>
    <col min="3" max="3" width="30.625" customWidth="1"/>
    <col min="4" max="5" width="17.625" customWidth="1"/>
    <col min="6" max="6" width="21.125" customWidth="1"/>
    <col min="7" max="7" width="17.625" customWidth="1"/>
    <col min="10" max="11" width="14.625" bestFit="1" customWidth="1"/>
    <col min="12" max="13" width="13.75" bestFit="1" customWidth="1"/>
  </cols>
  <sheetData>
    <row r="1" spans="1:13" x14ac:dyDescent="0.2">
      <c r="A1" t="str">
        <f>'Current 05-31-25'!$A$1</f>
        <v>Staff DR1 Response 2 - Cumberland Valley Surcharge Summary.xlsx</v>
      </c>
    </row>
    <row r="4" spans="1:13" ht="14.25" customHeight="1" x14ac:dyDescent="0.2">
      <c r="B4" s="92" t="s">
        <v>48</v>
      </c>
      <c r="C4" s="93"/>
      <c r="D4" s="93"/>
      <c r="E4" s="93"/>
      <c r="F4" s="93"/>
      <c r="G4" s="94"/>
      <c r="I4" s="98" t="s">
        <v>49</v>
      </c>
      <c r="J4" s="99"/>
      <c r="K4" s="99"/>
      <c r="L4" s="99"/>
      <c r="M4" s="100"/>
    </row>
    <row r="5" spans="1:13" ht="14.25" customHeight="1" x14ac:dyDescent="0.2">
      <c r="B5" s="95"/>
      <c r="C5" s="96"/>
      <c r="D5" s="96"/>
      <c r="E5" s="96"/>
      <c r="F5" s="96"/>
      <c r="G5" s="97"/>
      <c r="I5" s="101"/>
      <c r="J5" s="102"/>
      <c r="K5" s="102"/>
      <c r="L5" s="102"/>
      <c r="M5" s="103"/>
    </row>
    <row r="6" spans="1:13" ht="15" x14ac:dyDescent="0.2">
      <c r="I6" s="52"/>
      <c r="J6" s="52"/>
      <c r="K6" s="52"/>
      <c r="L6" s="52"/>
      <c r="M6" s="52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x14ac:dyDescent="0.2">
      <c r="B8" s="3"/>
      <c r="C8" s="3"/>
      <c r="D8" s="4" t="s">
        <v>1</v>
      </c>
      <c r="E8" s="4" t="s">
        <v>2</v>
      </c>
      <c r="F8" s="3"/>
      <c r="G8" s="3"/>
    </row>
    <row r="9" spans="1:13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13" ht="15.75" x14ac:dyDescent="0.25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  <c r="I10" s="53" t="s">
        <v>53</v>
      </c>
      <c r="J10" s="52"/>
      <c r="K10" s="52"/>
      <c r="L10" s="52"/>
      <c r="M10" s="52"/>
    </row>
    <row r="11" spans="1:13" ht="15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  <c r="I11" s="52"/>
      <c r="J11" s="52"/>
      <c r="K11" s="52"/>
      <c r="L11" s="52"/>
      <c r="M11" s="52"/>
    </row>
    <row r="12" spans="1:13" x14ac:dyDescent="0.2">
      <c r="B12" s="2">
        <v>1</v>
      </c>
      <c r="C12" s="104" t="s">
        <v>15</v>
      </c>
      <c r="D12" s="105"/>
      <c r="E12" s="105"/>
      <c r="F12" s="105"/>
      <c r="G12" s="106"/>
      <c r="I12" s="54"/>
      <c r="J12" s="54"/>
      <c r="K12" s="55" t="s">
        <v>0</v>
      </c>
      <c r="L12" s="54"/>
      <c r="M12" s="54"/>
    </row>
    <row r="13" spans="1:13" x14ac:dyDescent="0.2">
      <c r="B13" s="2" t="s">
        <v>16</v>
      </c>
      <c r="C13" s="8" t="s">
        <v>76</v>
      </c>
      <c r="D13" s="8"/>
      <c r="E13" s="8"/>
      <c r="F13" s="9"/>
      <c r="G13" s="34">
        <v>11503</v>
      </c>
      <c r="I13" s="56"/>
      <c r="J13" s="57" t="s">
        <v>1</v>
      </c>
      <c r="K13" s="57" t="s">
        <v>2</v>
      </c>
      <c r="L13" s="56"/>
      <c r="M13" s="56"/>
    </row>
    <row r="14" spans="1:13" x14ac:dyDescent="0.2">
      <c r="B14" s="4" t="s">
        <v>17</v>
      </c>
      <c r="C14" s="8" t="s">
        <v>81</v>
      </c>
      <c r="D14" s="8"/>
      <c r="E14" s="8"/>
      <c r="F14" s="9"/>
      <c r="G14" s="120">
        <f>'A - 05-31-22'!G33</f>
        <v>-71053.040000000008</v>
      </c>
      <c r="I14" s="56"/>
      <c r="J14" s="57" t="s">
        <v>3</v>
      </c>
      <c r="K14" s="57" t="s">
        <v>4</v>
      </c>
      <c r="L14" s="57" t="s">
        <v>5</v>
      </c>
      <c r="M14" s="57" t="s">
        <v>6</v>
      </c>
    </row>
    <row r="15" spans="1:13" x14ac:dyDescent="0.2">
      <c r="B15" s="4" t="s">
        <v>82</v>
      </c>
      <c r="C15" s="8" t="s">
        <v>87</v>
      </c>
      <c r="D15" s="8"/>
      <c r="E15" s="8"/>
      <c r="F15" s="9"/>
      <c r="G15" s="120">
        <f>'B - 11-30-22'!G35</f>
        <v>411868.44000000006</v>
      </c>
      <c r="I15" s="58"/>
      <c r="J15" s="58" t="s">
        <v>7</v>
      </c>
      <c r="K15" s="58" t="s">
        <v>7</v>
      </c>
      <c r="L15" s="58" t="s">
        <v>8</v>
      </c>
      <c r="M15" s="58" t="s">
        <v>8</v>
      </c>
    </row>
    <row r="16" spans="1:13" x14ac:dyDescent="0.2">
      <c r="B16" s="5" t="s">
        <v>88</v>
      </c>
      <c r="C16" s="8" t="s">
        <v>18</v>
      </c>
      <c r="D16" s="8"/>
      <c r="E16" s="8"/>
      <c r="F16" s="10"/>
      <c r="G16" s="11">
        <f>G13+G14+G15</f>
        <v>352318.4</v>
      </c>
      <c r="I16" s="59" t="s">
        <v>10</v>
      </c>
      <c r="J16" s="60" t="s">
        <v>50</v>
      </c>
      <c r="K16" s="60" t="s">
        <v>11</v>
      </c>
      <c r="L16" s="60" t="s">
        <v>12</v>
      </c>
      <c r="M16" s="60" t="s">
        <v>13</v>
      </c>
    </row>
    <row r="17" spans="2:13" x14ac:dyDescent="0.2">
      <c r="B17" s="4">
        <v>2</v>
      </c>
      <c r="C17" s="12">
        <v>44927</v>
      </c>
      <c r="D17" s="45">
        <f>505386-44</f>
        <v>505342</v>
      </c>
      <c r="E17" s="46">
        <v>444566.18</v>
      </c>
      <c r="F17" s="13">
        <f t="shared" ref="F17:F24" si="0">D17-E17</f>
        <v>60775.820000000007</v>
      </c>
      <c r="G17" s="11">
        <f t="shared" ref="G17:G24" si="1">G16+F17</f>
        <v>413094.22000000003</v>
      </c>
      <c r="I17" s="112">
        <v>44927</v>
      </c>
      <c r="J17" s="61">
        <f>36223+37243</f>
        <v>73466</v>
      </c>
      <c r="K17" s="113">
        <v>73466</v>
      </c>
      <c r="L17" s="62">
        <f t="shared" ref="L17:L24" si="2">J17-K17</f>
        <v>0</v>
      </c>
      <c r="M17" s="63">
        <f>L17</f>
        <v>0</v>
      </c>
    </row>
    <row r="18" spans="2:13" x14ac:dyDescent="0.2">
      <c r="B18" s="4">
        <v>3</v>
      </c>
      <c r="C18" s="14">
        <v>44958</v>
      </c>
      <c r="D18" s="47">
        <f>259634-30</f>
        <v>259604</v>
      </c>
      <c r="E18" s="114">
        <f>455713.47+364</f>
        <v>456077.47</v>
      </c>
      <c r="F18" s="15">
        <f t="shared" si="0"/>
        <v>-196473.46999999997</v>
      </c>
      <c r="G18" s="16">
        <f t="shared" si="1"/>
        <v>216620.75000000006</v>
      </c>
      <c r="I18" s="89">
        <v>44958</v>
      </c>
      <c r="J18" s="61">
        <f>22266+14595</f>
        <v>36861</v>
      </c>
      <c r="K18" s="121">
        <f>37225-364</f>
        <v>36861</v>
      </c>
      <c r="L18" s="63">
        <f t="shared" si="2"/>
        <v>0</v>
      </c>
      <c r="M18" s="63">
        <f>M17+L18</f>
        <v>0</v>
      </c>
    </row>
    <row r="19" spans="2:13" x14ac:dyDescent="0.2">
      <c r="B19" s="4">
        <v>4</v>
      </c>
      <c r="C19" s="14">
        <v>44986</v>
      </c>
      <c r="D19" s="47">
        <f>336608-39</f>
        <v>336569</v>
      </c>
      <c r="E19" s="48">
        <v>230897.31</v>
      </c>
      <c r="F19" s="15">
        <f t="shared" si="0"/>
        <v>105671.69</v>
      </c>
      <c r="G19" s="16">
        <f t="shared" si="1"/>
        <v>322292.44000000006</v>
      </c>
      <c r="I19" s="89">
        <v>44986</v>
      </c>
      <c r="J19" s="61">
        <f>30865+19790</f>
        <v>50655</v>
      </c>
      <c r="K19" s="61">
        <v>50655</v>
      </c>
      <c r="L19" s="63">
        <f t="shared" si="2"/>
        <v>0</v>
      </c>
      <c r="M19" s="63">
        <f t="shared" ref="M19:M22" si="3">M18+L19</f>
        <v>0</v>
      </c>
    </row>
    <row r="20" spans="2:13" x14ac:dyDescent="0.2">
      <c r="B20" s="4">
        <v>5</v>
      </c>
      <c r="C20" s="14">
        <v>45017</v>
      </c>
      <c r="D20" s="47">
        <f>339216-54</f>
        <v>339162</v>
      </c>
      <c r="E20" s="48">
        <v>283650.15999999997</v>
      </c>
      <c r="F20" s="15">
        <f t="shared" si="0"/>
        <v>55511.840000000026</v>
      </c>
      <c r="G20" s="16">
        <f t="shared" si="1"/>
        <v>377804.28000000009</v>
      </c>
      <c r="I20" s="89">
        <v>45017</v>
      </c>
      <c r="J20" s="61">
        <f>42203+26284</f>
        <v>68487</v>
      </c>
      <c r="K20" s="116">
        <v>68487</v>
      </c>
      <c r="L20" s="63">
        <f t="shared" si="2"/>
        <v>0</v>
      </c>
      <c r="M20" s="63">
        <f t="shared" si="3"/>
        <v>0</v>
      </c>
    </row>
    <row r="21" spans="2:13" x14ac:dyDescent="0.2">
      <c r="B21" s="4">
        <v>6</v>
      </c>
      <c r="C21" s="14">
        <v>45047</v>
      </c>
      <c r="D21" s="47">
        <f>345874-58</f>
        <v>345816</v>
      </c>
      <c r="E21" s="114">
        <f>418455.22-364</f>
        <v>418091.22</v>
      </c>
      <c r="F21" s="15">
        <f t="shared" si="0"/>
        <v>-72275.219999999972</v>
      </c>
      <c r="G21" s="16">
        <f t="shared" si="1"/>
        <v>305529.06000000011</v>
      </c>
      <c r="I21" s="89">
        <v>45047</v>
      </c>
      <c r="J21" s="61">
        <f>40061+30635</f>
        <v>70696</v>
      </c>
      <c r="K21" s="74">
        <f>70332+364</f>
        <v>70696</v>
      </c>
      <c r="L21" s="63">
        <f t="shared" si="2"/>
        <v>0</v>
      </c>
      <c r="M21" s="63">
        <f t="shared" si="3"/>
        <v>0</v>
      </c>
    </row>
    <row r="22" spans="2:13" x14ac:dyDescent="0.2">
      <c r="B22" s="4">
        <v>7</v>
      </c>
      <c r="C22" s="14">
        <v>45078</v>
      </c>
      <c r="D22" s="47">
        <f>385132-69</f>
        <v>385063</v>
      </c>
      <c r="E22" s="48">
        <f>371241.28</f>
        <v>371241.28</v>
      </c>
      <c r="F22" s="17">
        <f t="shared" si="0"/>
        <v>13821.719999999972</v>
      </c>
      <c r="G22" s="18">
        <f t="shared" si="1"/>
        <v>319350.78000000009</v>
      </c>
      <c r="I22" s="90">
        <v>45078</v>
      </c>
      <c r="J22" s="66">
        <f>20320+26578</f>
        <v>46898</v>
      </c>
      <c r="K22" s="66">
        <v>46898</v>
      </c>
      <c r="L22" s="64">
        <f t="shared" si="2"/>
        <v>0</v>
      </c>
      <c r="M22" s="64">
        <f t="shared" si="3"/>
        <v>0</v>
      </c>
    </row>
    <row r="23" spans="2:13" x14ac:dyDescent="0.2">
      <c r="B23" s="19" t="s">
        <v>19</v>
      </c>
      <c r="C23" s="12">
        <v>45108</v>
      </c>
      <c r="D23" s="45">
        <f>511925-74</f>
        <v>511851</v>
      </c>
      <c r="E23" s="46">
        <f>508878.14</f>
        <v>508878.14</v>
      </c>
      <c r="F23" s="13">
        <f t="shared" si="0"/>
        <v>2972.859999999986</v>
      </c>
      <c r="G23" s="11">
        <f t="shared" si="1"/>
        <v>322323.64000000007</v>
      </c>
      <c r="I23" s="89">
        <v>45108</v>
      </c>
      <c r="J23" s="65">
        <f>44344+68618</f>
        <v>112962</v>
      </c>
      <c r="K23" s="65">
        <v>112962</v>
      </c>
      <c r="L23" s="63">
        <f t="shared" si="2"/>
        <v>0</v>
      </c>
      <c r="M23" s="63">
        <f>M22+L23</f>
        <v>0</v>
      </c>
    </row>
    <row r="24" spans="2:13" x14ac:dyDescent="0.2">
      <c r="B24" s="91" t="s">
        <v>20</v>
      </c>
      <c r="C24" s="21">
        <v>45139</v>
      </c>
      <c r="D24" s="49">
        <f>538190-0</f>
        <v>538190</v>
      </c>
      <c r="E24" s="50">
        <f>592726.59</f>
        <v>592726.59</v>
      </c>
      <c r="F24" s="17">
        <f t="shared" si="0"/>
        <v>-54536.589999999967</v>
      </c>
      <c r="G24" s="18">
        <f t="shared" si="1"/>
        <v>267787.0500000001</v>
      </c>
      <c r="I24" s="90">
        <v>45139</v>
      </c>
      <c r="J24" s="66">
        <f>56388+79780</f>
        <v>136168</v>
      </c>
      <c r="K24" s="73">
        <v>136168</v>
      </c>
      <c r="L24" s="64">
        <f t="shared" si="2"/>
        <v>0</v>
      </c>
      <c r="M24" s="64">
        <f>M23+L24</f>
        <v>0</v>
      </c>
    </row>
    <row r="25" spans="2:13" x14ac:dyDescent="0.2">
      <c r="B25" s="5"/>
      <c r="C25" s="22" t="s">
        <v>89</v>
      </c>
      <c r="D25" s="23"/>
      <c r="E25" s="23"/>
      <c r="F25" s="23"/>
      <c r="G25" s="24"/>
      <c r="I25" s="67"/>
      <c r="J25" s="67"/>
      <c r="K25" s="67"/>
      <c r="L25" s="67"/>
      <c r="M25" s="67"/>
    </row>
    <row r="26" spans="2:13" x14ac:dyDescent="0.2">
      <c r="B26" s="2"/>
      <c r="C26" s="1"/>
      <c r="D26" s="1"/>
      <c r="E26" s="1"/>
      <c r="F26" s="1"/>
      <c r="G26" s="11"/>
      <c r="I26" s="68" t="s">
        <v>51</v>
      </c>
      <c r="J26" s="69"/>
      <c r="K26" s="69"/>
      <c r="L26" s="70"/>
      <c r="M26" s="71">
        <f>M22</f>
        <v>0</v>
      </c>
    </row>
    <row r="27" spans="2:13" x14ac:dyDescent="0.2">
      <c r="B27" s="4"/>
      <c r="C27" s="3"/>
      <c r="D27" s="4" t="s">
        <v>21</v>
      </c>
      <c r="E27" s="4" t="s">
        <v>22</v>
      </c>
      <c r="F27" s="3"/>
      <c r="G27" s="16"/>
      <c r="I27" s="67"/>
      <c r="J27" s="67"/>
      <c r="K27" s="67"/>
      <c r="L27" s="67"/>
      <c r="M27" s="72"/>
    </row>
    <row r="28" spans="2:13" x14ac:dyDescent="0.2">
      <c r="B28" s="4">
        <v>8</v>
      </c>
      <c r="C28" s="3"/>
      <c r="D28" s="4" t="s">
        <v>23</v>
      </c>
      <c r="E28" s="4" t="s">
        <v>24</v>
      </c>
      <c r="F28" s="3"/>
      <c r="G28" s="25" t="s">
        <v>21</v>
      </c>
      <c r="I28" s="68" t="s">
        <v>52</v>
      </c>
      <c r="J28" s="69"/>
      <c r="K28" s="69"/>
      <c r="L28" s="70"/>
      <c r="M28" s="71">
        <f>M26/6</f>
        <v>0</v>
      </c>
    </row>
    <row r="29" spans="2:13" x14ac:dyDescent="0.2">
      <c r="B29" s="4"/>
      <c r="C29" s="3"/>
      <c r="D29" s="4" t="s">
        <v>25</v>
      </c>
      <c r="E29" s="4" t="s">
        <v>26</v>
      </c>
      <c r="F29" s="3"/>
      <c r="G29" s="25" t="s">
        <v>27</v>
      </c>
    </row>
    <row r="30" spans="2:13" x14ac:dyDescent="0.2">
      <c r="B30" s="4"/>
      <c r="C30" s="3"/>
      <c r="D30" s="4" t="s">
        <v>28</v>
      </c>
      <c r="E30" s="4" t="s">
        <v>29</v>
      </c>
      <c r="F30" s="3"/>
      <c r="G30" s="25" t="s">
        <v>30</v>
      </c>
    </row>
    <row r="31" spans="2:13" x14ac:dyDescent="0.2">
      <c r="B31" s="5"/>
      <c r="C31" s="3"/>
      <c r="D31" s="4" t="s">
        <v>31</v>
      </c>
      <c r="E31" s="4" t="s">
        <v>32</v>
      </c>
      <c r="F31" s="3"/>
      <c r="G31" s="25" t="s">
        <v>33</v>
      </c>
    </row>
    <row r="32" spans="2:13" x14ac:dyDescent="0.2">
      <c r="B32" s="19" t="s">
        <v>34</v>
      </c>
      <c r="C32" s="1" t="s">
        <v>78</v>
      </c>
      <c r="D32" s="11">
        <f>-G13</f>
        <v>-11503</v>
      </c>
      <c r="E32" s="11">
        <f>D64</f>
        <v>0</v>
      </c>
      <c r="F32" s="1"/>
      <c r="G32" s="11">
        <f t="shared" ref="G32:G34" si="4">D32+E32</f>
        <v>-11503</v>
      </c>
    </row>
    <row r="33" spans="2:7" x14ac:dyDescent="0.2">
      <c r="B33" s="26" t="s">
        <v>35</v>
      </c>
      <c r="C33" s="122" t="s">
        <v>84</v>
      </c>
      <c r="D33" s="16">
        <f>-G14</f>
        <v>71053.040000000008</v>
      </c>
      <c r="E33" s="16">
        <v>0</v>
      </c>
      <c r="F33" s="3"/>
      <c r="G33" s="16">
        <f t="shared" si="4"/>
        <v>71053.040000000008</v>
      </c>
    </row>
    <row r="34" spans="2:7" x14ac:dyDescent="0.2">
      <c r="B34" s="26" t="s">
        <v>85</v>
      </c>
      <c r="C34" s="43" t="s">
        <v>90</v>
      </c>
      <c r="D34" s="18">
        <f>-G15</f>
        <v>-411868.44000000006</v>
      </c>
      <c r="E34" s="18">
        <v>0</v>
      </c>
      <c r="F34" s="27"/>
      <c r="G34" s="18">
        <f t="shared" si="4"/>
        <v>-411868.44000000006</v>
      </c>
    </row>
    <row r="35" spans="2:7" x14ac:dyDescent="0.2">
      <c r="B35" s="5" t="s">
        <v>91</v>
      </c>
      <c r="C35" s="28"/>
      <c r="D35" s="29"/>
      <c r="E35" s="29"/>
      <c r="F35" s="30" t="s">
        <v>36</v>
      </c>
      <c r="G35" s="18">
        <f>G32+G33+G34</f>
        <v>-352318.4</v>
      </c>
    </row>
    <row r="36" spans="2:7" x14ac:dyDescent="0.2">
      <c r="B36" s="31"/>
      <c r="G36" s="32"/>
    </row>
    <row r="37" spans="2:7" x14ac:dyDescent="0.2">
      <c r="B37" s="6">
        <v>9</v>
      </c>
      <c r="C37" s="33" t="s">
        <v>92</v>
      </c>
      <c r="D37" s="8"/>
      <c r="E37" s="8"/>
      <c r="F37" s="9"/>
      <c r="G37" s="34">
        <f>G22+G35</f>
        <v>-32967.619999999937</v>
      </c>
    </row>
    <row r="38" spans="2:7" x14ac:dyDescent="0.2">
      <c r="B38" s="31"/>
      <c r="G38" s="32"/>
    </row>
    <row r="39" spans="2:7" x14ac:dyDescent="0.2">
      <c r="B39" s="6">
        <v>10</v>
      </c>
      <c r="C39" s="33" t="s">
        <v>79</v>
      </c>
      <c r="D39" s="8"/>
      <c r="E39" s="8"/>
      <c r="F39" s="9"/>
      <c r="G39" s="34">
        <f>G37/6</f>
        <v>-5494.6033333333226</v>
      </c>
    </row>
    <row r="41" spans="2:7" x14ac:dyDescent="0.2">
      <c r="B41" s="1"/>
      <c r="C41" s="35" t="s">
        <v>37</v>
      </c>
      <c r="D41" s="36"/>
      <c r="E41" s="36"/>
      <c r="F41" s="36"/>
      <c r="G41" s="37"/>
    </row>
    <row r="42" spans="2:7" x14ac:dyDescent="0.2">
      <c r="B42" s="1"/>
      <c r="C42" s="38"/>
      <c r="D42" s="38"/>
      <c r="E42" s="38"/>
      <c r="F42" s="38"/>
      <c r="G42" s="10"/>
    </row>
    <row r="43" spans="2:7" x14ac:dyDescent="0.2">
      <c r="B43" s="4">
        <v>11</v>
      </c>
      <c r="C43" t="s">
        <v>38</v>
      </c>
      <c r="G43" s="39">
        <f>G16</f>
        <v>352318.4</v>
      </c>
    </row>
    <row r="44" spans="2:7" x14ac:dyDescent="0.2">
      <c r="B44" s="4">
        <v>12</v>
      </c>
      <c r="C44" t="s">
        <v>39</v>
      </c>
      <c r="G44" s="40">
        <f>G35</f>
        <v>-352318.4</v>
      </c>
    </row>
    <row r="45" spans="2:7" x14ac:dyDescent="0.2">
      <c r="B45" s="4"/>
      <c r="G45" s="39"/>
    </row>
    <row r="46" spans="2:7" ht="15" thickBot="1" x14ac:dyDescent="0.25">
      <c r="B46" s="4">
        <v>13</v>
      </c>
      <c r="C46" t="s">
        <v>40</v>
      </c>
      <c r="G46" s="41">
        <f>G43+G44</f>
        <v>0</v>
      </c>
    </row>
    <row r="47" spans="2:7" ht="15" thickTop="1" x14ac:dyDescent="0.2">
      <c r="B47" s="4"/>
      <c r="G47" s="39"/>
    </row>
    <row r="48" spans="2:7" x14ac:dyDescent="0.2">
      <c r="B48" s="4">
        <v>14</v>
      </c>
      <c r="C48" t="s">
        <v>41</v>
      </c>
      <c r="G48" s="39">
        <f>G37</f>
        <v>-32967.619999999937</v>
      </c>
    </row>
    <row r="49" spans="2:7" x14ac:dyDescent="0.2">
      <c r="B49" s="4"/>
      <c r="G49" s="39"/>
    </row>
    <row r="50" spans="2:7" x14ac:dyDescent="0.2">
      <c r="B50" s="4">
        <v>15</v>
      </c>
      <c r="C50" t="s">
        <v>42</v>
      </c>
      <c r="G50" s="40">
        <f>SUM(F17:F22)</f>
        <v>-32967.619999999937</v>
      </c>
    </row>
    <row r="51" spans="2:7" x14ac:dyDescent="0.2">
      <c r="B51" s="4"/>
      <c r="G51" s="39"/>
    </row>
    <row r="52" spans="2:7" ht="15" thickBot="1" x14ac:dyDescent="0.25">
      <c r="B52" s="4">
        <v>16</v>
      </c>
      <c r="C52" t="s">
        <v>43</v>
      </c>
      <c r="G52" s="41">
        <f>G48-G50</f>
        <v>0</v>
      </c>
    </row>
    <row r="53" spans="2:7" ht="15" thickTop="1" x14ac:dyDescent="0.2">
      <c r="B53" s="27"/>
      <c r="C53" s="42"/>
      <c r="D53" s="42"/>
      <c r="E53" s="42"/>
      <c r="F53" s="42"/>
      <c r="G53" s="43"/>
    </row>
    <row r="55" spans="2:7" x14ac:dyDescent="0.2">
      <c r="B55" t="s">
        <v>44</v>
      </c>
    </row>
    <row r="56" spans="2:7" x14ac:dyDescent="0.2">
      <c r="B56" s="31"/>
      <c r="C56" s="1"/>
      <c r="D56" s="2" t="s">
        <v>45</v>
      </c>
      <c r="E56" s="26"/>
      <c r="F56" s="31"/>
      <c r="G56" s="31"/>
    </row>
    <row r="57" spans="2:7" x14ac:dyDescent="0.2">
      <c r="B57" s="31"/>
      <c r="C57" s="5" t="s">
        <v>10</v>
      </c>
      <c r="D57" s="5" t="s">
        <v>80</v>
      </c>
      <c r="E57" s="26"/>
      <c r="F57" s="31"/>
      <c r="G57" s="31"/>
    </row>
    <row r="58" spans="2:7" x14ac:dyDescent="0.2">
      <c r="C58" s="12">
        <v>44927</v>
      </c>
      <c r="D58" s="11">
        <v>0</v>
      </c>
      <c r="E58" s="15"/>
      <c r="F58" s="32"/>
      <c r="G58" s="32"/>
    </row>
    <row r="59" spans="2:7" x14ac:dyDescent="0.2">
      <c r="C59" s="14">
        <v>44958</v>
      </c>
      <c r="D59" s="16">
        <v>0</v>
      </c>
      <c r="E59" s="15"/>
      <c r="F59" s="32"/>
      <c r="G59" s="32"/>
    </row>
    <row r="60" spans="2:7" x14ac:dyDescent="0.2">
      <c r="C60" s="14">
        <v>44986</v>
      </c>
      <c r="D60" s="16">
        <v>0</v>
      </c>
      <c r="E60" s="15"/>
      <c r="F60" s="32"/>
      <c r="G60" s="32"/>
    </row>
    <row r="61" spans="2:7" x14ac:dyDescent="0.2">
      <c r="C61" s="14">
        <v>45017</v>
      </c>
      <c r="D61" s="16">
        <v>0</v>
      </c>
      <c r="E61" s="15"/>
      <c r="F61" s="32"/>
      <c r="G61" s="32"/>
    </row>
    <row r="62" spans="2:7" x14ac:dyDescent="0.2">
      <c r="C62" s="14">
        <v>45047</v>
      </c>
      <c r="D62" s="16">
        <v>0</v>
      </c>
      <c r="E62" s="15"/>
      <c r="F62" s="32"/>
      <c r="G62" s="32"/>
    </row>
    <row r="63" spans="2:7" x14ac:dyDescent="0.2">
      <c r="C63" s="14">
        <v>45078</v>
      </c>
      <c r="D63" s="18">
        <v>0</v>
      </c>
      <c r="E63" s="15"/>
      <c r="F63" s="32"/>
      <c r="G63" s="32"/>
    </row>
    <row r="64" spans="2:7" x14ac:dyDescent="0.2">
      <c r="C64" s="44" t="s">
        <v>46</v>
      </c>
      <c r="D64" s="34">
        <f>SUM(D58:D63)</f>
        <v>0</v>
      </c>
      <c r="E64" s="15"/>
      <c r="F64" s="32"/>
      <c r="G64" s="32"/>
    </row>
  </sheetData>
  <mergeCells count="3">
    <mergeCell ref="B4:G5"/>
    <mergeCell ref="I4:M5"/>
    <mergeCell ref="C12:G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899-85CF-44D5-8A49-D6DA8AE6C6AD}">
  <dimension ref="A1:M66"/>
  <sheetViews>
    <sheetView workbookViewId="0">
      <selection activeCell="A11" sqref="A11"/>
    </sheetView>
  </sheetViews>
  <sheetFormatPr defaultColWidth="12.625" defaultRowHeight="14.25" x14ac:dyDescent="0.2"/>
  <cols>
    <col min="2" max="2" width="8.625" customWidth="1"/>
    <col min="3" max="3" width="31.25" customWidth="1"/>
    <col min="4" max="5" width="17.625" customWidth="1"/>
    <col min="6" max="6" width="21.125" customWidth="1"/>
    <col min="7" max="7" width="17.625" customWidth="1"/>
    <col min="10" max="11" width="14.625" bestFit="1" customWidth="1"/>
    <col min="12" max="13" width="13.75" bestFit="1" customWidth="1"/>
  </cols>
  <sheetData>
    <row r="1" spans="1:13" x14ac:dyDescent="0.2">
      <c r="A1" t="str">
        <f>'Current 05-31-25'!$A$1</f>
        <v>Staff DR1 Response 2 - Cumberland Valley Surcharge Summary.xlsx</v>
      </c>
    </row>
    <row r="4" spans="1:13" ht="14.25" customHeight="1" x14ac:dyDescent="0.2">
      <c r="B4" s="92" t="s">
        <v>48</v>
      </c>
      <c r="C4" s="93"/>
      <c r="D4" s="93"/>
      <c r="E4" s="93"/>
      <c r="F4" s="93"/>
      <c r="G4" s="94"/>
      <c r="I4" s="98" t="s">
        <v>49</v>
      </c>
      <c r="J4" s="99"/>
      <c r="K4" s="99"/>
      <c r="L4" s="99"/>
      <c r="M4" s="100"/>
    </row>
    <row r="5" spans="1:13" ht="14.25" customHeight="1" x14ac:dyDescent="0.2">
      <c r="B5" s="95"/>
      <c r="C5" s="96"/>
      <c r="D5" s="96"/>
      <c r="E5" s="96"/>
      <c r="F5" s="96"/>
      <c r="G5" s="97"/>
      <c r="I5" s="101"/>
      <c r="J5" s="102"/>
      <c r="K5" s="102"/>
      <c r="L5" s="102"/>
      <c r="M5" s="103"/>
    </row>
    <row r="6" spans="1:13" ht="15" x14ac:dyDescent="0.2">
      <c r="I6" s="52"/>
      <c r="J6" s="52"/>
      <c r="K6" s="52"/>
      <c r="L6" s="52"/>
      <c r="M6" s="52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x14ac:dyDescent="0.2">
      <c r="B8" s="3"/>
      <c r="C8" s="3"/>
      <c r="D8" s="4" t="s">
        <v>1</v>
      </c>
      <c r="E8" s="4" t="s">
        <v>2</v>
      </c>
      <c r="F8" s="3"/>
      <c r="G8" s="3"/>
    </row>
    <row r="9" spans="1:13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13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13" ht="15.75" x14ac:dyDescent="0.25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  <c r="I11" s="53" t="s">
        <v>53</v>
      </c>
      <c r="J11" s="52"/>
      <c r="K11" s="52"/>
      <c r="L11" s="52"/>
      <c r="M11" s="52"/>
    </row>
    <row r="12" spans="1:13" ht="15" x14ac:dyDescent="0.2">
      <c r="B12" s="2">
        <v>1</v>
      </c>
      <c r="C12" s="104" t="s">
        <v>15</v>
      </c>
      <c r="D12" s="105"/>
      <c r="E12" s="105"/>
      <c r="F12" s="105"/>
      <c r="G12" s="106"/>
      <c r="I12" s="52"/>
      <c r="J12" s="52"/>
      <c r="K12" s="52"/>
      <c r="L12" s="52"/>
      <c r="M12" s="52"/>
    </row>
    <row r="13" spans="1:13" x14ac:dyDescent="0.2">
      <c r="B13" s="2" t="s">
        <v>16</v>
      </c>
      <c r="C13" s="8" t="s">
        <v>76</v>
      </c>
      <c r="D13" s="8"/>
      <c r="E13" s="8"/>
      <c r="F13" s="9"/>
      <c r="G13" s="34">
        <v>11503</v>
      </c>
      <c r="I13" s="54"/>
      <c r="J13" s="54"/>
      <c r="K13" s="55" t="s">
        <v>0</v>
      </c>
      <c r="L13" s="54"/>
      <c r="M13" s="54"/>
    </row>
    <row r="14" spans="1:13" x14ac:dyDescent="0.2">
      <c r="B14" s="4" t="s">
        <v>17</v>
      </c>
      <c r="C14" s="8" t="s">
        <v>81</v>
      </c>
      <c r="D14" s="8"/>
      <c r="E14" s="8"/>
      <c r="F14" s="9"/>
      <c r="G14" s="120">
        <f>'A - 05-31-22'!G33</f>
        <v>-71053.040000000008</v>
      </c>
      <c r="I14" s="56"/>
      <c r="J14" s="57" t="s">
        <v>1</v>
      </c>
      <c r="K14" s="57" t="s">
        <v>2</v>
      </c>
      <c r="L14" s="56"/>
      <c r="M14" s="56"/>
    </row>
    <row r="15" spans="1:13" x14ac:dyDescent="0.2">
      <c r="B15" s="4" t="s">
        <v>82</v>
      </c>
      <c r="C15" s="8" t="s">
        <v>87</v>
      </c>
      <c r="D15" s="8"/>
      <c r="E15" s="8"/>
      <c r="F15" s="9"/>
      <c r="G15" s="120">
        <f>'B - 11-30-22'!G35</f>
        <v>411868.44000000006</v>
      </c>
      <c r="I15" s="56"/>
      <c r="J15" s="57" t="s">
        <v>3</v>
      </c>
      <c r="K15" s="57" t="s">
        <v>4</v>
      </c>
      <c r="L15" s="57" t="s">
        <v>5</v>
      </c>
      <c r="M15" s="57" t="s">
        <v>6</v>
      </c>
    </row>
    <row r="16" spans="1:13" x14ac:dyDescent="0.2">
      <c r="B16" s="4" t="s">
        <v>88</v>
      </c>
      <c r="C16" s="8" t="s">
        <v>93</v>
      </c>
      <c r="D16" s="8"/>
      <c r="E16" s="8"/>
      <c r="F16" s="10"/>
      <c r="G16" s="45">
        <f>'C - 05-31-23'!G37</f>
        <v>-32967.619999999937</v>
      </c>
      <c r="I16" s="58"/>
      <c r="J16" s="58" t="s">
        <v>7</v>
      </c>
      <c r="K16" s="58" t="s">
        <v>7</v>
      </c>
      <c r="L16" s="58" t="s">
        <v>8</v>
      </c>
      <c r="M16" s="58" t="s">
        <v>8</v>
      </c>
    </row>
    <row r="17" spans="2:13" x14ac:dyDescent="0.2">
      <c r="B17" s="5" t="s">
        <v>94</v>
      </c>
      <c r="C17" s="8" t="s">
        <v>18</v>
      </c>
      <c r="D17" s="8"/>
      <c r="E17" s="8"/>
      <c r="F17" s="10"/>
      <c r="G17" s="11">
        <f>G13+G14+G15+G16</f>
        <v>319350.78000000009</v>
      </c>
      <c r="I17" s="59" t="s">
        <v>10</v>
      </c>
      <c r="J17" s="60" t="s">
        <v>50</v>
      </c>
      <c r="K17" s="60" t="s">
        <v>11</v>
      </c>
      <c r="L17" s="60" t="s">
        <v>12</v>
      </c>
      <c r="M17" s="60" t="s">
        <v>13</v>
      </c>
    </row>
    <row r="18" spans="2:13" x14ac:dyDescent="0.2">
      <c r="B18" s="4">
        <v>2</v>
      </c>
      <c r="C18" s="12">
        <v>45108</v>
      </c>
      <c r="D18" s="45">
        <f>511925-74</f>
        <v>511851</v>
      </c>
      <c r="E18" s="46">
        <f>508878.14</f>
        <v>508878.14</v>
      </c>
      <c r="F18" s="13">
        <f t="shared" ref="F18:F25" si="0">D18-E18</f>
        <v>2972.859999999986</v>
      </c>
      <c r="G18" s="11">
        <f t="shared" ref="G18:G25" si="1">G17+F18</f>
        <v>322323.64000000007</v>
      </c>
      <c r="I18" s="112">
        <v>45108</v>
      </c>
      <c r="J18" s="61">
        <f>44344+68618</f>
        <v>112962</v>
      </c>
      <c r="K18" s="113">
        <v>112962</v>
      </c>
      <c r="L18" s="62">
        <f t="shared" ref="L18:L25" si="2">J18-K18</f>
        <v>0</v>
      </c>
      <c r="M18" s="63">
        <f>L18</f>
        <v>0</v>
      </c>
    </row>
    <row r="19" spans="2:13" x14ac:dyDescent="0.2">
      <c r="B19" s="4">
        <v>3</v>
      </c>
      <c r="C19" s="14">
        <v>45139</v>
      </c>
      <c r="D19" s="47">
        <f>538190-0</f>
        <v>538190</v>
      </c>
      <c r="E19" s="48">
        <f>592726.59</f>
        <v>592726.59</v>
      </c>
      <c r="F19" s="15">
        <f t="shared" si="0"/>
        <v>-54536.589999999967</v>
      </c>
      <c r="G19" s="16">
        <f t="shared" si="1"/>
        <v>267787.0500000001</v>
      </c>
      <c r="I19" s="89">
        <v>45139</v>
      </c>
      <c r="J19" s="61">
        <f>56388+79780</f>
        <v>136168</v>
      </c>
      <c r="K19" s="121">
        <v>136168</v>
      </c>
      <c r="L19" s="63">
        <f t="shared" si="2"/>
        <v>0</v>
      </c>
      <c r="M19" s="63">
        <f>M18+L19</f>
        <v>0</v>
      </c>
    </row>
    <row r="20" spans="2:13" x14ac:dyDescent="0.2">
      <c r="B20" s="4">
        <v>4</v>
      </c>
      <c r="C20" s="14">
        <v>45170</v>
      </c>
      <c r="D20" s="47">
        <f>343848-0</f>
        <v>343848</v>
      </c>
      <c r="E20" s="48">
        <v>443222.05</v>
      </c>
      <c r="F20" s="15">
        <f t="shared" si="0"/>
        <v>-99374.049999999988</v>
      </c>
      <c r="G20" s="16">
        <f t="shared" si="1"/>
        <v>168413.00000000012</v>
      </c>
      <c r="I20" s="89">
        <v>45170</v>
      </c>
      <c r="J20" s="61">
        <f>43152+57532</f>
        <v>100684</v>
      </c>
      <c r="K20" s="116">
        <v>100684</v>
      </c>
      <c r="L20" s="63">
        <f t="shared" si="2"/>
        <v>0</v>
      </c>
      <c r="M20" s="63">
        <f t="shared" ref="M20:M23" si="3">M19+L20</f>
        <v>0</v>
      </c>
    </row>
    <row r="21" spans="2:13" x14ac:dyDescent="0.2">
      <c r="B21" s="4">
        <v>5</v>
      </c>
      <c r="C21" s="14">
        <v>45200</v>
      </c>
      <c r="D21" s="47">
        <f>310700-60</f>
        <v>310640</v>
      </c>
      <c r="E21" s="48">
        <v>291747.8</v>
      </c>
      <c r="F21" s="15">
        <f t="shared" si="0"/>
        <v>18892.200000000012</v>
      </c>
      <c r="G21" s="16">
        <f t="shared" si="1"/>
        <v>187305.20000000013</v>
      </c>
      <c r="I21" s="89">
        <v>45200</v>
      </c>
      <c r="J21" s="61">
        <f>43584+63952</f>
        <v>107536</v>
      </c>
      <c r="K21" s="116">
        <v>107536</v>
      </c>
      <c r="L21" s="63">
        <f t="shared" si="2"/>
        <v>0</v>
      </c>
      <c r="M21" s="63">
        <f t="shared" si="3"/>
        <v>0</v>
      </c>
    </row>
    <row r="22" spans="2:13" x14ac:dyDescent="0.2">
      <c r="B22" s="4">
        <v>6</v>
      </c>
      <c r="C22" s="14">
        <v>45231</v>
      </c>
      <c r="D22" s="47">
        <f>475671-73</f>
        <v>475598</v>
      </c>
      <c r="E22" s="48">
        <v>392809.67</v>
      </c>
      <c r="F22" s="15">
        <f t="shared" si="0"/>
        <v>82788.330000000016</v>
      </c>
      <c r="G22" s="16">
        <f t="shared" si="1"/>
        <v>270093.53000000014</v>
      </c>
      <c r="I22" s="89">
        <v>45231</v>
      </c>
      <c r="J22" s="61">
        <f>48262+71664</f>
        <v>119926</v>
      </c>
      <c r="K22" s="74">
        <v>119926</v>
      </c>
      <c r="L22" s="63">
        <f t="shared" si="2"/>
        <v>0</v>
      </c>
      <c r="M22" s="63">
        <f t="shared" si="3"/>
        <v>0</v>
      </c>
    </row>
    <row r="23" spans="2:13" x14ac:dyDescent="0.2">
      <c r="B23" s="4">
        <v>7</v>
      </c>
      <c r="C23" s="14">
        <v>45261</v>
      </c>
      <c r="D23" s="47">
        <f>526323-77</f>
        <v>526246</v>
      </c>
      <c r="E23" s="48">
        <v>481118.17</v>
      </c>
      <c r="F23" s="17">
        <f t="shared" si="0"/>
        <v>45127.830000000016</v>
      </c>
      <c r="G23" s="18">
        <f t="shared" si="1"/>
        <v>315221.36000000016</v>
      </c>
      <c r="I23" s="90">
        <v>45261</v>
      </c>
      <c r="J23" s="66">
        <f>50550+73074</f>
        <v>123624</v>
      </c>
      <c r="K23" s="66">
        <v>123624</v>
      </c>
      <c r="L23" s="64">
        <f t="shared" si="2"/>
        <v>0</v>
      </c>
      <c r="M23" s="64">
        <f t="shared" si="3"/>
        <v>0</v>
      </c>
    </row>
    <row r="24" spans="2:13" x14ac:dyDescent="0.2">
      <c r="B24" s="19" t="s">
        <v>19</v>
      </c>
      <c r="C24" s="12">
        <v>45292</v>
      </c>
      <c r="D24" s="45">
        <f>662038-71</f>
        <v>661967</v>
      </c>
      <c r="E24" s="46">
        <v>640961.35</v>
      </c>
      <c r="F24" s="13">
        <f t="shared" si="0"/>
        <v>21005.650000000023</v>
      </c>
      <c r="G24" s="11">
        <f t="shared" si="1"/>
        <v>336227.01000000018</v>
      </c>
      <c r="I24" s="89">
        <v>45292</v>
      </c>
      <c r="J24" s="65">
        <f>39175+54696</f>
        <v>93871</v>
      </c>
      <c r="K24" s="65">
        <v>93871</v>
      </c>
      <c r="L24" s="63">
        <f t="shared" si="2"/>
        <v>0</v>
      </c>
      <c r="M24" s="63">
        <f>M23+L24</f>
        <v>0</v>
      </c>
    </row>
    <row r="25" spans="2:13" x14ac:dyDescent="0.2">
      <c r="B25" s="91" t="s">
        <v>20</v>
      </c>
      <c r="C25" s="21">
        <v>45323</v>
      </c>
      <c r="D25" s="49">
        <f>466949-71</f>
        <v>466878</v>
      </c>
      <c r="E25" s="50">
        <v>432467.97</v>
      </c>
      <c r="F25" s="17">
        <f t="shared" si="0"/>
        <v>34410.030000000028</v>
      </c>
      <c r="G25" s="18">
        <f t="shared" si="1"/>
        <v>370637.04000000021</v>
      </c>
      <c r="I25" s="90">
        <v>45323</v>
      </c>
      <c r="J25" s="66">
        <f>47317+68481</f>
        <v>115798</v>
      </c>
      <c r="K25" s="73">
        <v>115798</v>
      </c>
      <c r="L25" s="64">
        <f t="shared" si="2"/>
        <v>0</v>
      </c>
      <c r="M25" s="64">
        <f>M24+L25</f>
        <v>0</v>
      </c>
    </row>
    <row r="26" spans="2:13" x14ac:dyDescent="0.2">
      <c r="B26" s="5"/>
      <c r="C26" s="22" t="s">
        <v>95</v>
      </c>
      <c r="D26" s="23"/>
      <c r="E26" s="23"/>
      <c r="F26" s="23"/>
      <c r="G26" s="24"/>
      <c r="I26" s="67"/>
      <c r="J26" s="67"/>
      <c r="K26" s="67"/>
      <c r="L26" s="67"/>
      <c r="M26" s="67"/>
    </row>
    <row r="27" spans="2:13" x14ac:dyDescent="0.2">
      <c r="B27" s="2"/>
      <c r="C27" s="1"/>
      <c r="D27" s="1"/>
      <c r="E27" s="1"/>
      <c r="F27" s="1"/>
      <c r="G27" s="11"/>
      <c r="I27" s="68" t="s">
        <v>51</v>
      </c>
      <c r="J27" s="69"/>
      <c r="K27" s="69"/>
      <c r="L27" s="70"/>
      <c r="M27" s="71">
        <f>M23</f>
        <v>0</v>
      </c>
    </row>
    <row r="28" spans="2:13" x14ac:dyDescent="0.2">
      <c r="B28" s="4"/>
      <c r="C28" s="3"/>
      <c r="D28" s="4" t="s">
        <v>21</v>
      </c>
      <c r="E28" s="4" t="s">
        <v>22</v>
      </c>
      <c r="F28" s="3"/>
      <c r="G28" s="16"/>
      <c r="I28" s="67"/>
      <c r="J28" s="67"/>
      <c r="K28" s="67"/>
      <c r="L28" s="67"/>
      <c r="M28" s="72"/>
    </row>
    <row r="29" spans="2:13" x14ac:dyDescent="0.2">
      <c r="B29" s="4">
        <v>8</v>
      </c>
      <c r="C29" s="3"/>
      <c r="D29" s="4" t="s">
        <v>23</v>
      </c>
      <c r="E29" s="4" t="s">
        <v>24</v>
      </c>
      <c r="F29" s="3"/>
      <c r="G29" s="25" t="s">
        <v>21</v>
      </c>
      <c r="I29" s="68" t="s">
        <v>52</v>
      </c>
      <c r="J29" s="69"/>
      <c r="K29" s="69"/>
      <c r="L29" s="70"/>
      <c r="M29" s="71">
        <f>M27/6</f>
        <v>0</v>
      </c>
    </row>
    <row r="30" spans="2:13" x14ac:dyDescent="0.2">
      <c r="B30" s="4"/>
      <c r="C30" s="3"/>
      <c r="D30" s="4" t="s">
        <v>25</v>
      </c>
      <c r="E30" s="4" t="s">
        <v>26</v>
      </c>
      <c r="F30" s="3"/>
      <c r="G30" s="25" t="s">
        <v>27</v>
      </c>
    </row>
    <row r="31" spans="2:13" x14ac:dyDescent="0.2">
      <c r="B31" s="4"/>
      <c r="C31" s="3"/>
      <c r="D31" s="4" t="s">
        <v>28</v>
      </c>
      <c r="E31" s="4" t="s">
        <v>29</v>
      </c>
      <c r="F31" s="3"/>
      <c r="G31" s="25" t="s">
        <v>30</v>
      </c>
    </row>
    <row r="32" spans="2:13" x14ac:dyDescent="0.2">
      <c r="B32" s="5"/>
      <c r="C32" s="3"/>
      <c r="D32" s="4" t="s">
        <v>31</v>
      </c>
      <c r="E32" s="4" t="s">
        <v>32</v>
      </c>
      <c r="F32" s="3"/>
      <c r="G32" s="25" t="s">
        <v>33</v>
      </c>
    </row>
    <row r="33" spans="2:7" x14ac:dyDescent="0.2">
      <c r="B33" s="19" t="s">
        <v>34</v>
      </c>
      <c r="C33" s="123" t="s">
        <v>96</v>
      </c>
      <c r="D33" s="124">
        <f>-G13</f>
        <v>-11503</v>
      </c>
      <c r="E33" s="124">
        <f>D66</f>
        <v>0</v>
      </c>
      <c r="F33" s="38"/>
      <c r="G33" s="125">
        <f t="shared" ref="G33:G36" si="4">D33+E33</f>
        <v>-11503</v>
      </c>
    </row>
    <row r="34" spans="2:7" x14ac:dyDescent="0.2">
      <c r="B34" s="26" t="s">
        <v>35</v>
      </c>
      <c r="C34" s="126" t="s">
        <v>84</v>
      </c>
      <c r="D34" s="32">
        <f>-G14</f>
        <v>71053.040000000008</v>
      </c>
      <c r="E34" s="32">
        <v>0</v>
      </c>
      <c r="G34" s="39">
        <f t="shared" si="4"/>
        <v>71053.040000000008</v>
      </c>
    </row>
    <row r="35" spans="2:7" x14ac:dyDescent="0.2">
      <c r="B35" s="26" t="s">
        <v>85</v>
      </c>
      <c r="C35" s="126" t="s">
        <v>90</v>
      </c>
      <c r="D35" s="32">
        <f>-G15</f>
        <v>-411868.44000000006</v>
      </c>
      <c r="E35" s="32">
        <v>0</v>
      </c>
      <c r="G35" s="39">
        <f t="shared" si="4"/>
        <v>-411868.44000000006</v>
      </c>
    </row>
    <row r="36" spans="2:7" x14ac:dyDescent="0.2">
      <c r="B36" s="26" t="s">
        <v>91</v>
      </c>
      <c r="C36" s="127" t="s">
        <v>97</v>
      </c>
      <c r="D36" s="128">
        <f>-G16</f>
        <v>32967.619999999937</v>
      </c>
      <c r="E36" s="128">
        <v>0</v>
      </c>
      <c r="F36" s="42"/>
      <c r="G36" s="40">
        <f t="shared" si="4"/>
        <v>32967.619999999937</v>
      </c>
    </row>
    <row r="37" spans="2:7" x14ac:dyDescent="0.2">
      <c r="B37" s="5" t="s">
        <v>98</v>
      </c>
      <c r="C37" s="28"/>
      <c r="D37" s="29"/>
      <c r="E37" s="29"/>
      <c r="F37" s="30" t="s">
        <v>36</v>
      </c>
      <c r="G37" s="18">
        <f>G33+G34+G35+G36</f>
        <v>-319350.78000000009</v>
      </c>
    </row>
    <row r="38" spans="2:7" x14ac:dyDescent="0.2">
      <c r="B38" s="31"/>
      <c r="G38" s="32"/>
    </row>
    <row r="39" spans="2:7" x14ac:dyDescent="0.2">
      <c r="B39" s="6">
        <v>9</v>
      </c>
      <c r="C39" s="33" t="s">
        <v>99</v>
      </c>
      <c r="D39" s="8"/>
      <c r="E39" s="8"/>
      <c r="F39" s="9"/>
      <c r="G39" s="34">
        <f>G23+G37</f>
        <v>-4129.4199999999255</v>
      </c>
    </row>
    <row r="40" spans="2:7" x14ac:dyDescent="0.2">
      <c r="B40" s="31"/>
      <c r="G40" s="32"/>
    </row>
    <row r="41" spans="2:7" x14ac:dyDescent="0.2">
      <c r="B41" s="6">
        <v>10</v>
      </c>
      <c r="C41" s="33" t="s">
        <v>79</v>
      </c>
      <c r="D41" s="8"/>
      <c r="E41" s="8"/>
      <c r="F41" s="9"/>
      <c r="G41" s="34">
        <f>G39/6</f>
        <v>-688.23666666665429</v>
      </c>
    </row>
    <row r="43" spans="2:7" x14ac:dyDescent="0.2">
      <c r="B43" s="1"/>
      <c r="C43" s="35" t="s">
        <v>37</v>
      </c>
      <c r="D43" s="36"/>
      <c r="E43" s="36"/>
      <c r="F43" s="36"/>
      <c r="G43" s="37"/>
    </row>
    <row r="44" spans="2:7" x14ac:dyDescent="0.2">
      <c r="B44" s="1"/>
      <c r="C44" s="38"/>
      <c r="D44" s="38"/>
      <c r="E44" s="38"/>
      <c r="F44" s="38"/>
      <c r="G44" s="10"/>
    </row>
    <row r="45" spans="2:7" x14ac:dyDescent="0.2">
      <c r="B45" s="4">
        <v>11</v>
      </c>
      <c r="C45" t="s">
        <v>38</v>
      </c>
      <c r="G45" s="39">
        <f>G17</f>
        <v>319350.78000000009</v>
      </c>
    </row>
    <row r="46" spans="2:7" x14ac:dyDescent="0.2">
      <c r="B46" s="4">
        <v>12</v>
      </c>
      <c r="C46" t="s">
        <v>39</v>
      </c>
      <c r="G46" s="40">
        <f>G37</f>
        <v>-319350.78000000009</v>
      </c>
    </row>
    <row r="47" spans="2:7" x14ac:dyDescent="0.2">
      <c r="B47" s="4"/>
      <c r="G47" s="39"/>
    </row>
    <row r="48" spans="2:7" ht="15" thickBot="1" x14ac:dyDescent="0.25">
      <c r="B48" s="4">
        <v>13</v>
      </c>
      <c r="C48" t="s">
        <v>40</v>
      </c>
      <c r="G48" s="41">
        <f>G45+G46</f>
        <v>0</v>
      </c>
    </row>
    <row r="49" spans="2:7" ht="15" thickTop="1" x14ac:dyDescent="0.2">
      <c r="B49" s="4"/>
      <c r="G49" s="39"/>
    </row>
    <row r="50" spans="2:7" x14ac:dyDescent="0.2">
      <c r="B50" s="4">
        <v>14</v>
      </c>
      <c r="C50" t="s">
        <v>41</v>
      </c>
      <c r="G50" s="39">
        <f>G39</f>
        <v>-4129.4199999999255</v>
      </c>
    </row>
    <row r="51" spans="2:7" x14ac:dyDescent="0.2">
      <c r="B51" s="4"/>
      <c r="G51" s="39"/>
    </row>
    <row r="52" spans="2:7" x14ac:dyDescent="0.2">
      <c r="B52" s="4">
        <v>15</v>
      </c>
      <c r="C52" t="s">
        <v>42</v>
      </c>
      <c r="G52" s="40">
        <f>SUM(F18:F23)</f>
        <v>-4129.4199999999255</v>
      </c>
    </row>
    <row r="53" spans="2:7" x14ac:dyDescent="0.2">
      <c r="B53" s="4"/>
      <c r="G53" s="39"/>
    </row>
    <row r="54" spans="2:7" ht="15" thickBot="1" x14ac:dyDescent="0.25">
      <c r="B54" s="4">
        <v>16</v>
      </c>
      <c r="C54" t="s">
        <v>43</v>
      </c>
      <c r="G54" s="41">
        <f>G50-G52</f>
        <v>0</v>
      </c>
    </row>
    <row r="55" spans="2:7" ht="15" thickTop="1" x14ac:dyDescent="0.2">
      <c r="B55" s="27"/>
      <c r="C55" s="42"/>
      <c r="D55" s="42"/>
      <c r="E55" s="42"/>
      <c r="F55" s="42"/>
      <c r="G55" s="43"/>
    </row>
    <row r="57" spans="2:7" x14ac:dyDescent="0.2">
      <c r="B57" t="s">
        <v>44</v>
      </c>
    </row>
    <row r="58" spans="2:7" x14ac:dyDescent="0.2">
      <c r="B58" s="31"/>
      <c r="C58" s="1"/>
      <c r="D58" s="2" t="s">
        <v>45</v>
      </c>
      <c r="E58" s="26"/>
      <c r="F58" s="31"/>
      <c r="G58" s="31"/>
    </row>
    <row r="59" spans="2:7" x14ac:dyDescent="0.2">
      <c r="B59" s="31"/>
      <c r="C59" s="5" t="s">
        <v>10</v>
      </c>
      <c r="D59" s="5" t="s">
        <v>80</v>
      </c>
      <c r="E59" s="26"/>
      <c r="F59" s="31"/>
      <c r="G59" s="31"/>
    </row>
    <row r="60" spans="2:7" x14ac:dyDescent="0.2">
      <c r="C60" s="12">
        <v>45108</v>
      </c>
      <c r="D60" s="11">
        <v>0</v>
      </c>
      <c r="E60" s="15"/>
      <c r="F60" s="32"/>
      <c r="G60" s="32"/>
    </row>
    <row r="61" spans="2:7" x14ac:dyDescent="0.2">
      <c r="C61" s="14">
        <v>45139</v>
      </c>
      <c r="D61" s="16">
        <v>0</v>
      </c>
      <c r="E61" s="15"/>
      <c r="F61" s="32"/>
      <c r="G61" s="32"/>
    </row>
    <row r="62" spans="2:7" x14ac:dyDescent="0.2">
      <c r="C62" s="14">
        <v>45170</v>
      </c>
      <c r="D62" s="16">
        <v>0</v>
      </c>
      <c r="E62" s="15"/>
      <c r="F62" s="32"/>
      <c r="G62" s="32"/>
    </row>
    <row r="63" spans="2:7" x14ac:dyDescent="0.2">
      <c r="C63" s="14">
        <v>45200</v>
      </c>
      <c r="D63" s="16">
        <v>0</v>
      </c>
      <c r="E63" s="15"/>
      <c r="F63" s="32"/>
      <c r="G63" s="32"/>
    </row>
    <row r="64" spans="2:7" x14ac:dyDescent="0.2">
      <c r="C64" s="14">
        <v>45231</v>
      </c>
      <c r="D64" s="16">
        <v>0</v>
      </c>
      <c r="E64" s="15"/>
      <c r="F64" s="32"/>
      <c r="G64" s="32"/>
    </row>
    <row r="65" spans="3:7" x14ac:dyDescent="0.2">
      <c r="C65" s="14">
        <v>45261</v>
      </c>
      <c r="D65" s="18">
        <v>0</v>
      </c>
      <c r="E65" s="15"/>
      <c r="F65" s="32"/>
      <c r="G65" s="32"/>
    </row>
    <row r="66" spans="3:7" x14ac:dyDescent="0.2">
      <c r="C66" s="44" t="s">
        <v>46</v>
      </c>
      <c r="D66" s="34">
        <f>SUM(D60:D65)</f>
        <v>0</v>
      </c>
      <c r="E66" s="15"/>
      <c r="F66" s="32"/>
      <c r="G66" s="32"/>
    </row>
  </sheetData>
  <mergeCells count="3">
    <mergeCell ref="B4:G5"/>
    <mergeCell ref="I4:M5"/>
    <mergeCell ref="C12:G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1325F-A159-4AB4-9675-B48215B98776}">
  <dimension ref="A1:M68"/>
  <sheetViews>
    <sheetView workbookViewId="0">
      <selection activeCell="A11" sqref="A11"/>
    </sheetView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25" customWidth="1"/>
    <col min="7" max="7" width="17.625" customWidth="1"/>
    <col min="10" max="11" width="14.625" bestFit="1" customWidth="1"/>
    <col min="12" max="13" width="13.75" bestFit="1" customWidth="1"/>
  </cols>
  <sheetData>
    <row r="1" spans="1:13" x14ac:dyDescent="0.2">
      <c r="A1" t="str">
        <f>'Current 05-31-25'!$A$1</f>
        <v>Staff DR1 Response 2 - Cumberland Valley Surcharge Summary.xlsx</v>
      </c>
    </row>
    <row r="4" spans="1:13" ht="14.25" customHeight="1" x14ac:dyDescent="0.2">
      <c r="B4" s="92" t="s">
        <v>48</v>
      </c>
      <c r="C4" s="93"/>
      <c r="D4" s="93"/>
      <c r="E4" s="93"/>
      <c r="F4" s="93"/>
      <c r="G4" s="94"/>
      <c r="I4" s="98" t="s">
        <v>49</v>
      </c>
      <c r="J4" s="99"/>
      <c r="K4" s="99"/>
      <c r="L4" s="99"/>
      <c r="M4" s="100"/>
    </row>
    <row r="5" spans="1:13" x14ac:dyDescent="0.2">
      <c r="B5" s="95"/>
      <c r="C5" s="96"/>
      <c r="D5" s="96"/>
      <c r="E5" s="96"/>
      <c r="F5" s="96"/>
      <c r="G5" s="97"/>
      <c r="I5" s="101"/>
      <c r="J5" s="102"/>
      <c r="K5" s="102"/>
      <c r="L5" s="102"/>
      <c r="M5" s="103"/>
    </row>
    <row r="6" spans="1:13" ht="15" x14ac:dyDescent="0.2">
      <c r="I6" s="52"/>
      <c r="J6" s="52"/>
      <c r="K6" s="52"/>
      <c r="L6" s="52"/>
      <c r="M6" s="52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x14ac:dyDescent="0.2">
      <c r="B8" s="3"/>
      <c r="C8" s="3"/>
      <c r="D8" s="4" t="s">
        <v>1</v>
      </c>
      <c r="E8" s="4" t="s">
        <v>2</v>
      </c>
      <c r="F8" s="3"/>
      <c r="G8" s="3"/>
    </row>
    <row r="9" spans="1:13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13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13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13" ht="15.75" x14ac:dyDescent="0.25">
      <c r="B12" s="2">
        <v>1</v>
      </c>
      <c r="C12" s="104" t="s">
        <v>15</v>
      </c>
      <c r="D12" s="105"/>
      <c r="E12" s="105"/>
      <c r="F12" s="105"/>
      <c r="G12" s="106"/>
      <c r="I12" s="53" t="s">
        <v>53</v>
      </c>
      <c r="J12" s="52"/>
      <c r="K12" s="52"/>
      <c r="L12" s="52"/>
      <c r="M12" s="52"/>
    </row>
    <row r="13" spans="1:13" ht="15" x14ac:dyDescent="0.2">
      <c r="B13" s="2" t="s">
        <v>16</v>
      </c>
      <c r="C13" s="8" t="s">
        <v>76</v>
      </c>
      <c r="D13" s="8"/>
      <c r="E13" s="8"/>
      <c r="F13" s="9"/>
      <c r="G13" s="34">
        <v>11503</v>
      </c>
      <c r="I13" s="52"/>
      <c r="J13" s="52"/>
      <c r="K13" s="52"/>
      <c r="L13" s="52"/>
      <c r="M13" s="52"/>
    </row>
    <row r="14" spans="1:13" x14ac:dyDescent="0.2">
      <c r="B14" s="4" t="s">
        <v>17</v>
      </c>
      <c r="C14" s="8" t="s">
        <v>81</v>
      </c>
      <c r="D14" s="8"/>
      <c r="E14" s="8"/>
      <c r="F14" s="9"/>
      <c r="G14" s="120">
        <f>'A - 05-31-22'!G33</f>
        <v>-71053.040000000008</v>
      </c>
      <c r="I14" s="54"/>
      <c r="J14" s="54"/>
      <c r="K14" s="55" t="s">
        <v>0</v>
      </c>
      <c r="L14" s="54"/>
      <c r="M14" s="54"/>
    </row>
    <row r="15" spans="1:13" x14ac:dyDescent="0.2">
      <c r="B15" s="4" t="s">
        <v>82</v>
      </c>
      <c r="C15" s="8" t="s">
        <v>87</v>
      </c>
      <c r="D15" s="8"/>
      <c r="E15" s="8"/>
      <c r="F15" s="9"/>
      <c r="G15" s="120">
        <f>'B - 11-30-22'!G35</f>
        <v>411868.44000000006</v>
      </c>
      <c r="I15" s="56"/>
      <c r="J15" s="57" t="s">
        <v>1</v>
      </c>
      <c r="K15" s="57" t="s">
        <v>2</v>
      </c>
      <c r="L15" s="56"/>
      <c r="M15" s="56"/>
    </row>
    <row r="16" spans="1:13" x14ac:dyDescent="0.2">
      <c r="B16" s="4" t="s">
        <v>88</v>
      </c>
      <c r="C16" s="8" t="s">
        <v>93</v>
      </c>
      <c r="D16" s="8"/>
      <c r="E16" s="8"/>
      <c r="F16" s="10"/>
      <c r="G16" s="45">
        <f>'C - 05-31-23'!G37</f>
        <v>-32967.619999999937</v>
      </c>
      <c r="I16" s="56"/>
      <c r="J16" s="57" t="s">
        <v>3</v>
      </c>
      <c r="K16" s="57" t="s">
        <v>4</v>
      </c>
      <c r="L16" s="57" t="s">
        <v>5</v>
      </c>
      <c r="M16" s="57" t="s">
        <v>6</v>
      </c>
    </row>
    <row r="17" spans="2:13" x14ac:dyDescent="0.2">
      <c r="B17" s="4" t="s">
        <v>94</v>
      </c>
      <c r="C17" s="8" t="s">
        <v>100</v>
      </c>
      <c r="D17" s="8"/>
      <c r="E17" s="8"/>
      <c r="F17" s="10"/>
      <c r="G17" s="45">
        <f>'D - 11-30-23'!G39</f>
        <v>-4129.4199999999255</v>
      </c>
      <c r="I17" s="58"/>
      <c r="J17" s="58" t="s">
        <v>7</v>
      </c>
      <c r="K17" s="58" t="s">
        <v>7</v>
      </c>
      <c r="L17" s="58" t="s">
        <v>8</v>
      </c>
      <c r="M17" s="58" t="s">
        <v>8</v>
      </c>
    </row>
    <row r="18" spans="2:13" x14ac:dyDescent="0.2">
      <c r="B18" s="5" t="s">
        <v>101</v>
      </c>
      <c r="C18" s="8" t="s">
        <v>18</v>
      </c>
      <c r="D18" s="8"/>
      <c r="E18" s="8"/>
      <c r="F18" s="10"/>
      <c r="G18" s="11">
        <f>G13+G14+G15+G16+G17</f>
        <v>315221.36000000016</v>
      </c>
      <c r="I18" s="59" t="s">
        <v>10</v>
      </c>
      <c r="J18" s="60" t="s">
        <v>50</v>
      </c>
      <c r="K18" s="60" t="s">
        <v>11</v>
      </c>
      <c r="L18" s="60" t="s">
        <v>12</v>
      </c>
      <c r="M18" s="60" t="s">
        <v>13</v>
      </c>
    </row>
    <row r="19" spans="2:13" x14ac:dyDescent="0.2">
      <c r="B19" s="4">
        <v>2</v>
      </c>
      <c r="C19" s="12">
        <v>45292</v>
      </c>
      <c r="D19" s="45">
        <f>662038-71</f>
        <v>661967</v>
      </c>
      <c r="E19" s="46">
        <v>640961.35</v>
      </c>
      <c r="F19" s="13">
        <f t="shared" ref="F19:F26" si="0">D19-E19</f>
        <v>21005.650000000023</v>
      </c>
      <c r="G19" s="11">
        <f t="shared" ref="G19:G26" si="1">G18+F19</f>
        <v>336227.01000000018</v>
      </c>
      <c r="I19" s="12">
        <v>45292</v>
      </c>
      <c r="J19" s="61">
        <f>39175+54696</f>
        <v>93871</v>
      </c>
      <c r="K19" s="113">
        <v>93871</v>
      </c>
      <c r="L19" s="62">
        <f t="shared" ref="L19:L26" si="2">J19-K19</f>
        <v>0</v>
      </c>
      <c r="M19" s="63">
        <f>L19</f>
        <v>0</v>
      </c>
    </row>
    <row r="20" spans="2:13" x14ac:dyDescent="0.2">
      <c r="B20" s="4">
        <v>3</v>
      </c>
      <c r="C20" s="14">
        <v>45323</v>
      </c>
      <c r="D20" s="47">
        <f>466949-71</f>
        <v>466878</v>
      </c>
      <c r="E20" s="48">
        <v>432467.97</v>
      </c>
      <c r="F20" s="15">
        <f t="shared" si="0"/>
        <v>34410.030000000028</v>
      </c>
      <c r="G20" s="16">
        <f t="shared" si="1"/>
        <v>370637.04000000021</v>
      </c>
      <c r="I20" s="14">
        <v>45323</v>
      </c>
      <c r="J20" s="61">
        <f>47317+68481</f>
        <v>115798</v>
      </c>
      <c r="K20" s="121">
        <v>115798</v>
      </c>
      <c r="L20" s="63">
        <f t="shared" si="2"/>
        <v>0</v>
      </c>
      <c r="M20" s="63">
        <f>M19+L20</f>
        <v>0</v>
      </c>
    </row>
    <row r="21" spans="2:13" x14ac:dyDescent="0.2">
      <c r="B21" s="4">
        <v>4</v>
      </c>
      <c r="C21" s="14">
        <v>45352</v>
      </c>
      <c r="D21" s="47">
        <f>275918-50</f>
        <v>275868</v>
      </c>
      <c r="E21" s="48">
        <v>378059.7</v>
      </c>
      <c r="F21" s="15">
        <f t="shared" si="0"/>
        <v>-102191.70000000001</v>
      </c>
      <c r="G21" s="16">
        <f t="shared" si="1"/>
        <v>268445.3400000002</v>
      </c>
      <c r="I21" s="14">
        <v>45352</v>
      </c>
      <c r="J21" s="61">
        <f>31219+47808</f>
        <v>79027</v>
      </c>
      <c r="K21" s="116">
        <v>79027</v>
      </c>
      <c r="L21" s="63">
        <f t="shared" si="2"/>
        <v>0</v>
      </c>
      <c r="M21" s="63">
        <f t="shared" ref="M21:M24" si="3">M20+L21</f>
        <v>0</v>
      </c>
    </row>
    <row r="22" spans="2:13" x14ac:dyDescent="0.2">
      <c r="B22" s="4">
        <v>5</v>
      </c>
      <c r="C22" s="14">
        <v>45383</v>
      </c>
      <c r="D22" s="47">
        <f>280009-69</f>
        <v>279940</v>
      </c>
      <c r="E22" s="48">
        <v>199726.02</v>
      </c>
      <c r="F22" s="15">
        <f t="shared" si="0"/>
        <v>80213.98000000001</v>
      </c>
      <c r="G22" s="16">
        <f t="shared" si="1"/>
        <v>348659.32000000018</v>
      </c>
      <c r="I22" s="14">
        <v>45383</v>
      </c>
      <c r="J22" s="61">
        <f>37346+53574</f>
        <v>90920</v>
      </c>
      <c r="K22" s="116">
        <v>90920</v>
      </c>
      <c r="L22" s="63">
        <f t="shared" si="2"/>
        <v>0</v>
      </c>
      <c r="M22" s="63">
        <f t="shared" si="3"/>
        <v>0</v>
      </c>
    </row>
    <row r="23" spans="2:13" x14ac:dyDescent="0.2">
      <c r="B23" s="4">
        <v>6</v>
      </c>
      <c r="C23" s="14">
        <v>45413</v>
      </c>
      <c r="D23" s="47">
        <f>375495-84</f>
        <v>375411</v>
      </c>
      <c r="E23" s="48">
        <v>325603.65999999997</v>
      </c>
      <c r="F23" s="15">
        <f t="shared" si="0"/>
        <v>49807.340000000026</v>
      </c>
      <c r="G23" s="16">
        <f t="shared" si="1"/>
        <v>398466.66000000021</v>
      </c>
      <c r="I23" s="14">
        <v>45413</v>
      </c>
      <c r="J23" s="61">
        <f>51717+74885</f>
        <v>126602</v>
      </c>
      <c r="K23" s="74">
        <v>126602</v>
      </c>
      <c r="L23" s="63">
        <f t="shared" si="2"/>
        <v>0</v>
      </c>
      <c r="M23" s="63">
        <f t="shared" si="3"/>
        <v>0</v>
      </c>
    </row>
    <row r="24" spans="2:13" x14ac:dyDescent="0.2">
      <c r="B24" s="4">
        <v>7</v>
      </c>
      <c r="C24" s="14">
        <v>45444</v>
      </c>
      <c r="D24" s="47">
        <f>551566-103</f>
        <v>551463</v>
      </c>
      <c r="E24" s="48">
        <v>452110.66</v>
      </c>
      <c r="F24" s="17">
        <f t="shared" si="0"/>
        <v>99352.340000000026</v>
      </c>
      <c r="G24" s="18">
        <f t="shared" si="1"/>
        <v>497819.00000000023</v>
      </c>
      <c r="I24" s="21">
        <v>45444</v>
      </c>
      <c r="J24" s="66">
        <f>56230+78401</f>
        <v>134631</v>
      </c>
      <c r="K24" s="66">
        <v>134631</v>
      </c>
      <c r="L24" s="64">
        <f t="shared" si="2"/>
        <v>0</v>
      </c>
      <c r="M24" s="64">
        <f t="shared" si="3"/>
        <v>0</v>
      </c>
    </row>
    <row r="25" spans="2:13" x14ac:dyDescent="0.2">
      <c r="B25" s="19" t="s">
        <v>19</v>
      </c>
      <c r="C25" s="12">
        <v>45474</v>
      </c>
      <c r="D25" s="45">
        <f>534061-0</f>
        <v>534061</v>
      </c>
      <c r="E25" s="46">
        <v>629156.99</v>
      </c>
      <c r="F25" s="13">
        <f t="shared" si="0"/>
        <v>-95095.989999999991</v>
      </c>
      <c r="G25" s="11">
        <f t="shared" si="1"/>
        <v>402723.01000000024</v>
      </c>
      <c r="I25" s="89">
        <v>45474</v>
      </c>
      <c r="J25" s="65">
        <f>48185+68415</f>
        <v>116600</v>
      </c>
      <c r="K25" s="65">
        <v>116600</v>
      </c>
      <c r="L25" s="63">
        <f t="shared" si="2"/>
        <v>0</v>
      </c>
      <c r="M25" s="63">
        <f>M24+L25</f>
        <v>0</v>
      </c>
    </row>
    <row r="26" spans="2:13" x14ac:dyDescent="0.2">
      <c r="B26" s="91" t="s">
        <v>20</v>
      </c>
      <c r="C26" s="21">
        <v>45505</v>
      </c>
      <c r="D26" s="49">
        <f>454988-0</f>
        <v>454988</v>
      </c>
      <c r="E26" s="50">
        <v>505855.91</v>
      </c>
      <c r="F26" s="17">
        <f t="shared" si="0"/>
        <v>-50867.909999999974</v>
      </c>
      <c r="G26" s="18">
        <f t="shared" si="1"/>
        <v>351855.10000000027</v>
      </c>
      <c r="I26" s="90">
        <v>45505</v>
      </c>
      <c r="J26" s="66">
        <f>42409+60769</f>
        <v>103178</v>
      </c>
      <c r="K26" s="73">
        <v>103178</v>
      </c>
      <c r="L26" s="64">
        <f t="shared" si="2"/>
        <v>0</v>
      </c>
      <c r="M26" s="64">
        <f>M25+L26</f>
        <v>0</v>
      </c>
    </row>
    <row r="27" spans="2:13" x14ac:dyDescent="0.2">
      <c r="B27" s="5"/>
      <c r="C27" s="22" t="s">
        <v>102</v>
      </c>
      <c r="D27" s="23"/>
      <c r="E27" s="23"/>
      <c r="F27" s="23"/>
      <c r="G27" s="24"/>
      <c r="I27" s="67"/>
      <c r="J27" s="67"/>
      <c r="K27" s="67"/>
      <c r="L27" s="67"/>
      <c r="M27" s="67"/>
    </row>
    <row r="28" spans="2:13" x14ac:dyDescent="0.2">
      <c r="B28" s="2"/>
      <c r="C28" s="1"/>
      <c r="D28" s="1"/>
      <c r="E28" s="1"/>
      <c r="F28" s="1"/>
      <c r="G28" s="11"/>
      <c r="I28" s="68" t="s">
        <v>51</v>
      </c>
      <c r="J28" s="69"/>
      <c r="K28" s="69"/>
      <c r="L28" s="70"/>
      <c r="M28" s="71">
        <f>M24</f>
        <v>0</v>
      </c>
    </row>
    <row r="29" spans="2:13" x14ac:dyDescent="0.2">
      <c r="B29" s="4"/>
      <c r="C29" s="3"/>
      <c r="D29" s="4" t="s">
        <v>21</v>
      </c>
      <c r="E29" s="4" t="s">
        <v>22</v>
      </c>
      <c r="F29" s="3"/>
      <c r="G29" s="16"/>
      <c r="I29" s="67"/>
      <c r="J29" s="67"/>
      <c r="K29" s="67"/>
      <c r="L29" s="67"/>
      <c r="M29" s="72"/>
    </row>
    <row r="30" spans="2:13" x14ac:dyDescent="0.2">
      <c r="B30" s="4">
        <v>8</v>
      </c>
      <c r="C30" s="3"/>
      <c r="D30" s="4" t="s">
        <v>23</v>
      </c>
      <c r="E30" s="4" t="s">
        <v>24</v>
      </c>
      <c r="F30" s="3"/>
      <c r="G30" s="25" t="s">
        <v>21</v>
      </c>
      <c r="I30" s="68" t="s">
        <v>52</v>
      </c>
      <c r="J30" s="69"/>
      <c r="K30" s="69"/>
      <c r="L30" s="70"/>
      <c r="M30" s="71">
        <f>M28/6</f>
        <v>0</v>
      </c>
    </row>
    <row r="31" spans="2:13" x14ac:dyDescent="0.2">
      <c r="B31" s="4"/>
      <c r="C31" s="3"/>
      <c r="D31" s="4" t="s">
        <v>25</v>
      </c>
      <c r="E31" s="4" t="s">
        <v>26</v>
      </c>
      <c r="F31" s="3"/>
      <c r="G31" s="25" t="s">
        <v>27</v>
      </c>
    </row>
    <row r="32" spans="2:13" x14ac:dyDescent="0.2">
      <c r="B32" s="4"/>
      <c r="C32" s="3"/>
      <c r="D32" s="4" t="s">
        <v>28</v>
      </c>
      <c r="E32" s="4" t="s">
        <v>29</v>
      </c>
      <c r="F32" s="3"/>
      <c r="G32" s="25" t="s">
        <v>30</v>
      </c>
    </row>
    <row r="33" spans="2:7" x14ac:dyDescent="0.2">
      <c r="B33" s="5"/>
      <c r="C33" s="3"/>
      <c r="D33" s="4" t="s">
        <v>31</v>
      </c>
      <c r="E33" s="4" t="s">
        <v>32</v>
      </c>
      <c r="F33" s="3"/>
      <c r="G33" s="25" t="s">
        <v>33</v>
      </c>
    </row>
    <row r="34" spans="2:7" x14ac:dyDescent="0.2">
      <c r="B34" s="19" t="s">
        <v>34</v>
      </c>
      <c r="C34" s="1" t="s">
        <v>96</v>
      </c>
      <c r="D34" s="11">
        <f>-G13</f>
        <v>-11503</v>
      </c>
      <c r="E34" s="11">
        <f>D68</f>
        <v>7668</v>
      </c>
      <c r="F34" s="1"/>
      <c r="G34" s="11">
        <f t="shared" ref="G34:G38" si="4">D34+E34</f>
        <v>-3835</v>
      </c>
    </row>
    <row r="35" spans="2:7" x14ac:dyDescent="0.2">
      <c r="B35" s="26" t="s">
        <v>35</v>
      </c>
      <c r="C35" s="3" t="s">
        <v>84</v>
      </c>
      <c r="D35" s="16">
        <f>-G14</f>
        <v>71053.040000000008</v>
      </c>
      <c r="E35" s="16">
        <v>0</v>
      </c>
      <c r="F35" s="3"/>
      <c r="G35" s="16">
        <f t="shared" si="4"/>
        <v>71053.040000000008</v>
      </c>
    </row>
    <row r="36" spans="2:7" x14ac:dyDescent="0.2">
      <c r="B36" s="26" t="s">
        <v>85</v>
      </c>
      <c r="C36" s="3" t="s">
        <v>90</v>
      </c>
      <c r="D36" s="16">
        <f>-G15</f>
        <v>-411868.44000000006</v>
      </c>
      <c r="E36" s="16">
        <v>0</v>
      </c>
      <c r="F36" s="3"/>
      <c r="G36" s="16">
        <f t="shared" si="4"/>
        <v>-411868.44000000006</v>
      </c>
    </row>
    <row r="37" spans="2:7" x14ac:dyDescent="0.2">
      <c r="B37" s="26" t="s">
        <v>91</v>
      </c>
      <c r="C37" s="3" t="s">
        <v>97</v>
      </c>
      <c r="D37" s="16">
        <f>-G16</f>
        <v>32967.619999999937</v>
      </c>
      <c r="E37" s="16">
        <v>0</v>
      </c>
      <c r="F37" s="3"/>
      <c r="G37" s="16">
        <f t="shared" si="4"/>
        <v>32967.619999999937</v>
      </c>
    </row>
    <row r="38" spans="2:7" x14ac:dyDescent="0.2">
      <c r="B38" s="26" t="s">
        <v>98</v>
      </c>
      <c r="C38" s="27" t="s">
        <v>103</v>
      </c>
      <c r="D38" s="18">
        <f>-G17</f>
        <v>4129.4199999999255</v>
      </c>
      <c r="E38" s="18">
        <v>0</v>
      </c>
      <c r="F38" s="27"/>
      <c r="G38" s="18">
        <f t="shared" si="4"/>
        <v>4129.4199999999255</v>
      </c>
    </row>
    <row r="39" spans="2:7" x14ac:dyDescent="0.2">
      <c r="B39" s="5" t="s">
        <v>104</v>
      </c>
      <c r="C39" s="28"/>
      <c r="D39" s="29"/>
      <c r="E39" s="29"/>
      <c r="F39" s="30" t="s">
        <v>36</v>
      </c>
      <c r="G39" s="18">
        <f>G34+G35+G36+G37+G38</f>
        <v>-307553.36000000016</v>
      </c>
    </row>
    <row r="40" spans="2:7" x14ac:dyDescent="0.2">
      <c r="B40" s="31"/>
      <c r="G40" s="32"/>
    </row>
    <row r="41" spans="2:7" x14ac:dyDescent="0.2">
      <c r="B41" s="6">
        <v>9</v>
      </c>
      <c r="C41" s="33" t="s">
        <v>105</v>
      </c>
      <c r="D41" s="8"/>
      <c r="E41" s="8"/>
      <c r="F41" s="9"/>
      <c r="G41" s="34">
        <f>G24+G39</f>
        <v>190265.64000000007</v>
      </c>
    </row>
    <row r="42" spans="2:7" x14ac:dyDescent="0.2">
      <c r="B42" s="31"/>
      <c r="G42" s="32"/>
    </row>
    <row r="43" spans="2:7" x14ac:dyDescent="0.2">
      <c r="B43" s="6">
        <v>10</v>
      </c>
      <c r="C43" s="33" t="s">
        <v>79</v>
      </c>
      <c r="D43" s="8"/>
      <c r="E43" s="8"/>
      <c r="F43" s="9"/>
      <c r="G43" s="34">
        <f>G41/6</f>
        <v>31710.940000000013</v>
      </c>
    </row>
    <row r="45" spans="2:7" x14ac:dyDescent="0.2">
      <c r="B45" s="1"/>
      <c r="C45" s="35" t="s">
        <v>37</v>
      </c>
      <c r="D45" s="36"/>
      <c r="E45" s="36"/>
      <c r="F45" s="36"/>
      <c r="G45" s="37"/>
    </row>
    <row r="46" spans="2:7" x14ac:dyDescent="0.2">
      <c r="B46" s="1"/>
      <c r="C46" s="38"/>
      <c r="D46" s="38"/>
      <c r="E46" s="38"/>
      <c r="F46" s="38"/>
      <c r="G46" s="10"/>
    </row>
    <row r="47" spans="2:7" x14ac:dyDescent="0.2">
      <c r="B47" s="4">
        <v>11</v>
      </c>
      <c r="C47" t="s">
        <v>38</v>
      </c>
      <c r="G47" s="39">
        <f>G18</f>
        <v>315221.36000000016</v>
      </c>
    </row>
    <row r="48" spans="2:7" x14ac:dyDescent="0.2">
      <c r="B48" s="4">
        <v>12</v>
      </c>
      <c r="C48" t="s">
        <v>39</v>
      </c>
      <c r="G48" s="40">
        <f>G39</f>
        <v>-307553.36000000016</v>
      </c>
    </row>
    <row r="49" spans="2:7" x14ac:dyDescent="0.2">
      <c r="B49" s="4"/>
      <c r="G49" s="39"/>
    </row>
    <row r="50" spans="2:7" ht="15" thickBot="1" x14ac:dyDescent="0.25">
      <c r="B50" s="4">
        <v>13</v>
      </c>
      <c r="C50" t="s">
        <v>40</v>
      </c>
      <c r="G50" s="41">
        <f>G47+G48</f>
        <v>7668</v>
      </c>
    </row>
    <row r="51" spans="2:7" ht="15" thickTop="1" x14ac:dyDescent="0.2">
      <c r="B51" s="4"/>
      <c r="G51" s="39"/>
    </row>
    <row r="52" spans="2:7" x14ac:dyDescent="0.2">
      <c r="B52" s="4">
        <v>14</v>
      </c>
      <c r="C52" t="s">
        <v>41</v>
      </c>
      <c r="G52" s="39">
        <f>G41</f>
        <v>190265.64000000007</v>
      </c>
    </row>
    <row r="53" spans="2:7" x14ac:dyDescent="0.2">
      <c r="B53" s="4"/>
      <c r="G53" s="39"/>
    </row>
    <row r="54" spans="2:7" x14ac:dyDescent="0.2">
      <c r="B54" s="4">
        <v>15</v>
      </c>
      <c r="C54" t="s">
        <v>42</v>
      </c>
      <c r="G54" s="40">
        <f>SUM(F19:F24)</f>
        <v>182597.6400000001</v>
      </c>
    </row>
    <row r="55" spans="2:7" x14ac:dyDescent="0.2">
      <c r="B55" s="4"/>
      <c r="G55" s="39"/>
    </row>
    <row r="56" spans="2:7" ht="15" thickBot="1" x14ac:dyDescent="0.25">
      <c r="B56" s="4">
        <v>16</v>
      </c>
      <c r="C56" t="s">
        <v>43</v>
      </c>
      <c r="G56" s="41">
        <f>G52-G54</f>
        <v>7667.9999999999709</v>
      </c>
    </row>
    <row r="57" spans="2:7" ht="15" thickTop="1" x14ac:dyDescent="0.2">
      <c r="B57" s="27"/>
      <c r="C57" s="42"/>
      <c r="D57" s="42"/>
      <c r="E57" s="42"/>
      <c r="F57" s="42"/>
      <c r="G57" s="43"/>
    </row>
    <row r="59" spans="2:7" x14ac:dyDescent="0.2">
      <c r="B59" t="s">
        <v>44</v>
      </c>
    </row>
    <row r="60" spans="2:7" x14ac:dyDescent="0.2">
      <c r="B60" s="31"/>
      <c r="C60" s="1"/>
      <c r="D60" s="2" t="s">
        <v>45</v>
      </c>
      <c r="E60" s="26"/>
      <c r="F60" s="31"/>
      <c r="G60" s="31"/>
    </row>
    <row r="61" spans="2:7" x14ac:dyDescent="0.2">
      <c r="B61" s="31"/>
      <c r="C61" s="5" t="s">
        <v>10</v>
      </c>
      <c r="D61" s="5" t="s">
        <v>80</v>
      </c>
      <c r="E61" s="26"/>
      <c r="F61" s="31"/>
      <c r="G61" s="31"/>
    </row>
    <row r="62" spans="2:7" x14ac:dyDescent="0.2">
      <c r="C62" s="12">
        <v>45292</v>
      </c>
      <c r="D62" s="11">
        <v>0</v>
      </c>
      <c r="E62" s="15"/>
      <c r="F62" s="32"/>
      <c r="G62" s="32"/>
    </row>
    <row r="63" spans="2:7" x14ac:dyDescent="0.2">
      <c r="C63" s="14">
        <v>45323</v>
      </c>
      <c r="D63" s="16">
        <v>0</v>
      </c>
      <c r="E63" s="15"/>
      <c r="F63" s="32"/>
      <c r="G63" s="32"/>
    </row>
    <row r="64" spans="2:7" x14ac:dyDescent="0.2">
      <c r="C64" s="14">
        <v>45352</v>
      </c>
      <c r="D64" s="16">
        <v>1917</v>
      </c>
      <c r="E64" s="15"/>
      <c r="F64" s="32"/>
      <c r="G64" s="32"/>
    </row>
    <row r="65" spans="3:7" x14ac:dyDescent="0.2">
      <c r="C65" s="14">
        <v>45383</v>
      </c>
      <c r="D65" s="16">
        <v>1917</v>
      </c>
      <c r="E65" s="15"/>
      <c r="F65" s="32"/>
      <c r="G65" s="32"/>
    </row>
    <row r="66" spans="3:7" x14ac:dyDescent="0.2">
      <c r="C66" s="14">
        <v>45413</v>
      </c>
      <c r="D66" s="16">
        <v>1917</v>
      </c>
      <c r="E66" s="15"/>
      <c r="F66" s="32"/>
      <c r="G66" s="32"/>
    </row>
    <row r="67" spans="3:7" x14ac:dyDescent="0.2">
      <c r="C67" s="14">
        <v>45444</v>
      </c>
      <c r="D67" s="18">
        <v>1917</v>
      </c>
      <c r="E67" s="15"/>
      <c r="F67" s="32"/>
      <c r="G67" s="32"/>
    </row>
    <row r="68" spans="3:7" x14ac:dyDescent="0.2">
      <c r="C68" s="44" t="s">
        <v>46</v>
      </c>
      <c r="D68" s="34">
        <f>SUM(D62:D67)</f>
        <v>7668</v>
      </c>
      <c r="E68" s="15"/>
      <c r="F68" s="32"/>
      <c r="G68" s="32"/>
    </row>
  </sheetData>
  <mergeCells count="3">
    <mergeCell ref="B4:G5"/>
    <mergeCell ref="I4:M5"/>
    <mergeCell ref="C12:G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91BF6-312B-4629-BA37-491BC5F05828}">
  <dimension ref="A1:M70"/>
  <sheetViews>
    <sheetView workbookViewId="0">
      <selection activeCell="A11" sqref="A11"/>
    </sheetView>
  </sheetViews>
  <sheetFormatPr defaultColWidth="12.625" defaultRowHeight="14.25" x14ac:dyDescent="0.2"/>
  <cols>
    <col min="2" max="2" width="8.625" customWidth="1"/>
    <col min="3" max="3" width="31.75" customWidth="1"/>
    <col min="4" max="5" width="17.625" customWidth="1"/>
    <col min="6" max="6" width="21.25" customWidth="1"/>
    <col min="7" max="7" width="17.625" customWidth="1"/>
    <col min="10" max="11" width="14.625" bestFit="1" customWidth="1"/>
    <col min="12" max="13" width="13.75" bestFit="1" customWidth="1"/>
  </cols>
  <sheetData>
    <row r="1" spans="1:13" x14ac:dyDescent="0.2">
      <c r="A1" t="str">
        <f>'Current 05-31-25'!$A$1</f>
        <v>Staff DR1 Response 2 - Cumberland Valley Surcharge Summary.xlsx</v>
      </c>
    </row>
    <row r="4" spans="1:13" ht="14.25" customHeight="1" x14ac:dyDescent="0.2">
      <c r="B4" s="92" t="s">
        <v>48</v>
      </c>
      <c r="C4" s="93"/>
      <c r="D4" s="93"/>
      <c r="E4" s="93"/>
      <c r="F4" s="93"/>
      <c r="G4" s="94"/>
      <c r="I4" s="98" t="s">
        <v>49</v>
      </c>
      <c r="J4" s="99"/>
      <c r="K4" s="99"/>
      <c r="L4" s="99"/>
      <c r="M4" s="100"/>
    </row>
    <row r="5" spans="1:13" ht="14.25" customHeight="1" x14ac:dyDescent="0.2">
      <c r="B5" s="95"/>
      <c r="C5" s="96"/>
      <c r="D5" s="96"/>
      <c r="E5" s="96"/>
      <c r="F5" s="96"/>
      <c r="G5" s="97"/>
      <c r="I5" s="101"/>
      <c r="J5" s="102"/>
      <c r="K5" s="102"/>
      <c r="L5" s="102"/>
      <c r="M5" s="103"/>
    </row>
    <row r="6" spans="1:13" ht="15" x14ac:dyDescent="0.2">
      <c r="I6" s="52"/>
      <c r="J6" s="52"/>
      <c r="K6" s="52"/>
      <c r="L6" s="52"/>
      <c r="M6" s="52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x14ac:dyDescent="0.2">
      <c r="B8" s="3"/>
      <c r="C8" s="3"/>
      <c r="D8" s="4" t="s">
        <v>1</v>
      </c>
      <c r="E8" s="4" t="s">
        <v>2</v>
      </c>
      <c r="F8" s="3"/>
      <c r="G8" s="3"/>
    </row>
    <row r="9" spans="1:13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13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13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13" x14ac:dyDescent="0.2">
      <c r="B12" s="2">
        <v>1</v>
      </c>
      <c r="C12" s="104" t="s">
        <v>15</v>
      </c>
      <c r="D12" s="105"/>
      <c r="E12" s="105"/>
      <c r="F12" s="105"/>
      <c r="G12" s="106"/>
    </row>
    <row r="13" spans="1:13" ht="15.75" x14ac:dyDescent="0.25">
      <c r="B13" s="2" t="s">
        <v>16</v>
      </c>
      <c r="C13" s="8" t="s">
        <v>76</v>
      </c>
      <c r="D13" s="8"/>
      <c r="E13" s="8"/>
      <c r="F13" s="9"/>
      <c r="G13" s="34">
        <v>3835</v>
      </c>
      <c r="I13" s="53" t="s">
        <v>53</v>
      </c>
      <c r="J13" s="52"/>
      <c r="K13" s="52"/>
      <c r="L13" s="52"/>
      <c r="M13" s="52"/>
    </row>
    <row r="14" spans="1:13" ht="15" x14ac:dyDescent="0.2">
      <c r="B14" s="4" t="s">
        <v>17</v>
      </c>
      <c r="C14" s="8" t="s">
        <v>81</v>
      </c>
      <c r="D14" s="8"/>
      <c r="E14" s="8"/>
      <c r="F14" s="9"/>
      <c r="G14" s="120">
        <f>'A - 05-31-22'!G33</f>
        <v>-71053.040000000008</v>
      </c>
      <c r="I14" s="52"/>
      <c r="J14" s="52"/>
      <c r="K14" s="52"/>
      <c r="L14" s="52"/>
      <c r="M14" s="52"/>
    </row>
    <row r="15" spans="1:13" x14ac:dyDescent="0.2">
      <c r="B15" s="4" t="s">
        <v>82</v>
      </c>
      <c r="C15" s="8" t="s">
        <v>87</v>
      </c>
      <c r="D15" s="8"/>
      <c r="E15" s="8"/>
      <c r="F15" s="9"/>
      <c r="G15" s="120">
        <f>'B - 11-30-22'!G35</f>
        <v>411868.44000000006</v>
      </c>
      <c r="I15" s="54"/>
      <c r="J15" s="54"/>
      <c r="K15" s="55" t="s">
        <v>0</v>
      </c>
      <c r="L15" s="54"/>
      <c r="M15" s="54"/>
    </row>
    <row r="16" spans="1:13" x14ac:dyDescent="0.2">
      <c r="B16" s="4" t="s">
        <v>88</v>
      </c>
      <c r="C16" s="8" t="s">
        <v>93</v>
      </c>
      <c r="D16" s="8"/>
      <c r="E16" s="8"/>
      <c r="F16" s="10"/>
      <c r="G16" s="45">
        <f>'C - 05-31-23'!G37</f>
        <v>-32967.619999999937</v>
      </c>
      <c r="I16" s="56"/>
      <c r="J16" s="57" t="s">
        <v>1</v>
      </c>
      <c r="K16" s="57" t="s">
        <v>2</v>
      </c>
      <c r="L16" s="56"/>
      <c r="M16" s="56"/>
    </row>
    <row r="17" spans="2:13" x14ac:dyDescent="0.2">
      <c r="B17" s="4" t="s">
        <v>94</v>
      </c>
      <c r="C17" s="8" t="s">
        <v>100</v>
      </c>
      <c r="D17" s="8"/>
      <c r="E17" s="8"/>
      <c r="F17" s="10"/>
      <c r="G17" s="45">
        <f>'D - 11-30-23'!G39</f>
        <v>-4129.4199999999255</v>
      </c>
      <c r="I17" s="56"/>
      <c r="J17" s="57" t="s">
        <v>3</v>
      </c>
      <c r="K17" s="57" t="s">
        <v>4</v>
      </c>
      <c r="L17" s="57" t="s">
        <v>5</v>
      </c>
      <c r="M17" s="57" t="s">
        <v>6</v>
      </c>
    </row>
    <row r="18" spans="2:13" x14ac:dyDescent="0.2">
      <c r="B18" s="4" t="s">
        <v>101</v>
      </c>
      <c r="C18" s="8" t="s">
        <v>106</v>
      </c>
      <c r="D18" s="8"/>
      <c r="E18" s="8"/>
      <c r="F18" s="10"/>
      <c r="G18" s="45">
        <f>'E - 05-31-24'!G41</f>
        <v>190265.64000000007</v>
      </c>
      <c r="I18" s="58"/>
      <c r="J18" s="58" t="s">
        <v>7</v>
      </c>
      <c r="K18" s="58" t="s">
        <v>7</v>
      </c>
      <c r="L18" s="58" t="s">
        <v>8</v>
      </c>
      <c r="M18" s="58" t="s">
        <v>8</v>
      </c>
    </row>
    <row r="19" spans="2:13" x14ac:dyDescent="0.2">
      <c r="B19" s="5" t="s">
        <v>107</v>
      </c>
      <c r="C19" s="8" t="s">
        <v>18</v>
      </c>
      <c r="D19" s="8"/>
      <c r="E19" s="8"/>
      <c r="F19" s="10"/>
      <c r="G19" s="11">
        <f>G13+G14+G15+G16+G17+G18</f>
        <v>497819.00000000023</v>
      </c>
      <c r="I19" s="59" t="s">
        <v>10</v>
      </c>
      <c r="J19" s="60" t="s">
        <v>50</v>
      </c>
      <c r="K19" s="60" t="s">
        <v>11</v>
      </c>
      <c r="L19" s="60" t="s">
        <v>12</v>
      </c>
      <c r="M19" s="60" t="s">
        <v>13</v>
      </c>
    </row>
    <row r="20" spans="2:13" x14ac:dyDescent="0.2">
      <c r="B20" s="4">
        <v>2</v>
      </c>
      <c r="C20" s="12">
        <v>45474</v>
      </c>
      <c r="D20" s="45">
        <f>534061-0</f>
        <v>534061</v>
      </c>
      <c r="E20" s="46">
        <v>629156.99</v>
      </c>
      <c r="F20" s="13">
        <f t="shared" ref="F20:F27" si="0">D20-E20</f>
        <v>-95095.989999999991</v>
      </c>
      <c r="G20" s="11">
        <f t="shared" ref="G20:G27" si="1">G19+F20</f>
        <v>402723.01000000024</v>
      </c>
      <c r="I20" s="12">
        <v>45474</v>
      </c>
      <c r="J20" s="61">
        <f>48185+68415</f>
        <v>116600</v>
      </c>
      <c r="K20" s="113">
        <v>116600</v>
      </c>
      <c r="L20" s="62">
        <f t="shared" ref="L20:L27" si="2">J20-K20</f>
        <v>0</v>
      </c>
      <c r="M20" s="63">
        <f>L20</f>
        <v>0</v>
      </c>
    </row>
    <row r="21" spans="2:13" x14ac:dyDescent="0.2">
      <c r="B21" s="4">
        <v>3</v>
      </c>
      <c r="C21" s="14">
        <v>45505</v>
      </c>
      <c r="D21" s="47">
        <f>454988-0</f>
        <v>454988</v>
      </c>
      <c r="E21" s="48">
        <v>505855.91</v>
      </c>
      <c r="F21" s="15">
        <f t="shared" si="0"/>
        <v>-50867.909999999974</v>
      </c>
      <c r="G21" s="16">
        <f t="shared" si="1"/>
        <v>351855.10000000027</v>
      </c>
      <c r="I21" s="14">
        <v>45505</v>
      </c>
      <c r="J21" s="61">
        <f>42409+60769</f>
        <v>103178</v>
      </c>
      <c r="K21" s="121">
        <v>103178</v>
      </c>
      <c r="L21" s="63">
        <f t="shared" si="2"/>
        <v>0</v>
      </c>
      <c r="M21" s="63">
        <f>M20+L21</f>
        <v>0</v>
      </c>
    </row>
    <row r="22" spans="2:13" x14ac:dyDescent="0.2">
      <c r="B22" s="4">
        <v>4</v>
      </c>
      <c r="C22" s="14">
        <v>45536</v>
      </c>
      <c r="D22" s="47">
        <f>421953-0</f>
        <v>421953</v>
      </c>
      <c r="E22" s="48">
        <v>430882.7</v>
      </c>
      <c r="F22" s="15">
        <f t="shared" si="0"/>
        <v>-8929.7000000000116</v>
      </c>
      <c r="G22" s="16">
        <f t="shared" si="1"/>
        <v>342925.40000000026</v>
      </c>
      <c r="I22" s="129">
        <v>45536</v>
      </c>
      <c r="J22" s="130">
        <f>42162+58978</f>
        <v>101140</v>
      </c>
      <c r="K22" s="131">
        <v>101140</v>
      </c>
      <c r="L22" s="63">
        <f t="shared" si="2"/>
        <v>0</v>
      </c>
      <c r="M22" s="63">
        <f t="shared" ref="M22:M25" si="3">M21+L22</f>
        <v>0</v>
      </c>
    </row>
    <row r="23" spans="2:13" x14ac:dyDescent="0.2">
      <c r="B23" s="4">
        <v>5</v>
      </c>
      <c r="C23" s="14">
        <v>45566</v>
      </c>
      <c r="D23" s="47">
        <f>354527-89</f>
        <v>354438</v>
      </c>
      <c r="E23" s="48">
        <v>440395.99</v>
      </c>
      <c r="F23" s="15">
        <f t="shared" si="0"/>
        <v>-85957.989999999991</v>
      </c>
      <c r="G23" s="16">
        <f t="shared" si="1"/>
        <v>256967.41000000027</v>
      </c>
      <c r="I23" s="14">
        <v>45566</v>
      </c>
      <c r="J23" s="132">
        <v>0</v>
      </c>
      <c r="K23" s="75">
        <v>0</v>
      </c>
      <c r="L23" s="63">
        <f t="shared" si="2"/>
        <v>0</v>
      </c>
      <c r="M23" s="63">
        <f t="shared" si="3"/>
        <v>0</v>
      </c>
    </row>
    <row r="24" spans="2:13" x14ac:dyDescent="0.2">
      <c r="B24" s="4">
        <v>6</v>
      </c>
      <c r="C24" s="14">
        <v>45597</v>
      </c>
      <c r="D24" s="47">
        <f>435862-94</f>
        <v>435768</v>
      </c>
      <c r="E24" s="48">
        <v>405004.66</v>
      </c>
      <c r="F24" s="15">
        <f t="shared" si="0"/>
        <v>30763.340000000026</v>
      </c>
      <c r="G24" s="16">
        <f t="shared" si="1"/>
        <v>287730.75000000029</v>
      </c>
      <c r="I24" s="14">
        <v>45597</v>
      </c>
      <c r="J24" s="76">
        <v>0</v>
      </c>
      <c r="K24" s="133">
        <v>0</v>
      </c>
      <c r="L24" s="63">
        <f t="shared" si="2"/>
        <v>0</v>
      </c>
      <c r="M24" s="63">
        <f t="shared" si="3"/>
        <v>0</v>
      </c>
    </row>
    <row r="25" spans="2:13" x14ac:dyDescent="0.2">
      <c r="B25" s="4">
        <v>7</v>
      </c>
      <c r="C25" s="14">
        <v>45627</v>
      </c>
      <c r="D25" s="47">
        <f>704727-112</f>
        <v>704615</v>
      </c>
      <c r="E25" s="48">
        <v>745154.63</v>
      </c>
      <c r="F25" s="17">
        <f t="shared" si="0"/>
        <v>-40539.630000000005</v>
      </c>
      <c r="G25" s="18">
        <f t="shared" si="1"/>
        <v>247191.12000000029</v>
      </c>
      <c r="I25" s="21">
        <v>45627</v>
      </c>
      <c r="J25" s="64">
        <v>0</v>
      </c>
      <c r="K25" s="64">
        <v>0</v>
      </c>
      <c r="L25" s="64">
        <f t="shared" si="2"/>
        <v>0</v>
      </c>
      <c r="M25" s="64">
        <f t="shared" si="3"/>
        <v>0</v>
      </c>
    </row>
    <row r="26" spans="2:13" x14ac:dyDescent="0.2">
      <c r="B26" s="19" t="s">
        <v>19</v>
      </c>
      <c r="C26" s="12">
        <v>45658</v>
      </c>
      <c r="D26" s="45">
        <f>890117-103</f>
        <v>890014</v>
      </c>
      <c r="E26" s="46">
        <v>1091203.67</v>
      </c>
      <c r="F26" s="13">
        <f t="shared" si="0"/>
        <v>-201189.66999999993</v>
      </c>
      <c r="G26" s="11">
        <f t="shared" si="1"/>
        <v>46001.450000000361</v>
      </c>
      <c r="I26" s="89">
        <v>45658</v>
      </c>
      <c r="J26" s="62">
        <v>0</v>
      </c>
      <c r="K26" s="62">
        <v>0</v>
      </c>
      <c r="L26" s="63">
        <f t="shared" si="2"/>
        <v>0</v>
      </c>
      <c r="M26" s="63">
        <f>M25+L26</f>
        <v>0</v>
      </c>
    </row>
    <row r="27" spans="2:13" x14ac:dyDescent="0.2">
      <c r="B27" s="91" t="s">
        <v>20</v>
      </c>
      <c r="C27" s="21">
        <v>45689</v>
      </c>
      <c r="D27" s="49">
        <f>602353-78</f>
        <v>602275</v>
      </c>
      <c r="E27" s="50">
        <v>746164.62</v>
      </c>
      <c r="F27" s="17">
        <f t="shared" si="0"/>
        <v>-143889.62</v>
      </c>
      <c r="G27" s="18">
        <f t="shared" si="1"/>
        <v>-97888.169999999634</v>
      </c>
      <c r="I27" s="90">
        <v>45689</v>
      </c>
      <c r="J27" s="64">
        <v>0</v>
      </c>
      <c r="K27" s="134">
        <v>0</v>
      </c>
      <c r="L27" s="64">
        <f t="shared" si="2"/>
        <v>0</v>
      </c>
      <c r="M27" s="64">
        <f>M26+L27</f>
        <v>0</v>
      </c>
    </row>
    <row r="28" spans="2:13" x14ac:dyDescent="0.2">
      <c r="B28" s="5"/>
      <c r="C28" s="22" t="s">
        <v>108</v>
      </c>
      <c r="D28" s="23"/>
      <c r="E28" s="23"/>
      <c r="F28" s="23"/>
      <c r="G28" s="24"/>
      <c r="I28" s="67"/>
      <c r="J28" s="67"/>
      <c r="K28" s="67"/>
      <c r="L28" s="67"/>
      <c r="M28" s="67"/>
    </row>
    <row r="29" spans="2:13" x14ac:dyDescent="0.2">
      <c r="B29" s="2"/>
      <c r="C29" s="1"/>
      <c r="D29" s="1"/>
      <c r="E29" s="1"/>
      <c r="F29" s="1"/>
      <c r="G29" s="11"/>
      <c r="I29" s="68" t="s">
        <v>51</v>
      </c>
      <c r="J29" s="69"/>
      <c r="K29" s="69"/>
      <c r="L29" s="70"/>
      <c r="M29" s="71">
        <f>M25</f>
        <v>0</v>
      </c>
    </row>
    <row r="30" spans="2:13" x14ac:dyDescent="0.2">
      <c r="B30" s="4"/>
      <c r="C30" s="3"/>
      <c r="D30" s="4" t="s">
        <v>21</v>
      </c>
      <c r="E30" s="4" t="s">
        <v>22</v>
      </c>
      <c r="F30" s="3"/>
      <c r="G30" s="16"/>
      <c r="I30" s="67"/>
      <c r="J30" s="67"/>
      <c r="K30" s="67"/>
      <c r="L30" s="67"/>
      <c r="M30" s="72"/>
    </row>
    <row r="31" spans="2:13" x14ac:dyDescent="0.2">
      <c r="B31" s="4">
        <v>8</v>
      </c>
      <c r="C31" s="3"/>
      <c r="D31" s="4" t="s">
        <v>23</v>
      </c>
      <c r="E31" s="4" t="s">
        <v>24</v>
      </c>
      <c r="F31" s="3"/>
      <c r="G31" s="25" t="s">
        <v>21</v>
      </c>
      <c r="I31" s="68" t="s">
        <v>52</v>
      </c>
      <c r="J31" s="69"/>
      <c r="K31" s="69"/>
      <c r="L31" s="70"/>
      <c r="M31" s="71">
        <f>M29/6</f>
        <v>0</v>
      </c>
    </row>
    <row r="32" spans="2:13" x14ac:dyDescent="0.2">
      <c r="B32" s="4"/>
      <c r="C32" s="3"/>
      <c r="D32" s="4" t="s">
        <v>25</v>
      </c>
      <c r="E32" s="4" t="s">
        <v>26</v>
      </c>
      <c r="F32" s="3"/>
      <c r="G32" s="25" t="s">
        <v>27</v>
      </c>
    </row>
    <row r="33" spans="2:7" x14ac:dyDescent="0.2">
      <c r="B33" s="4"/>
      <c r="C33" s="3"/>
      <c r="D33" s="4" t="s">
        <v>28</v>
      </c>
      <c r="E33" s="4" t="s">
        <v>29</v>
      </c>
      <c r="F33" s="3"/>
      <c r="G33" s="25" t="s">
        <v>30</v>
      </c>
    </row>
    <row r="34" spans="2:7" x14ac:dyDescent="0.2">
      <c r="B34" s="5"/>
      <c r="C34" s="3"/>
      <c r="D34" s="4" t="s">
        <v>31</v>
      </c>
      <c r="E34" s="4" t="s">
        <v>32</v>
      </c>
      <c r="F34" s="3"/>
      <c r="G34" s="25" t="s">
        <v>33</v>
      </c>
    </row>
    <row r="35" spans="2:7" x14ac:dyDescent="0.2">
      <c r="B35" s="19" t="s">
        <v>34</v>
      </c>
      <c r="C35" s="1" t="s">
        <v>96</v>
      </c>
      <c r="D35" s="11">
        <f t="shared" ref="D35:D40" si="4">-G13</f>
        <v>-3835</v>
      </c>
      <c r="E35" s="11">
        <f>D70</f>
        <v>3835</v>
      </c>
      <c r="F35" s="1"/>
      <c r="G35" s="11">
        <f t="shared" ref="G35:G40" si="5">D35+E35</f>
        <v>0</v>
      </c>
    </row>
    <row r="36" spans="2:7" x14ac:dyDescent="0.2">
      <c r="B36" s="26" t="s">
        <v>35</v>
      </c>
      <c r="C36" s="3" t="s">
        <v>84</v>
      </c>
      <c r="D36" s="16">
        <f t="shared" si="4"/>
        <v>71053.040000000008</v>
      </c>
      <c r="E36" s="16">
        <v>0</v>
      </c>
      <c r="F36" s="3"/>
      <c r="G36" s="16">
        <f t="shared" si="5"/>
        <v>71053.040000000008</v>
      </c>
    </row>
    <row r="37" spans="2:7" x14ac:dyDescent="0.2">
      <c r="B37" s="26" t="s">
        <v>85</v>
      </c>
      <c r="C37" s="3" t="s">
        <v>90</v>
      </c>
      <c r="D37" s="16">
        <f t="shared" si="4"/>
        <v>-411868.44000000006</v>
      </c>
      <c r="E37" s="16">
        <v>0</v>
      </c>
      <c r="F37" s="3"/>
      <c r="G37" s="16">
        <f t="shared" si="5"/>
        <v>-411868.44000000006</v>
      </c>
    </row>
    <row r="38" spans="2:7" x14ac:dyDescent="0.2">
      <c r="B38" s="26" t="s">
        <v>91</v>
      </c>
      <c r="C38" s="3" t="s">
        <v>97</v>
      </c>
      <c r="D38" s="16">
        <f t="shared" si="4"/>
        <v>32967.619999999937</v>
      </c>
      <c r="E38" s="16">
        <v>0</v>
      </c>
      <c r="F38" s="3"/>
      <c r="G38" s="16">
        <f t="shared" si="5"/>
        <v>32967.619999999937</v>
      </c>
    </row>
    <row r="39" spans="2:7" x14ac:dyDescent="0.2">
      <c r="B39" s="26" t="s">
        <v>98</v>
      </c>
      <c r="C39" s="3" t="s">
        <v>103</v>
      </c>
      <c r="D39" s="16">
        <f t="shared" si="4"/>
        <v>4129.4199999999255</v>
      </c>
      <c r="E39" s="16">
        <v>0</v>
      </c>
      <c r="F39" s="3"/>
      <c r="G39" s="16">
        <f t="shared" si="5"/>
        <v>4129.4199999999255</v>
      </c>
    </row>
    <row r="40" spans="2:7" x14ac:dyDescent="0.2">
      <c r="B40" s="26" t="s">
        <v>104</v>
      </c>
      <c r="C40" s="27" t="s">
        <v>109</v>
      </c>
      <c r="D40" s="18">
        <f t="shared" si="4"/>
        <v>-190265.64000000007</v>
      </c>
      <c r="E40" s="18">
        <v>0</v>
      </c>
      <c r="F40" s="27"/>
      <c r="G40" s="18">
        <f t="shared" si="5"/>
        <v>-190265.64000000007</v>
      </c>
    </row>
    <row r="41" spans="2:7" x14ac:dyDescent="0.2">
      <c r="B41" s="5" t="s">
        <v>110</v>
      </c>
      <c r="C41" s="28"/>
      <c r="D41" s="29"/>
      <c r="E41" s="29"/>
      <c r="F41" s="30" t="s">
        <v>36</v>
      </c>
      <c r="G41" s="18">
        <f>G35+G36+G37+G38+G39+G40</f>
        <v>-493984.00000000023</v>
      </c>
    </row>
    <row r="42" spans="2:7" x14ac:dyDescent="0.2">
      <c r="B42" s="31"/>
      <c r="G42" s="32"/>
    </row>
    <row r="43" spans="2:7" x14ac:dyDescent="0.2">
      <c r="B43" s="6">
        <v>9</v>
      </c>
      <c r="C43" s="33" t="s">
        <v>111</v>
      </c>
      <c r="D43" s="8"/>
      <c r="E43" s="8"/>
      <c r="F43" s="9"/>
      <c r="G43" s="34">
        <f>G25+G41</f>
        <v>-246792.87999999995</v>
      </c>
    </row>
    <row r="44" spans="2:7" x14ac:dyDescent="0.2">
      <c r="B44" s="31"/>
      <c r="G44" s="32"/>
    </row>
    <row r="45" spans="2:7" x14ac:dyDescent="0.2">
      <c r="B45" s="6">
        <v>10</v>
      </c>
      <c r="C45" s="33" t="s">
        <v>79</v>
      </c>
      <c r="D45" s="8"/>
      <c r="E45" s="8"/>
      <c r="F45" s="9"/>
      <c r="G45" s="34">
        <f>G43/6</f>
        <v>-41132.14666666666</v>
      </c>
    </row>
    <row r="47" spans="2:7" x14ac:dyDescent="0.2">
      <c r="B47" s="1"/>
      <c r="C47" s="35" t="s">
        <v>37</v>
      </c>
      <c r="D47" s="36"/>
      <c r="E47" s="36"/>
      <c r="F47" s="36"/>
      <c r="G47" s="37"/>
    </row>
    <row r="48" spans="2:7" x14ac:dyDescent="0.2">
      <c r="B48" s="1"/>
      <c r="C48" s="38"/>
      <c r="D48" s="38"/>
      <c r="E48" s="38"/>
      <c r="F48" s="38"/>
      <c r="G48" s="10"/>
    </row>
    <row r="49" spans="2:7" x14ac:dyDescent="0.2">
      <c r="B49" s="4">
        <v>11</v>
      </c>
      <c r="C49" t="s">
        <v>38</v>
      </c>
      <c r="G49" s="39">
        <f>G19</f>
        <v>497819.00000000023</v>
      </c>
    </row>
    <row r="50" spans="2:7" x14ac:dyDescent="0.2">
      <c r="B50" s="4">
        <v>12</v>
      </c>
      <c r="C50" t="s">
        <v>39</v>
      </c>
      <c r="G50" s="40">
        <f>G41</f>
        <v>-493984.00000000023</v>
      </c>
    </row>
    <row r="51" spans="2:7" x14ac:dyDescent="0.2">
      <c r="B51" s="4"/>
      <c r="G51" s="39"/>
    </row>
    <row r="52" spans="2:7" ht="15" thickBot="1" x14ac:dyDescent="0.25">
      <c r="B52" s="4">
        <v>13</v>
      </c>
      <c r="C52" t="s">
        <v>40</v>
      </c>
      <c r="G52" s="41">
        <f>G49+G50</f>
        <v>3835</v>
      </c>
    </row>
    <row r="53" spans="2:7" ht="15" thickTop="1" x14ac:dyDescent="0.2">
      <c r="B53" s="4"/>
      <c r="G53" s="39"/>
    </row>
    <row r="54" spans="2:7" x14ac:dyDescent="0.2">
      <c r="B54" s="4">
        <v>14</v>
      </c>
      <c r="C54" t="s">
        <v>41</v>
      </c>
      <c r="G54" s="39">
        <f>G43</f>
        <v>-246792.87999999995</v>
      </c>
    </row>
    <row r="55" spans="2:7" x14ac:dyDescent="0.2">
      <c r="B55" s="4"/>
      <c r="G55" s="39"/>
    </row>
    <row r="56" spans="2:7" x14ac:dyDescent="0.2">
      <c r="B56" s="4">
        <v>15</v>
      </c>
      <c r="C56" t="s">
        <v>42</v>
      </c>
      <c r="G56" s="40">
        <f>SUM(F20:F25)</f>
        <v>-250627.87999999995</v>
      </c>
    </row>
    <row r="57" spans="2:7" x14ac:dyDescent="0.2">
      <c r="B57" s="4"/>
      <c r="G57" s="39"/>
    </row>
    <row r="58" spans="2:7" ht="15" thickBot="1" x14ac:dyDescent="0.25">
      <c r="B58" s="4">
        <v>16</v>
      </c>
      <c r="C58" t="s">
        <v>43</v>
      </c>
      <c r="G58" s="41">
        <f>G54-G56</f>
        <v>3835</v>
      </c>
    </row>
    <row r="59" spans="2:7" ht="15" thickTop="1" x14ac:dyDescent="0.2">
      <c r="B59" s="27"/>
      <c r="C59" s="42"/>
      <c r="D59" s="42"/>
      <c r="E59" s="42"/>
      <c r="F59" s="42"/>
      <c r="G59" s="43"/>
    </row>
    <row r="61" spans="2:7" x14ac:dyDescent="0.2">
      <c r="B61" t="s">
        <v>44</v>
      </c>
    </row>
    <row r="62" spans="2:7" x14ac:dyDescent="0.2">
      <c r="B62" s="31"/>
      <c r="C62" s="1"/>
      <c r="D62" s="2" t="s">
        <v>45</v>
      </c>
      <c r="E62" s="26"/>
      <c r="F62" s="31"/>
      <c r="G62" s="31"/>
    </row>
    <row r="63" spans="2:7" x14ac:dyDescent="0.2">
      <c r="B63" s="31"/>
      <c r="C63" s="5" t="s">
        <v>10</v>
      </c>
      <c r="D63" s="5" t="s">
        <v>80</v>
      </c>
      <c r="E63" s="26"/>
      <c r="F63" s="31"/>
      <c r="G63" s="31"/>
    </row>
    <row r="64" spans="2:7" x14ac:dyDescent="0.2">
      <c r="C64" s="12">
        <v>45474</v>
      </c>
      <c r="D64" s="11">
        <v>1917</v>
      </c>
      <c r="E64" s="15"/>
      <c r="F64" s="32"/>
      <c r="G64" s="32"/>
    </row>
    <row r="65" spans="3:7" x14ac:dyDescent="0.2">
      <c r="C65" s="14">
        <v>45505</v>
      </c>
      <c r="D65" s="16">
        <v>1918</v>
      </c>
      <c r="E65" s="15"/>
      <c r="F65" s="32"/>
      <c r="G65" s="32"/>
    </row>
    <row r="66" spans="3:7" x14ac:dyDescent="0.2">
      <c r="C66" s="14">
        <v>45536</v>
      </c>
      <c r="D66" s="16">
        <v>0</v>
      </c>
      <c r="E66" s="15"/>
      <c r="F66" s="32"/>
      <c r="G66" s="32"/>
    </row>
    <row r="67" spans="3:7" x14ac:dyDescent="0.2">
      <c r="C67" s="14">
        <v>45566</v>
      </c>
      <c r="D67" s="16">
        <v>0</v>
      </c>
      <c r="E67" s="15"/>
      <c r="F67" s="32"/>
      <c r="G67" s="32"/>
    </row>
    <row r="68" spans="3:7" x14ac:dyDescent="0.2">
      <c r="C68" s="14">
        <v>45597</v>
      </c>
      <c r="D68" s="16">
        <v>0</v>
      </c>
      <c r="E68" s="15"/>
      <c r="F68" s="32"/>
      <c r="G68" s="32"/>
    </row>
    <row r="69" spans="3:7" x14ac:dyDescent="0.2">
      <c r="C69" s="14">
        <v>45627</v>
      </c>
      <c r="D69" s="18">
        <v>0</v>
      </c>
      <c r="E69" s="15"/>
      <c r="F69" s="32"/>
      <c r="G69" s="32"/>
    </row>
    <row r="70" spans="3:7" x14ac:dyDescent="0.2">
      <c r="C70" s="44" t="s">
        <v>46</v>
      </c>
      <c r="D70" s="34">
        <f>SUM(D64:D69)</f>
        <v>3835</v>
      </c>
      <c r="E70" s="15"/>
      <c r="F70" s="32"/>
      <c r="G70" s="32"/>
    </row>
  </sheetData>
  <mergeCells count="3">
    <mergeCell ref="B4:G5"/>
    <mergeCell ref="I4:M5"/>
    <mergeCell ref="C12:G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Current 05-31-25</vt:lpstr>
      <vt:lpstr>2025-00013 Summary</vt:lpstr>
      <vt:lpstr>A - 05-31-22</vt:lpstr>
      <vt:lpstr>B - 11-30-22</vt:lpstr>
      <vt:lpstr>C - 05-31-23</vt:lpstr>
      <vt:lpstr>D - 11-30-23</vt:lpstr>
      <vt:lpstr>E - 05-31-24</vt:lpstr>
      <vt:lpstr>F - 11-30-24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Scott</dc:creator>
  <cp:lastModifiedBy>Jacob Watson</cp:lastModifiedBy>
  <dcterms:created xsi:type="dcterms:W3CDTF">2022-06-13T11:58:16Z</dcterms:created>
  <dcterms:modified xsi:type="dcterms:W3CDTF">2025-10-15T15:34:35Z</dcterms:modified>
</cp:coreProperties>
</file>