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1B543DB5-1BE1-4E44-8EEE-84A13B822F12}" xr6:coauthVersionLast="47" xr6:coauthVersionMax="47" xr10:uidLastSave="{00000000-0000-0000-0000-000000000000}"/>
  <bookViews>
    <workbookView xWindow="345" yWindow="4500" windowWidth="38700" windowHeight="15285" xr2:uid="{00000000-000D-0000-FFFF-FFFF00000000}"/>
  </bookViews>
  <sheets>
    <sheet name="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5" l="1"/>
  <c r="A1" i="14"/>
  <c r="A1" i="13"/>
  <c r="A1" i="12"/>
  <c r="A1" i="11"/>
  <c r="A1" i="10"/>
  <c r="A1" i="9"/>
  <c r="D70" i="15" l="1"/>
  <c r="E35" i="15" s="1"/>
  <c r="D35" i="15"/>
  <c r="G35" i="15" s="1"/>
  <c r="F27" i="15"/>
  <c r="D27" i="15"/>
  <c r="F26" i="15"/>
  <c r="F25" i="15"/>
  <c r="F24" i="15"/>
  <c r="F23" i="15"/>
  <c r="F22" i="15"/>
  <c r="F21" i="15"/>
  <c r="F20" i="15"/>
  <c r="G56" i="15" s="1"/>
  <c r="D68" i="14"/>
  <c r="E34" i="14" s="1"/>
  <c r="D34" i="14"/>
  <c r="F26" i="14"/>
  <c r="D26" i="14"/>
  <c r="D25" i="14"/>
  <c r="F25" i="14" s="1"/>
  <c r="D24" i="14"/>
  <c r="F24" i="14" s="1"/>
  <c r="D23" i="14"/>
  <c r="F23" i="14" s="1"/>
  <c r="F22" i="14"/>
  <c r="D22" i="14"/>
  <c r="D21" i="14"/>
  <c r="F21" i="14" s="1"/>
  <c r="D20" i="14"/>
  <c r="F20" i="14" s="1"/>
  <c r="D19" i="14"/>
  <c r="F19" i="14" s="1"/>
  <c r="G54" i="14" s="1"/>
  <c r="D66" i="13"/>
  <c r="D33" i="13"/>
  <c r="G33" i="13" s="1"/>
  <c r="D25" i="13"/>
  <c r="F25" i="13" s="1"/>
  <c r="F24" i="13"/>
  <c r="D24" i="13"/>
  <c r="D23" i="13"/>
  <c r="F23" i="13" s="1"/>
  <c r="D22" i="13"/>
  <c r="F22" i="13" s="1"/>
  <c r="D21" i="13"/>
  <c r="F21" i="13" s="1"/>
  <c r="F20" i="13"/>
  <c r="D20" i="13"/>
  <c r="D19" i="13"/>
  <c r="F19" i="13" s="1"/>
  <c r="D18" i="13"/>
  <c r="F18" i="13" s="1"/>
  <c r="G52" i="13" s="1"/>
  <c r="D64" i="12"/>
  <c r="G32" i="12"/>
  <c r="D32" i="12"/>
  <c r="D24" i="12"/>
  <c r="F24" i="12" s="1"/>
  <c r="D23" i="12"/>
  <c r="F23" i="12" s="1"/>
  <c r="D22" i="12"/>
  <c r="F22" i="12" s="1"/>
  <c r="F21" i="12"/>
  <c r="D21" i="12"/>
  <c r="D20" i="12"/>
  <c r="F20" i="12" s="1"/>
  <c r="D19" i="12"/>
  <c r="F19" i="12" s="1"/>
  <c r="D18" i="12"/>
  <c r="F18" i="12" s="1"/>
  <c r="F17" i="12"/>
  <c r="G50" i="12" s="1"/>
  <c r="D17" i="12"/>
  <c r="D62" i="11"/>
  <c r="D31" i="11"/>
  <c r="G31" i="11" s="1"/>
  <c r="D23" i="11"/>
  <c r="F23" i="11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G48" i="11" s="1"/>
  <c r="D60" i="10"/>
  <c r="D30" i="10"/>
  <c r="G30" i="10" s="1"/>
  <c r="G31" i="10" s="1"/>
  <c r="G40" i="10" s="1"/>
  <c r="F22" i="10"/>
  <c r="D22" i="10"/>
  <c r="D21" i="10"/>
  <c r="F21" i="10" s="1"/>
  <c r="D20" i="10"/>
  <c r="F20" i="10" s="1"/>
  <c r="D19" i="10"/>
  <c r="F19" i="10" s="1"/>
  <c r="F18" i="10"/>
  <c r="D18" i="10"/>
  <c r="D17" i="10"/>
  <c r="F17" i="10" s="1"/>
  <c r="D16" i="10"/>
  <c r="F16" i="10" s="1"/>
  <c r="D15" i="10"/>
  <c r="F15" i="10" s="1"/>
  <c r="G46" i="10" s="1"/>
  <c r="G14" i="10"/>
  <c r="G15" i="10" s="1"/>
  <c r="G16" i="10" s="1"/>
  <c r="G17" i="10" s="1"/>
  <c r="G18" i="10" s="1"/>
  <c r="G19" i="10" s="1"/>
  <c r="G20" i="10" s="1"/>
  <c r="G33" i="8"/>
  <c r="G33" i="10" l="1"/>
  <c r="G21" i="10"/>
  <c r="G22" i="10" s="1"/>
  <c r="G34" i="14"/>
  <c r="G39" i="10"/>
  <c r="G42" i="10" s="1"/>
  <c r="G31" i="8"/>
  <c r="G14" i="8"/>
  <c r="D22" i="8"/>
  <c r="D21" i="8"/>
  <c r="D20" i="8"/>
  <c r="D19" i="8"/>
  <c r="D18" i="8"/>
  <c r="D17" i="8"/>
  <c r="D16" i="8"/>
  <c r="D15" i="8"/>
  <c r="E8" i="9" l="1"/>
  <c r="G14" i="12"/>
  <c r="G35" i="10"/>
  <c r="G14" i="11"/>
  <c r="G44" i="10"/>
  <c r="G48" i="10" s="1"/>
  <c r="G14" i="15"/>
  <c r="G14" i="13"/>
  <c r="G14" i="14"/>
  <c r="D60" i="8"/>
  <c r="E30" i="8" s="1"/>
  <c r="D35" i="14" l="1"/>
  <c r="G35" i="14" s="1"/>
  <c r="D36" i="15"/>
  <c r="G36" i="15" s="1"/>
  <c r="D32" i="11"/>
  <c r="G32" i="11" s="1"/>
  <c r="G33" i="11" s="1"/>
  <c r="G42" i="11" s="1"/>
  <c r="G15" i="11"/>
  <c r="D34" i="13"/>
  <c r="G34" i="13" s="1"/>
  <c r="D33" i="12"/>
  <c r="G33" i="12" s="1"/>
  <c r="F8" i="9"/>
  <c r="D30" i="8"/>
  <c r="G30" i="8" s="1"/>
  <c r="F22" i="8"/>
  <c r="F21" i="8"/>
  <c r="F20" i="8"/>
  <c r="F19" i="8"/>
  <c r="F18" i="8"/>
  <c r="F17" i="8"/>
  <c r="F16" i="8"/>
  <c r="F15" i="8"/>
  <c r="G16" i="11" l="1"/>
  <c r="G17" i="11" s="1"/>
  <c r="G18" i="11" s="1"/>
  <c r="G19" i="11" s="1"/>
  <c r="G20" i="11" s="1"/>
  <c r="G21" i="11" s="1"/>
  <c r="G41" i="11"/>
  <c r="G44" i="11" s="1"/>
  <c r="G46" i="8"/>
  <c r="G35" i="11" l="1"/>
  <c r="G22" i="11"/>
  <c r="G23" i="11" s="1"/>
  <c r="G40" i="8"/>
  <c r="G15" i="12" l="1"/>
  <c r="G15" i="13"/>
  <c r="G46" i="11"/>
  <c r="G50" i="11" s="1"/>
  <c r="G15" i="15"/>
  <c r="G15" i="14"/>
  <c r="G37" i="11"/>
  <c r="E9" i="9"/>
  <c r="G39" i="8"/>
  <c r="G42" i="8" s="1"/>
  <c r="G15" i="8"/>
  <c r="G16" i="8" s="1"/>
  <c r="G17" i="8" s="1"/>
  <c r="G18" i="8" s="1"/>
  <c r="G19" i="8" s="1"/>
  <c r="G20" i="8" s="1"/>
  <c r="D36" i="14" l="1"/>
  <c r="G36" i="14" s="1"/>
  <c r="D37" i="15"/>
  <c r="G37" i="15" s="1"/>
  <c r="F9" i="9"/>
  <c r="D35" i="13"/>
  <c r="G35" i="13" s="1"/>
  <c r="D34" i="12"/>
  <c r="G34" i="12" s="1"/>
  <c r="G35" i="12" s="1"/>
  <c r="G44" i="12" s="1"/>
  <c r="G16" i="12"/>
  <c r="G21" i="8"/>
  <c r="G22" i="8" s="1"/>
  <c r="G43" i="12" l="1"/>
  <c r="G46" i="12" s="1"/>
  <c r="G17" i="12"/>
  <c r="G18" i="12" s="1"/>
  <c r="G19" i="12" s="1"/>
  <c r="G20" i="12" s="1"/>
  <c r="G21" i="12" s="1"/>
  <c r="G22" i="12" s="1"/>
  <c r="G44" i="8"/>
  <c r="G48" i="8" s="1"/>
  <c r="G35" i="8"/>
  <c r="G23" i="12" l="1"/>
  <c r="G24" i="12" s="1"/>
  <c r="G37" i="12"/>
  <c r="G48" i="12" l="1"/>
  <c r="G52" i="12" s="1"/>
  <c r="G16" i="13"/>
  <c r="E10" i="9"/>
  <c r="G39" i="12"/>
  <c r="G16" i="15"/>
  <c r="G16" i="14"/>
  <c r="D38" i="15" l="1"/>
  <c r="G38" i="15" s="1"/>
  <c r="F10" i="9"/>
  <c r="D37" i="14"/>
  <c r="G37" i="14" s="1"/>
  <c r="D36" i="13"/>
  <c r="G36" i="13" s="1"/>
  <c r="G37" i="13" s="1"/>
  <c r="G46" i="13" s="1"/>
  <c r="G17" i="13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50" i="13" l="1"/>
  <c r="G54" i="13" s="1"/>
  <c r="G17" i="15"/>
  <c r="G41" i="13"/>
  <c r="E11" i="9"/>
  <c r="G17" i="14"/>
  <c r="F11" i="9" l="1"/>
  <c r="D38" i="14"/>
  <c r="G38" i="14" s="1"/>
  <c r="G39" i="14" s="1"/>
  <c r="G48" i="14" s="1"/>
  <c r="G18" i="14"/>
  <c r="D39" i="15"/>
  <c r="G39" i="15" s="1"/>
  <c r="G19" i="14" l="1"/>
  <c r="G20" i="14" s="1"/>
  <c r="G21" i="14" s="1"/>
  <c r="G22" i="14" s="1"/>
  <c r="G23" i="14" s="1"/>
  <c r="G24" i="14" s="1"/>
  <c r="G47" i="14"/>
  <c r="G50" i="14" s="1"/>
  <c r="G41" i="14" l="1"/>
  <c r="G25" i="14"/>
  <c r="G26" i="14" s="1"/>
  <c r="G52" i="14" l="1"/>
  <c r="G56" i="14" s="1"/>
  <c r="G43" i="14"/>
  <c r="E12" i="9"/>
  <c r="G18" i="15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26" i="15" l="1"/>
  <c r="G27" i="15" s="1"/>
  <c r="G43" i="15"/>
  <c r="E13" i="9" l="1"/>
  <c r="G54" i="15"/>
  <c r="G58" i="15" s="1"/>
  <c r="G45" i="15"/>
  <c r="F13" i="9" l="1"/>
  <c r="E15" i="9"/>
  <c r="E24" i="9" l="1"/>
  <c r="E22" i="9"/>
  <c r="F15" i="9"/>
</calcChain>
</file>

<file path=xl/sharedStrings.xml><?xml version="1.0" encoding="utf-8"?>
<sst xmlns="http://schemas.openxmlformats.org/spreadsheetml/2006/main" count="481" uniqueCount="106">
  <si>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</si>
  <si>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</si>
  <si>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</si>
  <si>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</si>
  <si>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</si>
  <si>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</si>
  <si>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</si>
  <si>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</si>
  <si>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</si>
  <si>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</si>
  <si>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</si>
  <si>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</si>
  <si>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</si>
  <si>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</si>
  <si>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</si>
  <si>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</si>
  <si>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</si>
  <si>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</si>
  <si>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</si>
  <si>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</si>
  <si>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</si>
  <si>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</si>
  <si>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</si>
  <si>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</si>
  <si>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</si>
  <si>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</si>
  <si>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</si>
  <si>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</si>
  <si>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</si>
  <si>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</si>
  <si>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</si>
  <si>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</si>
  <si>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</si>
  <si>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</si>
  <si>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</si>
  <si>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</si>
  <si>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</si>
  <si>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</si>
  <si>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</si>
  <si>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</si>
  <si>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</si>
  <si>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</si>
  <si>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</si>
  <si>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</si>
  <si>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</si>
  <si>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</si>
  <si>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</si>
  <si>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Less Adjustment for Order amounts remaining to be amortized at end of review period June 2025</t>
  </si>
  <si>
    <t>From Case No. 2025-00013 (Over)/Under-Recovery</t>
  </si>
  <si>
    <t>From Case No. 2025-00013 Recovery</t>
  </si>
  <si>
    <t>2025-00013</t>
  </si>
  <si>
    <t>Blue Grass - Calculation of (Over)/Under Recovery</t>
  </si>
  <si>
    <t>Cumulative six month (Over)/Under-Recovery [Cumulative net of remaining Case amortizations (Ln 7&amp;8b)]</t>
  </si>
  <si>
    <t>Monthly recovery (per month for six months)</t>
  </si>
  <si>
    <t>Staff DR1 Response 2 - Blue Grass Surcharge Summary.xlsx</t>
  </si>
  <si>
    <t>Blue Grass Energy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</si>
  <si>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</si>
  <si>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</si>
  <si>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</si>
  <si>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</si>
  <si>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</si>
  <si>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</si>
  <si>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</si>
  <si>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</si>
  <si>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</si>
  <si>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</si>
  <si>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</si>
  <si>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</si>
  <si>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</si>
  <si>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Blue Grass Energy - Calculation of (Over)/Under Recovery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</si>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</sst>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4" borderId="8" xfId="0" applyNumberFormat="1" applyFill="1" applyBorder="1"/>
    <xf numFmtId="5" fontId="0" fillId="4" borderId="14" xfId="0" applyNumberForma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7" fontId="0" fillId="0" borderId="0" xfId="0" applyNumberFormat="1"/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>
      <selection activeCell="I44" sqref="I44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64" t="s">
        <v>51</v>
      </c>
      <c r="C4" s="65"/>
      <c r="D4" s="65"/>
      <c r="E4" s="65"/>
      <c r="F4" s="65"/>
      <c r="G4" s="66"/>
    </row>
    <row r="5" spans="1:8" ht="14.25" customHeight="1" x14ac:dyDescent="0.2">
      <c r="B5" s="67"/>
      <c r="C5" s="68"/>
      <c r="D5" s="68"/>
      <c r="E5" s="68"/>
      <c r="F5" s="68"/>
      <c r="G5" s="69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70" t="s">
        <v>15</v>
      </c>
      <c r="D12" s="71"/>
      <c r="E12" s="71"/>
      <c r="F12" s="71"/>
      <c r="G12" s="72"/>
    </row>
    <row r="13" spans="1:8" x14ac:dyDescent="0.2">
      <c r="B13" s="2" t="s">
        <v>16</v>
      </c>
      <c r="C13" s="8" t="s">
        <v>48</v>
      </c>
      <c r="D13" s="8"/>
      <c r="E13" s="8"/>
      <c r="F13" s="9"/>
      <c r="G13" s="10">
        <v>-347512</v>
      </c>
    </row>
    <row r="14" spans="1:8" x14ac:dyDescent="0.2">
      <c r="A14" s="59"/>
      <c r="B14" s="5" t="s">
        <v>17</v>
      </c>
      <c r="C14" s="8" t="s">
        <v>18</v>
      </c>
      <c r="D14" s="8"/>
      <c r="E14" s="8"/>
      <c r="F14" s="11"/>
      <c r="G14" s="12">
        <f>G13</f>
        <v>-347512</v>
      </c>
      <c r="H14" s="59"/>
    </row>
    <row r="15" spans="1:8" x14ac:dyDescent="0.2">
      <c r="A15" s="32"/>
      <c r="B15" s="4">
        <v>2</v>
      </c>
      <c r="C15" s="13">
        <v>45658</v>
      </c>
      <c r="D15" s="51">
        <f>2843830-1612</f>
        <v>2842218</v>
      </c>
      <c r="E15" s="52">
        <v>2496138.04</v>
      </c>
      <c r="F15" s="14">
        <f t="shared" ref="F15:F22" si="0">D15-E15</f>
        <v>346079.95999999996</v>
      </c>
      <c r="G15" s="12">
        <f t="shared" ref="G15:G22" si="1">G14+F15</f>
        <v>-1432.0400000000373</v>
      </c>
      <c r="H15" s="32"/>
    </row>
    <row r="16" spans="1:8" x14ac:dyDescent="0.2">
      <c r="B16" s="4">
        <v>3</v>
      </c>
      <c r="C16" s="15">
        <v>45689</v>
      </c>
      <c r="D16" s="53">
        <f>2022075-1143</f>
        <v>2020932</v>
      </c>
      <c r="E16" s="54">
        <v>2400742.39</v>
      </c>
      <c r="F16" s="16">
        <f t="shared" si="0"/>
        <v>-379810.39000000013</v>
      </c>
      <c r="G16" s="17">
        <f t="shared" si="1"/>
        <v>-381242.43000000017</v>
      </c>
    </row>
    <row r="17" spans="2:7" x14ac:dyDescent="0.2">
      <c r="B17" s="4">
        <v>4</v>
      </c>
      <c r="C17" s="15">
        <v>45717</v>
      </c>
      <c r="D17" s="60">
        <f>813679-649</f>
        <v>813030</v>
      </c>
      <c r="E17" s="61">
        <v>1549317.82</v>
      </c>
      <c r="F17" s="16">
        <f t="shared" si="0"/>
        <v>-736287.82000000007</v>
      </c>
      <c r="G17" s="17">
        <f t="shared" si="1"/>
        <v>-1117530.2500000002</v>
      </c>
    </row>
    <row r="18" spans="2:7" x14ac:dyDescent="0.2">
      <c r="B18" s="4">
        <v>5</v>
      </c>
      <c r="C18" s="15">
        <v>45748</v>
      </c>
      <c r="D18" s="60">
        <f>857869-901</f>
        <v>856968</v>
      </c>
      <c r="E18" s="61">
        <v>879981.09</v>
      </c>
      <c r="F18" s="16">
        <f t="shared" si="0"/>
        <v>-23013.089999999967</v>
      </c>
      <c r="G18" s="17">
        <f t="shared" si="1"/>
        <v>-1140543.3400000003</v>
      </c>
    </row>
    <row r="19" spans="2:7" x14ac:dyDescent="0.2">
      <c r="B19" s="4">
        <v>6</v>
      </c>
      <c r="C19" s="15">
        <v>45778</v>
      </c>
      <c r="D19" s="60">
        <f>1188394-1347</f>
        <v>1187047</v>
      </c>
      <c r="E19" s="61">
        <v>956167.28</v>
      </c>
      <c r="F19" s="16">
        <f t="shared" si="0"/>
        <v>230879.71999999997</v>
      </c>
      <c r="G19" s="17">
        <f t="shared" si="1"/>
        <v>-909663.62000000034</v>
      </c>
    </row>
    <row r="20" spans="2:7" x14ac:dyDescent="0.2">
      <c r="B20" s="4">
        <v>7</v>
      </c>
      <c r="C20" s="15">
        <v>45809</v>
      </c>
      <c r="D20" s="60">
        <f>1759263-1594</f>
        <v>1757669</v>
      </c>
      <c r="E20" s="61">
        <v>1416066.74</v>
      </c>
      <c r="F20" s="18">
        <f t="shared" si="0"/>
        <v>341602.26</v>
      </c>
      <c r="G20" s="19">
        <f t="shared" si="1"/>
        <v>-568061.36000000034</v>
      </c>
    </row>
    <row r="21" spans="2:7" x14ac:dyDescent="0.2">
      <c r="B21" s="20" t="s">
        <v>19</v>
      </c>
      <c r="C21" s="13">
        <v>45839</v>
      </c>
      <c r="D21" s="51">
        <f>2369715-0</f>
        <v>2369715</v>
      </c>
      <c r="E21" s="52">
        <v>2098730.4</v>
      </c>
      <c r="F21" s="14">
        <f t="shared" si="0"/>
        <v>270984.60000000009</v>
      </c>
      <c r="G21" s="12">
        <f t="shared" si="1"/>
        <v>-297076.76000000024</v>
      </c>
    </row>
    <row r="22" spans="2:7" x14ac:dyDescent="0.2">
      <c r="B22" s="21" t="s">
        <v>20</v>
      </c>
      <c r="C22" s="22">
        <v>45870</v>
      </c>
      <c r="D22" s="62">
        <f>1921163-0</f>
        <v>1921163</v>
      </c>
      <c r="E22" s="63">
        <v>2372781.5</v>
      </c>
      <c r="F22" s="18">
        <f t="shared" si="0"/>
        <v>-451618.5</v>
      </c>
      <c r="G22" s="19">
        <f t="shared" si="1"/>
        <v>-748695.26000000024</v>
      </c>
    </row>
    <row r="23" spans="2:7" x14ac:dyDescent="0.2">
      <c r="B23" s="5"/>
      <c r="C23" s="23" t="s">
        <v>47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5" t="s">
        <v>49</v>
      </c>
      <c r="D30" s="35">
        <f>-G13</f>
        <v>347512</v>
      </c>
      <c r="E30" s="35">
        <f>D60</f>
        <v>0</v>
      </c>
      <c r="F30" s="55"/>
      <c r="G30" s="35">
        <f t="shared" ref="G30" si="2">D30+E30</f>
        <v>347512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347512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52</v>
      </c>
      <c r="D33" s="8"/>
      <c r="E33" s="8"/>
      <c r="F33" s="9"/>
      <c r="G33" s="35">
        <f>G20+G31</f>
        <v>-220549.36000000034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G33/6</f>
        <v>-36758.22666666672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-347512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347512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-220549.36000000034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-220549.36000000022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7"/>
      <c r="G52" s="57"/>
    </row>
    <row r="53" spans="2:7" x14ac:dyDescent="0.2">
      <c r="B53" s="32"/>
      <c r="C53" s="5" t="s">
        <v>10</v>
      </c>
      <c r="D53" s="5" t="s">
        <v>50</v>
      </c>
      <c r="E53" s="27"/>
      <c r="F53" s="57"/>
      <c r="G53" s="57"/>
    </row>
    <row r="54" spans="2:7" x14ac:dyDescent="0.2">
      <c r="C54" s="13">
        <v>45658</v>
      </c>
      <c r="D54" s="46">
        <v>0</v>
      </c>
      <c r="E54" s="58"/>
      <c r="F54" s="56"/>
      <c r="G54" s="56"/>
    </row>
    <row r="55" spans="2:7" x14ac:dyDescent="0.2">
      <c r="C55" s="15">
        <v>45689</v>
      </c>
      <c r="D55" s="47">
        <v>0</v>
      </c>
      <c r="E55" s="58"/>
      <c r="F55" s="56"/>
      <c r="G55" s="56"/>
    </row>
    <row r="56" spans="2:7" x14ac:dyDescent="0.2">
      <c r="C56" s="15">
        <v>45717</v>
      </c>
      <c r="D56" s="47">
        <v>0</v>
      </c>
      <c r="E56" s="58"/>
      <c r="F56" s="56"/>
      <c r="G56" s="56"/>
    </row>
    <row r="57" spans="2:7" x14ac:dyDescent="0.2">
      <c r="C57" s="15">
        <v>45748</v>
      </c>
      <c r="D57" s="47">
        <v>0</v>
      </c>
      <c r="E57" s="58"/>
      <c r="F57" s="56"/>
      <c r="G57" s="56"/>
    </row>
    <row r="58" spans="2:7" x14ac:dyDescent="0.2">
      <c r="C58" s="15">
        <v>45778</v>
      </c>
      <c r="D58" s="47">
        <v>0</v>
      </c>
      <c r="E58" s="58"/>
      <c r="F58" s="56"/>
      <c r="G58" s="56"/>
    </row>
    <row r="59" spans="2:7" x14ac:dyDescent="0.2">
      <c r="C59" s="15">
        <v>45809</v>
      </c>
      <c r="D59" s="48">
        <v>0</v>
      </c>
      <c r="E59" s="58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B459-6889-46EF-9FCD-5BAF8EE6D439}">
  <dimension ref="A1:F25"/>
  <sheetViews>
    <sheetView workbookViewId="0"/>
  </sheetViews>
  <sheetFormatPr defaultColWidth="15.625" defaultRowHeight="14.25" x14ac:dyDescent="0.2"/>
  <sheetData>
    <row r="1" spans="1:6" x14ac:dyDescent="0.2">
      <c r="A1" t="str">
        <f>'05-31-25'!$A$1</f>
        <v>Staff DR1 Response 2 - Blue Grass Surcharge Summary.xlsx</v>
      </c>
    </row>
    <row r="3" spans="1:6" ht="15" x14ac:dyDescent="0.25">
      <c r="C3" s="73" t="s">
        <v>55</v>
      </c>
      <c r="D3" s="73"/>
      <c r="E3" s="73"/>
    </row>
    <row r="4" spans="1:6" ht="15" x14ac:dyDescent="0.25">
      <c r="B4" s="73" t="s">
        <v>56</v>
      </c>
      <c r="C4" s="73"/>
      <c r="D4" s="73"/>
      <c r="E4" s="73"/>
      <c r="F4" s="73"/>
    </row>
    <row r="6" spans="1:6" ht="15" thickBot="1" x14ac:dyDescent="0.25">
      <c r="E6" s="74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5">
        <f>'A - 05-31-22'!G33</f>
        <v>-339739.55999999982</v>
      </c>
      <c r="F8" s="76" t="str">
        <f>IF(E8&gt;0,"Under-Recovery","Over-Recovery")</f>
        <v>Over-Recovery</v>
      </c>
    </row>
    <row r="9" spans="1:6" x14ac:dyDescent="0.2">
      <c r="B9" t="s">
        <v>60</v>
      </c>
      <c r="E9" s="75">
        <f>'B - 11-30-22'!G35</f>
        <v>312041.08000000007</v>
      </c>
      <c r="F9" s="76" t="str">
        <f t="shared" ref="F9:F13" si="0">IF(E9&gt;0,"Under-Recovery","Over-Recovery")</f>
        <v>Under-Recovery</v>
      </c>
    </row>
    <row r="10" spans="1:6" x14ac:dyDescent="0.2">
      <c r="B10" t="s">
        <v>61</v>
      </c>
      <c r="E10" s="75">
        <f>'C - 05-31-23'!G37</f>
        <v>-742726.17000000027</v>
      </c>
      <c r="F10" s="76" t="str">
        <f t="shared" si="0"/>
        <v>Over-Recovery</v>
      </c>
    </row>
    <row r="11" spans="1:6" x14ac:dyDescent="0.2">
      <c r="B11" t="s">
        <v>62</v>
      </c>
      <c r="E11" s="75">
        <f>'D - 11-30-23'!G39</f>
        <v>129558.75</v>
      </c>
      <c r="F11" s="76" t="str">
        <f t="shared" si="0"/>
        <v>Under-Recovery</v>
      </c>
    </row>
    <row r="12" spans="1:6" x14ac:dyDescent="0.2">
      <c r="B12" t="s">
        <v>63</v>
      </c>
      <c r="E12" s="75">
        <f>'E - 05-31-24'!G41</f>
        <v>639756.00000000012</v>
      </c>
      <c r="F12" s="76" t="str">
        <f t="shared" si="0"/>
        <v>Under-Recovery</v>
      </c>
    </row>
    <row r="13" spans="1:6" x14ac:dyDescent="0.2">
      <c r="B13" t="s">
        <v>64</v>
      </c>
      <c r="E13" s="75">
        <f>'F - 11-30-24'!G43</f>
        <v>-346402.18000000017</v>
      </c>
      <c r="F13" s="76" t="str">
        <f t="shared" si="0"/>
        <v>Over-Recovery</v>
      </c>
    </row>
    <row r="14" spans="1:6" x14ac:dyDescent="0.2">
      <c r="E14" s="75"/>
    </row>
    <row r="15" spans="1:6" ht="15" thickBot="1" x14ac:dyDescent="0.25">
      <c r="B15" t="s">
        <v>65</v>
      </c>
      <c r="E15" s="77">
        <f>SUM(E8:E13)</f>
        <v>-347512.08000000007</v>
      </c>
      <c r="F15" s="76" t="str">
        <f>IF(E15&gt;0,"Under-Recovery","Over-Recovery")</f>
        <v>Over-Recovery</v>
      </c>
    </row>
    <row r="16" spans="1:6" ht="15" thickTop="1" x14ac:dyDescent="0.2"/>
    <row r="20" spans="2:6" ht="15" x14ac:dyDescent="0.25">
      <c r="B20" s="73" t="s">
        <v>66</v>
      </c>
      <c r="C20" s="73"/>
      <c r="D20" s="73"/>
      <c r="E20" s="73"/>
      <c r="F20" s="73"/>
    </row>
    <row r="22" spans="2:6" x14ac:dyDescent="0.2">
      <c r="B22" t="s">
        <v>67</v>
      </c>
      <c r="E22" s="75">
        <f>ROUND(E15/6,0)</f>
        <v>-57919</v>
      </c>
    </row>
    <row r="23" spans="2:6" x14ac:dyDescent="0.2">
      <c r="E23" s="75"/>
    </row>
    <row r="24" spans="2:6" x14ac:dyDescent="0.2">
      <c r="B24" t="s">
        <v>68</v>
      </c>
      <c r="E24" s="75">
        <f>ROUND(E15/12,0)</f>
        <v>-28959</v>
      </c>
    </row>
    <row r="25" spans="2:6" x14ac:dyDescent="0.2">
      <c r="E25" s="75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4795-067E-4682-9822-9FE5D5885353}">
  <dimension ref="A1:I60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9" x14ac:dyDescent="0.2">
      <c r="A1" t="str">
        <f>'05-31-25'!$A$1</f>
        <v>Staff DR1 Response 2 - Blue Grass Surcharge Summary.xlsx</v>
      </c>
    </row>
    <row r="4" spans="1:9" ht="14.25" customHeight="1" x14ac:dyDescent="0.2">
      <c r="B4" s="78" t="s">
        <v>69</v>
      </c>
      <c r="C4" s="79"/>
      <c r="D4" s="79"/>
      <c r="E4" s="79"/>
      <c r="F4" s="79"/>
      <c r="G4" s="80"/>
    </row>
    <row r="5" spans="1:9" ht="14.25" customHeight="1" x14ac:dyDescent="0.2">
      <c r="B5" s="81"/>
      <c r="C5" s="82"/>
      <c r="D5" s="82"/>
      <c r="E5" s="82"/>
      <c r="F5" s="82"/>
      <c r="G5" s="83"/>
    </row>
    <row r="7" spans="1:9" x14ac:dyDescent="0.2">
      <c r="B7" s="1"/>
      <c r="C7" s="1"/>
      <c r="D7" s="1"/>
      <c r="E7" s="2" t="s">
        <v>0</v>
      </c>
      <c r="F7" s="1"/>
      <c r="G7" s="1"/>
    </row>
    <row r="8" spans="1:9" x14ac:dyDescent="0.2">
      <c r="B8" s="3"/>
      <c r="C8" s="3"/>
      <c r="D8" s="4" t="s">
        <v>1</v>
      </c>
      <c r="E8" s="4" t="s">
        <v>2</v>
      </c>
      <c r="F8" s="3"/>
      <c r="G8" s="3"/>
    </row>
    <row r="9" spans="1:9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9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9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9" x14ac:dyDescent="0.2">
      <c r="B12" s="2">
        <v>1</v>
      </c>
      <c r="C12" s="70" t="s">
        <v>15</v>
      </c>
      <c r="D12" s="71"/>
      <c r="E12" s="71"/>
      <c r="F12" s="71"/>
      <c r="G12" s="72"/>
    </row>
    <row r="13" spans="1:9" x14ac:dyDescent="0.2">
      <c r="B13" s="2" t="s">
        <v>16</v>
      </c>
      <c r="C13" s="8" t="s">
        <v>70</v>
      </c>
      <c r="D13" s="8"/>
      <c r="E13" s="8"/>
      <c r="F13" s="9"/>
      <c r="G13" s="35">
        <v>790195</v>
      </c>
      <c r="I13" s="84"/>
    </row>
    <row r="14" spans="1:9" x14ac:dyDescent="0.2">
      <c r="B14" s="5" t="s">
        <v>17</v>
      </c>
      <c r="C14" s="8" t="s">
        <v>18</v>
      </c>
      <c r="D14" s="8"/>
      <c r="E14" s="8"/>
      <c r="F14" s="11"/>
      <c r="G14" s="12">
        <f>G13</f>
        <v>790195</v>
      </c>
    </row>
    <row r="15" spans="1:9" x14ac:dyDescent="0.2">
      <c r="B15" s="4">
        <v>2</v>
      </c>
      <c r="C15" s="13">
        <v>44562</v>
      </c>
      <c r="D15" s="51">
        <f>1528222-1433</f>
        <v>1526789</v>
      </c>
      <c r="E15" s="52">
        <v>1838184.85</v>
      </c>
      <c r="F15" s="14">
        <f t="shared" ref="F15:F22" si="0">D15-E15</f>
        <v>-311395.85000000009</v>
      </c>
      <c r="G15" s="12">
        <f t="shared" ref="G15:G22" si="1">G14+F15</f>
        <v>478799.14999999991</v>
      </c>
    </row>
    <row r="16" spans="1:9" x14ac:dyDescent="0.2">
      <c r="B16" s="4">
        <v>3</v>
      </c>
      <c r="C16" s="15">
        <v>44593</v>
      </c>
      <c r="D16" s="53">
        <f>1238612-857</f>
        <v>1237755</v>
      </c>
      <c r="E16" s="54">
        <v>1628018.88</v>
      </c>
      <c r="F16" s="16">
        <f t="shared" si="0"/>
        <v>-390263.87999999989</v>
      </c>
      <c r="G16" s="17">
        <f t="shared" si="1"/>
        <v>88535.270000000019</v>
      </c>
    </row>
    <row r="17" spans="2:7" x14ac:dyDescent="0.2">
      <c r="B17" s="4">
        <v>4</v>
      </c>
      <c r="C17" s="15">
        <v>44621</v>
      </c>
      <c r="D17" s="53">
        <f>832985-1093</f>
        <v>831892</v>
      </c>
      <c r="E17" s="54">
        <v>1105182.24</v>
      </c>
      <c r="F17" s="16">
        <f t="shared" si="0"/>
        <v>-273290.23999999999</v>
      </c>
      <c r="G17" s="17">
        <f t="shared" si="1"/>
        <v>-184754.96999999997</v>
      </c>
    </row>
    <row r="18" spans="2:7" x14ac:dyDescent="0.2">
      <c r="B18" s="4">
        <v>5</v>
      </c>
      <c r="C18" s="15">
        <v>44652</v>
      </c>
      <c r="D18" s="53">
        <f>1013967-1224</f>
        <v>1012743</v>
      </c>
      <c r="E18" s="54">
        <v>806373.85</v>
      </c>
      <c r="F18" s="16">
        <f t="shared" si="0"/>
        <v>206369.15000000002</v>
      </c>
      <c r="G18" s="17">
        <f t="shared" si="1"/>
        <v>21614.180000000051</v>
      </c>
    </row>
    <row r="19" spans="2:7" x14ac:dyDescent="0.2">
      <c r="B19" s="4">
        <v>6</v>
      </c>
      <c r="C19" s="15">
        <v>44682</v>
      </c>
      <c r="D19" s="53">
        <f>1116952-1211</f>
        <v>1115741</v>
      </c>
      <c r="E19" s="54">
        <v>951092.85</v>
      </c>
      <c r="F19" s="16">
        <f t="shared" si="0"/>
        <v>164648.15000000002</v>
      </c>
      <c r="G19" s="17">
        <f t="shared" si="1"/>
        <v>186262.33000000007</v>
      </c>
    </row>
    <row r="20" spans="2:7" x14ac:dyDescent="0.2">
      <c r="B20" s="4">
        <v>7</v>
      </c>
      <c r="C20" s="15">
        <v>44713</v>
      </c>
      <c r="D20" s="53">
        <f>1521268-300</f>
        <v>1520968</v>
      </c>
      <c r="E20" s="54">
        <v>1256774.8899999999</v>
      </c>
      <c r="F20" s="18">
        <f t="shared" si="0"/>
        <v>264193.1100000001</v>
      </c>
      <c r="G20" s="19">
        <f t="shared" si="1"/>
        <v>450455.44000000018</v>
      </c>
    </row>
    <row r="21" spans="2:7" x14ac:dyDescent="0.2">
      <c r="B21" s="20" t="s">
        <v>19</v>
      </c>
      <c r="C21" s="13">
        <v>44743</v>
      </c>
      <c r="D21" s="51">
        <f>1742690-1218</f>
        <v>1741472</v>
      </c>
      <c r="E21" s="52">
        <v>1564171.16</v>
      </c>
      <c r="F21" s="14">
        <f t="shared" si="0"/>
        <v>177300.84000000008</v>
      </c>
      <c r="G21" s="12">
        <f t="shared" si="1"/>
        <v>627756.28000000026</v>
      </c>
    </row>
    <row r="22" spans="2:7" x14ac:dyDescent="0.2">
      <c r="B22" s="21" t="s">
        <v>20</v>
      </c>
      <c r="C22" s="22">
        <v>44774</v>
      </c>
      <c r="D22" s="62">
        <f>1330741-247</f>
        <v>1330494</v>
      </c>
      <c r="E22" s="63">
        <v>1610365.93</v>
      </c>
      <c r="F22" s="18">
        <f t="shared" si="0"/>
        <v>-279871.92999999993</v>
      </c>
      <c r="G22" s="19">
        <f t="shared" si="1"/>
        <v>347884.35000000033</v>
      </c>
    </row>
    <row r="23" spans="2:7" x14ac:dyDescent="0.2">
      <c r="B23" s="5"/>
      <c r="C23" s="23" t="s">
        <v>71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72</v>
      </c>
      <c r="D30" s="35">
        <f>-G13</f>
        <v>-790195</v>
      </c>
      <c r="E30" s="35">
        <v>0</v>
      </c>
      <c r="F30" s="55"/>
      <c r="G30" s="35">
        <f>D30+E30</f>
        <v>-790195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-790195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52</v>
      </c>
      <c r="D33" s="8"/>
      <c r="E33" s="8"/>
      <c r="F33" s="9"/>
      <c r="G33" s="35">
        <f>G20+G31</f>
        <v>-339739.55999999982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73</v>
      </c>
      <c r="D35" s="8"/>
      <c r="E35" s="8"/>
      <c r="F35" s="9"/>
      <c r="G35" s="35">
        <f>G33/6</f>
        <v>-56623.259999999973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790195</v>
      </c>
    </row>
    <row r="40" spans="2:7" x14ac:dyDescent="0.2">
      <c r="B40" s="4">
        <v>12</v>
      </c>
      <c r="C40" t="s">
        <v>39</v>
      </c>
      <c r="G40" s="42">
        <f>G31</f>
        <v>-790195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-339739.55999999982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-339739.55999999982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74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60DD-E127-4E0A-B611-4B3EB7661836}">
  <dimension ref="A1:G62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'05-31-25'!$A$1</f>
        <v>Staff DR1 Response 2 - Blue Grass Surcharge Summary.xlsx</v>
      </c>
    </row>
    <row r="4" spans="1:7" ht="14.25" customHeight="1" x14ac:dyDescent="0.2">
      <c r="B4" s="78" t="s">
        <v>69</v>
      </c>
      <c r="C4" s="79"/>
      <c r="D4" s="79"/>
      <c r="E4" s="79"/>
      <c r="F4" s="79"/>
      <c r="G4" s="80"/>
    </row>
    <row r="5" spans="1:7" x14ac:dyDescent="0.2">
      <c r="B5" s="81"/>
      <c r="C5" s="82"/>
      <c r="D5" s="82"/>
      <c r="E5" s="82"/>
      <c r="F5" s="82"/>
      <c r="G5" s="8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70" t="s">
        <v>15</v>
      </c>
      <c r="D12" s="71"/>
      <c r="E12" s="71"/>
      <c r="F12" s="71"/>
      <c r="G12" s="72"/>
    </row>
    <row r="13" spans="1:7" x14ac:dyDescent="0.2">
      <c r="B13" s="2" t="s">
        <v>16</v>
      </c>
      <c r="C13" s="8" t="s">
        <v>70</v>
      </c>
      <c r="D13" s="8"/>
      <c r="E13" s="8"/>
      <c r="F13" s="9"/>
      <c r="G13" s="35">
        <v>790195</v>
      </c>
    </row>
    <row r="14" spans="1:7" x14ac:dyDescent="0.2">
      <c r="B14" s="4" t="s">
        <v>17</v>
      </c>
      <c r="C14" s="8" t="s">
        <v>75</v>
      </c>
      <c r="D14" s="8"/>
      <c r="E14" s="8"/>
      <c r="F14" s="9"/>
      <c r="G14" s="85">
        <f>'A - 05-31-22'!G33</f>
        <v>-339739.55999999982</v>
      </c>
    </row>
    <row r="15" spans="1:7" x14ac:dyDescent="0.2">
      <c r="B15" s="5" t="s">
        <v>76</v>
      </c>
      <c r="C15" s="8" t="s">
        <v>18</v>
      </c>
      <c r="D15" s="8"/>
      <c r="E15" s="8"/>
      <c r="F15" s="11"/>
      <c r="G15" s="12">
        <f>G13+G14</f>
        <v>450455.44000000018</v>
      </c>
    </row>
    <row r="16" spans="1:7" x14ac:dyDescent="0.2">
      <c r="B16" s="4">
        <v>2</v>
      </c>
      <c r="C16" s="13">
        <v>44743</v>
      </c>
      <c r="D16" s="51">
        <f>1742690-1218</f>
        <v>1741472</v>
      </c>
      <c r="E16" s="52">
        <v>1564171.16</v>
      </c>
      <c r="F16" s="14">
        <f t="shared" ref="F16:F23" si="0">D16-E16</f>
        <v>177300.84000000008</v>
      </c>
      <c r="G16" s="12">
        <f t="shared" ref="G16:G23" si="1">G15+F16</f>
        <v>627756.28000000026</v>
      </c>
    </row>
    <row r="17" spans="2:7" x14ac:dyDescent="0.2">
      <c r="B17" s="4">
        <v>3</v>
      </c>
      <c r="C17" s="15">
        <v>44774</v>
      </c>
      <c r="D17" s="53">
        <f>1330741-247</f>
        <v>1330494</v>
      </c>
      <c r="E17" s="54">
        <v>1610365.93</v>
      </c>
      <c r="F17" s="16">
        <f t="shared" si="0"/>
        <v>-279871.92999999993</v>
      </c>
      <c r="G17" s="17">
        <f t="shared" si="1"/>
        <v>347884.35000000033</v>
      </c>
    </row>
    <row r="18" spans="2:7" x14ac:dyDescent="0.2">
      <c r="B18" s="4">
        <v>4</v>
      </c>
      <c r="C18" s="15">
        <v>44805</v>
      </c>
      <c r="D18" s="53">
        <f>938949-0</f>
        <v>938949</v>
      </c>
      <c r="E18" s="54">
        <v>1313563.54</v>
      </c>
      <c r="F18" s="16">
        <f t="shared" si="0"/>
        <v>-374614.54000000004</v>
      </c>
      <c r="G18" s="17">
        <f t="shared" si="1"/>
        <v>-26730.189999999711</v>
      </c>
    </row>
    <row r="19" spans="2:7" x14ac:dyDescent="0.2">
      <c r="B19" s="4">
        <v>5</v>
      </c>
      <c r="C19" s="15">
        <v>44835</v>
      </c>
      <c r="D19" s="53">
        <f>1036739-943</f>
        <v>1035796</v>
      </c>
      <c r="E19" s="54">
        <v>845980.3</v>
      </c>
      <c r="F19" s="16">
        <f t="shared" si="0"/>
        <v>189815.69999999995</v>
      </c>
      <c r="G19" s="17">
        <f t="shared" si="1"/>
        <v>163085.51000000024</v>
      </c>
    </row>
    <row r="20" spans="2:7" x14ac:dyDescent="0.2">
      <c r="B20" s="4">
        <v>6</v>
      </c>
      <c r="C20" s="15">
        <v>44866</v>
      </c>
      <c r="D20" s="53">
        <f>1332611-1054</f>
        <v>1331557</v>
      </c>
      <c r="E20" s="54">
        <v>1114509.56</v>
      </c>
      <c r="F20" s="16">
        <f t="shared" si="0"/>
        <v>217047.43999999994</v>
      </c>
      <c r="G20" s="17">
        <f t="shared" si="1"/>
        <v>380132.95000000019</v>
      </c>
    </row>
    <row r="21" spans="2:7" x14ac:dyDescent="0.2">
      <c r="B21" s="4">
        <v>7</v>
      </c>
      <c r="C21" s="15">
        <v>44896</v>
      </c>
      <c r="D21" s="53">
        <f>1961313-1114</f>
        <v>1960199</v>
      </c>
      <c r="E21" s="54">
        <v>1577835.43</v>
      </c>
      <c r="F21" s="18">
        <f t="shared" si="0"/>
        <v>382363.57000000007</v>
      </c>
      <c r="G21" s="19">
        <f t="shared" si="1"/>
        <v>762496.52000000025</v>
      </c>
    </row>
    <row r="22" spans="2:7" x14ac:dyDescent="0.2">
      <c r="B22" s="20" t="s">
        <v>19</v>
      </c>
      <c r="C22" s="13">
        <v>44927</v>
      </c>
      <c r="D22" s="51">
        <f>1560764-954</f>
        <v>1559810</v>
      </c>
      <c r="E22" s="52">
        <v>1894475.1</v>
      </c>
      <c r="F22" s="14">
        <f t="shared" si="0"/>
        <v>-334665.10000000009</v>
      </c>
      <c r="G22" s="12">
        <f t="shared" si="1"/>
        <v>427831.42000000016</v>
      </c>
    </row>
    <row r="23" spans="2:7" x14ac:dyDescent="0.2">
      <c r="B23" s="21" t="s">
        <v>20</v>
      </c>
      <c r="C23" s="22">
        <v>44958</v>
      </c>
      <c r="D23" s="62">
        <f>789373-639</f>
        <v>788734</v>
      </c>
      <c r="E23" s="63">
        <v>1531492.04</v>
      </c>
      <c r="F23" s="18">
        <f t="shared" si="0"/>
        <v>-742758.04</v>
      </c>
      <c r="G23" s="19">
        <f t="shared" si="1"/>
        <v>-314926.61999999988</v>
      </c>
    </row>
    <row r="24" spans="2:7" x14ac:dyDescent="0.2">
      <c r="B24" s="5"/>
      <c r="C24" s="23" t="s">
        <v>77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72</v>
      </c>
      <c r="D31" s="12">
        <f>-G13</f>
        <v>-790195</v>
      </c>
      <c r="E31" s="12">
        <v>0</v>
      </c>
      <c r="F31" s="1"/>
      <c r="G31" s="12">
        <f>D31+E31</f>
        <v>-790195</v>
      </c>
    </row>
    <row r="32" spans="2:7" x14ac:dyDescent="0.2">
      <c r="B32" s="27" t="s">
        <v>35</v>
      </c>
      <c r="C32" s="28" t="s">
        <v>78</v>
      </c>
      <c r="D32" s="19">
        <f>-G14</f>
        <v>339739.55999999982</v>
      </c>
      <c r="E32" s="19">
        <v>0</v>
      </c>
      <c r="F32" s="28"/>
      <c r="G32" s="19">
        <f>D32+E32</f>
        <v>339739.55999999982</v>
      </c>
    </row>
    <row r="33" spans="2:7" x14ac:dyDescent="0.2">
      <c r="B33" s="5" t="s">
        <v>79</v>
      </c>
      <c r="C33" s="29"/>
      <c r="D33" s="30"/>
      <c r="E33" s="30"/>
      <c r="F33" s="31" t="s">
        <v>36</v>
      </c>
      <c r="G33" s="19">
        <f>G31+G32</f>
        <v>-450455.44000000018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80</v>
      </c>
      <c r="D35" s="8"/>
      <c r="E35" s="8"/>
      <c r="F35" s="9"/>
      <c r="G35" s="35">
        <f>G21+G33</f>
        <v>312041.08000000007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73</v>
      </c>
      <c r="D37" s="8"/>
      <c r="E37" s="8"/>
      <c r="F37" s="9"/>
      <c r="G37" s="35">
        <f>G35/6</f>
        <v>52006.846666666679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450455.44000000018</v>
      </c>
    </row>
    <row r="42" spans="2:7" x14ac:dyDescent="0.2">
      <c r="B42" s="4">
        <v>12</v>
      </c>
      <c r="C42" t="s">
        <v>39</v>
      </c>
      <c r="G42" s="42">
        <f>G33</f>
        <v>-450455.44000000018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312041.08000000007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312041.08000000007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74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DA9F-1571-4CF4-B7EE-334017EEB179}">
  <dimension ref="A1:G64"/>
  <sheetViews>
    <sheetView workbookViewId="0"/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'05-31-25'!$A$1</f>
        <v>Staff DR1 Response 2 - Blue Grass Surcharge Summary.xlsx</v>
      </c>
    </row>
    <row r="4" spans="1:7" ht="14.25" customHeight="1" x14ac:dyDescent="0.2">
      <c r="B4" s="78" t="s">
        <v>69</v>
      </c>
      <c r="C4" s="79"/>
      <c r="D4" s="79"/>
      <c r="E4" s="79"/>
      <c r="F4" s="79"/>
      <c r="G4" s="80"/>
    </row>
    <row r="5" spans="1:7" x14ac:dyDescent="0.2">
      <c r="B5" s="81"/>
      <c r="C5" s="82"/>
      <c r="D5" s="82"/>
      <c r="E5" s="82"/>
      <c r="F5" s="82"/>
      <c r="G5" s="8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70" t="s">
        <v>15</v>
      </c>
      <c r="D12" s="71"/>
      <c r="E12" s="71"/>
      <c r="F12" s="71"/>
      <c r="G12" s="72"/>
    </row>
    <row r="13" spans="1:7" x14ac:dyDescent="0.2">
      <c r="B13" s="2" t="s">
        <v>16</v>
      </c>
      <c r="C13" s="8" t="s">
        <v>70</v>
      </c>
      <c r="D13" s="8"/>
      <c r="E13" s="8"/>
      <c r="F13" s="9"/>
      <c r="G13" s="35">
        <v>790195</v>
      </c>
    </row>
    <row r="14" spans="1:7" x14ac:dyDescent="0.2">
      <c r="B14" s="4" t="s">
        <v>17</v>
      </c>
      <c r="C14" s="8" t="s">
        <v>75</v>
      </c>
      <c r="D14" s="8"/>
      <c r="E14" s="8"/>
      <c r="F14" s="9"/>
      <c r="G14" s="85">
        <f>'A - 05-31-22'!G33</f>
        <v>-339739.55999999982</v>
      </c>
    </row>
    <row r="15" spans="1:7" x14ac:dyDescent="0.2">
      <c r="B15" s="4" t="s">
        <v>76</v>
      </c>
      <c r="C15" s="8" t="s">
        <v>81</v>
      </c>
      <c r="D15" s="8"/>
      <c r="E15" s="8"/>
      <c r="F15" s="9"/>
      <c r="G15" s="85">
        <f>'B - 11-30-22'!G35</f>
        <v>312041.08000000007</v>
      </c>
    </row>
    <row r="16" spans="1:7" x14ac:dyDescent="0.2">
      <c r="B16" s="5" t="s">
        <v>82</v>
      </c>
      <c r="C16" s="8" t="s">
        <v>18</v>
      </c>
      <c r="D16" s="8"/>
      <c r="E16" s="8"/>
      <c r="F16" s="11"/>
      <c r="G16" s="12">
        <f>G13+G14+G15</f>
        <v>762496.52000000025</v>
      </c>
    </row>
    <row r="17" spans="2:7" x14ac:dyDescent="0.2">
      <c r="B17" s="4">
        <v>2</v>
      </c>
      <c r="C17" s="13">
        <v>44927</v>
      </c>
      <c r="D17" s="51">
        <f>1560764-954</f>
        <v>1559810</v>
      </c>
      <c r="E17" s="52">
        <v>1894475.1</v>
      </c>
      <c r="F17" s="14">
        <f t="shared" ref="F17:F24" si="0">D17-E17</f>
        <v>-334665.10000000009</v>
      </c>
      <c r="G17" s="12">
        <f t="shared" ref="G17:G24" si="1">G16+F17</f>
        <v>427831.42000000016</v>
      </c>
    </row>
    <row r="18" spans="2:7" x14ac:dyDescent="0.2">
      <c r="B18" s="4">
        <v>3</v>
      </c>
      <c r="C18" s="15">
        <v>44958</v>
      </c>
      <c r="D18" s="53">
        <f>789373-639</f>
        <v>788734</v>
      </c>
      <c r="E18" s="54">
        <v>1531492.04</v>
      </c>
      <c r="F18" s="16">
        <f t="shared" si="0"/>
        <v>-742758.04</v>
      </c>
      <c r="G18" s="17">
        <f t="shared" si="1"/>
        <v>-314926.61999999988</v>
      </c>
    </row>
    <row r="19" spans="2:7" x14ac:dyDescent="0.2">
      <c r="B19" s="4">
        <v>4</v>
      </c>
      <c r="C19" s="15">
        <v>44986</v>
      </c>
      <c r="D19" s="53">
        <f>988322-820</f>
        <v>987502</v>
      </c>
      <c r="E19" s="54">
        <v>811193.78</v>
      </c>
      <c r="F19" s="16">
        <f t="shared" si="0"/>
        <v>176308.21999999997</v>
      </c>
      <c r="G19" s="17">
        <f t="shared" si="1"/>
        <v>-138618.39999999991</v>
      </c>
    </row>
    <row r="20" spans="2:7" x14ac:dyDescent="0.2">
      <c r="B20" s="4">
        <v>5</v>
      </c>
      <c r="C20" s="15">
        <v>45017</v>
      </c>
      <c r="D20" s="53">
        <f>1056086-1138</f>
        <v>1054948</v>
      </c>
      <c r="E20" s="54">
        <v>898944.67</v>
      </c>
      <c r="F20" s="16">
        <f t="shared" si="0"/>
        <v>156003.32999999996</v>
      </c>
      <c r="G20" s="17">
        <f t="shared" si="1"/>
        <v>17384.930000000051</v>
      </c>
    </row>
    <row r="21" spans="2:7" x14ac:dyDescent="0.2">
      <c r="B21" s="4">
        <v>6</v>
      </c>
      <c r="C21" s="15">
        <v>45047</v>
      </c>
      <c r="D21" s="53">
        <f>1099346-1116</f>
        <v>1098230</v>
      </c>
      <c r="E21" s="54">
        <v>1131709.24</v>
      </c>
      <c r="F21" s="16">
        <f t="shared" si="0"/>
        <v>-33479.239999999991</v>
      </c>
      <c r="G21" s="17">
        <f t="shared" si="1"/>
        <v>-16094.309999999939</v>
      </c>
    </row>
    <row r="22" spans="2:7" x14ac:dyDescent="0.2">
      <c r="B22" s="4">
        <v>7</v>
      </c>
      <c r="C22" s="15">
        <v>45078</v>
      </c>
      <c r="D22" s="53">
        <f>1253408-1326</f>
        <v>1252082</v>
      </c>
      <c r="E22" s="54">
        <v>1216217.3400000001</v>
      </c>
      <c r="F22" s="18">
        <f t="shared" si="0"/>
        <v>35864.659999999916</v>
      </c>
      <c r="G22" s="19">
        <f t="shared" si="1"/>
        <v>19770.349999999977</v>
      </c>
    </row>
    <row r="23" spans="2:7" x14ac:dyDescent="0.2">
      <c r="B23" s="20" t="s">
        <v>19</v>
      </c>
      <c r="C23" s="13">
        <v>45108</v>
      </c>
      <c r="D23" s="51">
        <f>1639912-1381</f>
        <v>1638531</v>
      </c>
      <c r="E23" s="52">
        <v>1515226.4</v>
      </c>
      <c r="F23" s="14">
        <f t="shared" si="0"/>
        <v>123304.60000000009</v>
      </c>
      <c r="G23" s="12">
        <f t="shared" si="1"/>
        <v>143074.95000000007</v>
      </c>
    </row>
    <row r="24" spans="2:7" x14ac:dyDescent="0.2">
      <c r="B24" s="21" t="s">
        <v>20</v>
      </c>
      <c r="C24" s="22">
        <v>45139</v>
      </c>
      <c r="D24" s="62">
        <f>1704409-0</f>
        <v>1704409</v>
      </c>
      <c r="E24" s="63">
        <v>1672045.18</v>
      </c>
      <c r="F24" s="18">
        <f t="shared" si="0"/>
        <v>32363.820000000065</v>
      </c>
      <c r="G24" s="19">
        <f t="shared" si="1"/>
        <v>175438.77000000014</v>
      </c>
    </row>
    <row r="25" spans="2:7" x14ac:dyDescent="0.2">
      <c r="B25" s="5"/>
      <c r="C25" s="23" t="s">
        <v>83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72</v>
      </c>
      <c r="D32" s="12">
        <f>-G13</f>
        <v>-790195</v>
      </c>
      <c r="E32" s="12">
        <v>0</v>
      </c>
      <c r="F32" s="1"/>
      <c r="G32" s="12">
        <f t="shared" ref="G32:G34" si="2">D32+E32</f>
        <v>-790195</v>
      </c>
    </row>
    <row r="33" spans="2:7" x14ac:dyDescent="0.2">
      <c r="B33" s="27" t="s">
        <v>35</v>
      </c>
      <c r="C33" s="86" t="s">
        <v>78</v>
      </c>
      <c r="D33" s="17">
        <f>-G14</f>
        <v>339739.55999999982</v>
      </c>
      <c r="E33" s="17">
        <v>0</v>
      </c>
      <c r="F33" s="3"/>
      <c r="G33" s="17">
        <f t="shared" si="2"/>
        <v>339739.55999999982</v>
      </c>
    </row>
    <row r="34" spans="2:7" x14ac:dyDescent="0.2">
      <c r="B34" s="27" t="s">
        <v>79</v>
      </c>
      <c r="C34" s="45" t="s">
        <v>84</v>
      </c>
      <c r="D34" s="19">
        <f>-G15</f>
        <v>-312041.08000000007</v>
      </c>
      <c r="E34" s="19">
        <v>0</v>
      </c>
      <c r="F34" s="28"/>
      <c r="G34" s="19">
        <f t="shared" si="2"/>
        <v>-312041.08000000007</v>
      </c>
    </row>
    <row r="35" spans="2:7" x14ac:dyDescent="0.2">
      <c r="B35" s="5" t="s">
        <v>85</v>
      </c>
      <c r="C35" s="29"/>
      <c r="D35" s="30"/>
      <c r="E35" s="30"/>
      <c r="F35" s="31" t="s">
        <v>36</v>
      </c>
      <c r="G35" s="19">
        <f>G32+G33+G34</f>
        <v>-762496.52000000025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86</v>
      </c>
      <c r="D37" s="8"/>
      <c r="E37" s="8"/>
      <c r="F37" s="9"/>
      <c r="G37" s="35">
        <f>G22+G35</f>
        <v>-742726.17000000027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73</v>
      </c>
      <c r="D39" s="8"/>
      <c r="E39" s="8"/>
      <c r="F39" s="9"/>
      <c r="G39" s="35">
        <f>G37/6</f>
        <v>-123787.69500000005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762496.52000000025</v>
      </c>
    </row>
    <row r="44" spans="2:7" x14ac:dyDescent="0.2">
      <c r="B44" s="4">
        <v>12</v>
      </c>
      <c r="C44" t="s">
        <v>39</v>
      </c>
      <c r="G44" s="42">
        <f>G35</f>
        <v>-762496.52000000025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-742726.17000000027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-742726.17000000027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74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D6AE-4B82-4958-92F9-61982E0DF06E}">
  <dimension ref="A1:G66"/>
  <sheetViews>
    <sheetView workbookViewId="0"/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'05-31-25'!$A$1</f>
        <v>Staff DR1 Response 2 - Blue Grass Surcharge Summary.xlsx</v>
      </c>
    </row>
    <row r="4" spans="1:7" ht="14.25" customHeight="1" x14ac:dyDescent="0.2">
      <c r="B4" s="78" t="s">
        <v>69</v>
      </c>
      <c r="C4" s="79"/>
      <c r="D4" s="79"/>
      <c r="E4" s="79"/>
      <c r="F4" s="79"/>
      <c r="G4" s="80"/>
    </row>
    <row r="5" spans="1:7" x14ac:dyDescent="0.2">
      <c r="B5" s="81"/>
      <c r="C5" s="82"/>
      <c r="D5" s="82"/>
      <c r="E5" s="82"/>
      <c r="F5" s="82"/>
      <c r="G5" s="8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70" t="s">
        <v>15</v>
      </c>
      <c r="D12" s="71"/>
      <c r="E12" s="71"/>
      <c r="F12" s="71"/>
      <c r="G12" s="72"/>
    </row>
    <row r="13" spans="1:7" x14ac:dyDescent="0.2">
      <c r="B13" s="2" t="s">
        <v>16</v>
      </c>
      <c r="C13" s="8" t="s">
        <v>70</v>
      </c>
      <c r="D13" s="8"/>
      <c r="E13" s="8"/>
      <c r="F13" s="9"/>
      <c r="G13" s="35">
        <v>790195</v>
      </c>
    </row>
    <row r="14" spans="1:7" x14ac:dyDescent="0.2">
      <c r="B14" s="4" t="s">
        <v>17</v>
      </c>
      <c r="C14" s="8" t="s">
        <v>75</v>
      </c>
      <c r="D14" s="8"/>
      <c r="E14" s="8"/>
      <c r="F14" s="9"/>
      <c r="G14" s="85">
        <f>'A - 05-31-22'!G33</f>
        <v>-339739.55999999982</v>
      </c>
    </row>
    <row r="15" spans="1:7" x14ac:dyDescent="0.2">
      <c r="B15" s="4" t="s">
        <v>76</v>
      </c>
      <c r="C15" s="8" t="s">
        <v>81</v>
      </c>
      <c r="D15" s="8"/>
      <c r="E15" s="8"/>
      <c r="F15" s="9"/>
      <c r="G15" s="85">
        <f>'B - 11-30-22'!G35</f>
        <v>312041.08000000007</v>
      </c>
    </row>
    <row r="16" spans="1:7" x14ac:dyDescent="0.2">
      <c r="B16" s="4" t="s">
        <v>82</v>
      </c>
      <c r="C16" s="8" t="s">
        <v>87</v>
      </c>
      <c r="D16" s="8"/>
      <c r="E16" s="8"/>
      <c r="F16" s="11"/>
      <c r="G16" s="51">
        <f>'C - 05-31-23'!G37</f>
        <v>-742726.17000000027</v>
      </c>
    </row>
    <row r="17" spans="2:7" x14ac:dyDescent="0.2">
      <c r="B17" s="5" t="s">
        <v>88</v>
      </c>
      <c r="C17" s="8" t="s">
        <v>18</v>
      </c>
      <c r="D17" s="8"/>
      <c r="E17" s="8"/>
      <c r="F17" s="11"/>
      <c r="G17" s="12">
        <f>G13+G14+G15+G16</f>
        <v>19770.349999999977</v>
      </c>
    </row>
    <row r="18" spans="2:7" x14ac:dyDescent="0.2">
      <c r="B18" s="4">
        <v>2</v>
      </c>
      <c r="C18" s="13">
        <v>45108</v>
      </c>
      <c r="D18" s="51">
        <f>1639912-1381</f>
        <v>1638531</v>
      </c>
      <c r="E18" s="52">
        <v>1515226.4</v>
      </c>
      <c r="F18" s="14">
        <f t="shared" ref="F18:F25" si="0">D18-E18</f>
        <v>123304.60000000009</v>
      </c>
      <c r="G18" s="12">
        <f t="shared" ref="G18:G25" si="1">G17+F18</f>
        <v>143074.95000000007</v>
      </c>
    </row>
    <row r="19" spans="2:7" x14ac:dyDescent="0.2">
      <c r="B19" s="4">
        <v>3</v>
      </c>
      <c r="C19" s="15">
        <v>45139</v>
      </c>
      <c r="D19" s="53">
        <f>1704409-0</f>
        <v>1704409</v>
      </c>
      <c r="E19" s="54">
        <v>1672045.18</v>
      </c>
      <c r="F19" s="16">
        <f t="shared" si="0"/>
        <v>32363.820000000065</v>
      </c>
      <c r="G19" s="17">
        <f t="shared" si="1"/>
        <v>175438.77000000014</v>
      </c>
    </row>
    <row r="20" spans="2:7" x14ac:dyDescent="0.2">
      <c r="B20" s="4">
        <v>4</v>
      </c>
      <c r="C20" s="15">
        <v>45170</v>
      </c>
      <c r="D20" s="53">
        <f>1136143-0</f>
        <v>1136143</v>
      </c>
      <c r="E20" s="54">
        <v>1559652.56</v>
      </c>
      <c r="F20" s="16">
        <f t="shared" si="0"/>
        <v>-423509.56000000006</v>
      </c>
      <c r="G20" s="17">
        <f t="shared" si="1"/>
        <v>-248070.78999999992</v>
      </c>
    </row>
    <row r="21" spans="2:7" x14ac:dyDescent="0.2">
      <c r="B21" s="4">
        <v>5</v>
      </c>
      <c r="C21" s="15">
        <v>45200</v>
      </c>
      <c r="D21" s="53">
        <f>1021980-1071</f>
        <v>1020909</v>
      </c>
      <c r="E21" s="54">
        <v>1055655.56</v>
      </c>
      <c r="F21" s="16">
        <f t="shared" si="0"/>
        <v>-34746.560000000056</v>
      </c>
      <c r="G21" s="17">
        <f t="shared" si="1"/>
        <v>-282817.34999999998</v>
      </c>
    </row>
    <row r="22" spans="2:7" x14ac:dyDescent="0.2">
      <c r="B22" s="4">
        <v>6</v>
      </c>
      <c r="C22" s="15">
        <v>45231</v>
      </c>
      <c r="D22" s="53">
        <f>1449872-1283</f>
        <v>1448589</v>
      </c>
      <c r="E22" s="54">
        <v>1066926.1200000001</v>
      </c>
      <c r="F22" s="16">
        <f t="shared" si="0"/>
        <v>381662.87999999989</v>
      </c>
      <c r="G22" s="17">
        <f t="shared" si="1"/>
        <v>98845.529999999912</v>
      </c>
    </row>
    <row r="23" spans="2:7" x14ac:dyDescent="0.2">
      <c r="B23" s="4">
        <v>7</v>
      </c>
      <c r="C23" s="15">
        <v>45261</v>
      </c>
      <c r="D23" s="53">
        <f>1624880-1322</f>
        <v>1623558</v>
      </c>
      <c r="E23" s="54">
        <v>1573074.43</v>
      </c>
      <c r="F23" s="18">
        <f t="shared" si="0"/>
        <v>50483.570000000065</v>
      </c>
      <c r="G23" s="19">
        <f t="shared" si="1"/>
        <v>149329.09999999998</v>
      </c>
    </row>
    <row r="24" spans="2:7" x14ac:dyDescent="0.2">
      <c r="B24" s="20" t="s">
        <v>19</v>
      </c>
      <c r="C24" s="13">
        <v>45292</v>
      </c>
      <c r="D24" s="51">
        <f>2036693-1231</f>
        <v>2035462</v>
      </c>
      <c r="E24" s="52">
        <v>1902337.45</v>
      </c>
      <c r="F24" s="14">
        <f t="shared" si="0"/>
        <v>133124.55000000005</v>
      </c>
      <c r="G24" s="12">
        <f t="shared" si="1"/>
        <v>282453.65000000002</v>
      </c>
    </row>
    <row r="25" spans="2:7" x14ac:dyDescent="0.2">
      <c r="B25" s="21" t="s">
        <v>20</v>
      </c>
      <c r="C25" s="22">
        <v>45323</v>
      </c>
      <c r="D25" s="62">
        <f>1456807-1147</f>
        <v>1455660</v>
      </c>
      <c r="E25" s="63">
        <v>1677526.52</v>
      </c>
      <c r="F25" s="18">
        <f t="shared" si="0"/>
        <v>-221866.52000000002</v>
      </c>
      <c r="G25" s="19">
        <f t="shared" si="1"/>
        <v>60587.130000000005</v>
      </c>
    </row>
    <row r="26" spans="2:7" x14ac:dyDescent="0.2">
      <c r="B26" s="5"/>
      <c r="C26" s="23" t="s">
        <v>89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7" t="s">
        <v>90</v>
      </c>
      <c r="D33" s="88">
        <f>-G13</f>
        <v>-790195</v>
      </c>
      <c r="E33" s="88">
        <v>0</v>
      </c>
      <c r="F33" s="11"/>
      <c r="G33" s="89">
        <f t="shared" ref="G33:G36" si="2">D33+E33</f>
        <v>-790195</v>
      </c>
    </row>
    <row r="34" spans="2:7" x14ac:dyDescent="0.2">
      <c r="B34" s="27" t="s">
        <v>35</v>
      </c>
      <c r="C34" s="90" t="s">
        <v>78</v>
      </c>
      <c r="D34" s="33">
        <f>-G14</f>
        <v>339739.55999999982</v>
      </c>
      <c r="E34" s="33">
        <v>0</v>
      </c>
      <c r="F34" s="86"/>
      <c r="G34" s="41">
        <f t="shared" si="2"/>
        <v>339739.55999999982</v>
      </c>
    </row>
    <row r="35" spans="2:7" x14ac:dyDescent="0.2">
      <c r="B35" s="27" t="s">
        <v>79</v>
      </c>
      <c r="C35" s="90" t="s">
        <v>84</v>
      </c>
      <c r="D35" s="33">
        <f>-G15</f>
        <v>-312041.08000000007</v>
      </c>
      <c r="E35" s="33">
        <v>0</v>
      </c>
      <c r="F35" s="86"/>
      <c r="G35" s="41">
        <f t="shared" si="2"/>
        <v>-312041.08000000007</v>
      </c>
    </row>
    <row r="36" spans="2:7" x14ac:dyDescent="0.2">
      <c r="B36" s="27" t="s">
        <v>85</v>
      </c>
      <c r="C36" s="91" t="s">
        <v>91</v>
      </c>
      <c r="D36" s="92">
        <f>-G16</f>
        <v>742726.17000000027</v>
      </c>
      <c r="E36" s="92">
        <v>0</v>
      </c>
      <c r="F36" s="45"/>
      <c r="G36" s="42">
        <f t="shared" si="2"/>
        <v>742726.17000000027</v>
      </c>
    </row>
    <row r="37" spans="2:7" x14ac:dyDescent="0.2">
      <c r="B37" s="5" t="s">
        <v>92</v>
      </c>
      <c r="C37" s="29"/>
      <c r="D37" s="30"/>
      <c r="E37" s="30"/>
      <c r="F37" s="31" t="s">
        <v>36</v>
      </c>
      <c r="G37" s="19">
        <f>G33+G34+G35+G36</f>
        <v>-19770.349999999977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93</v>
      </c>
      <c r="D39" s="8"/>
      <c r="E39" s="8"/>
      <c r="F39" s="9"/>
      <c r="G39" s="35">
        <f>G23+G37</f>
        <v>129558.75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73</v>
      </c>
      <c r="D41" s="8"/>
      <c r="E41" s="8"/>
      <c r="F41" s="9"/>
      <c r="G41" s="35">
        <f>G39/6</f>
        <v>21593.125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19770.349999999977</v>
      </c>
    </row>
    <row r="46" spans="2:7" x14ac:dyDescent="0.2">
      <c r="B46" s="4">
        <v>12</v>
      </c>
      <c r="C46" t="s">
        <v>39</v>
      </c>
      <c r="G46" s="42">
        <f>G37</f>
        <v>-19770.349999999977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129558.75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129558.75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74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3DC3-BBBA-4CD1-B627-BF3507919DBE}">
  <dimension ref="A1:G68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'05-31-25'!$A$1</f>
        <v>Staff DR1 Response 2 - Blue Grass Surcharge Summary.xlsx</v>
      </c>
    </row>
    <row r="4" spans="1:7" ht="14.25" customHeight="1" x14ac:dyDescent="0.2">
      <c r="B4" s="78" t="s">
        <v>69</v>
      </c>
      <c r="C4" s="79"/>
      <c r="D4" s="79"/>
      <c r="E4" s="79"/>
      <c r="F4" s="79"/>
      <c r="G4" s="80"/>
    </row>
    <row r="5" spans="1:7" x14ac:dyDescent="0.2">
      <c r="B5" s="81"/>
      <c r="C5" s="82"/>
      <c r="D5" s="82"/>
      <c r="E5" s="82"/>
      <c r="F5" s="82"/>
      <c r="G5" s="8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70" t="s">
        <v>15</v>
      </c>
      <c r="D12" s="71"/>
      <c r="E12" s="71"/>
      <c r="F12" s="71"/>
      <c r="G12" s="72"/>
    </row>
    <row r="13" spans="1:7" x14ac:dyDescent="0.2">
      <c r="B13" s="2" t="s">
        <v>16</v>
      </c>
      <c r="C13" s="8" t="s">
        <v>70</v>
      </c>
      <c r="D13" s="8"/>
      <c r="E13" s="8"/>
      <c r="F13" s="9"/>
      <c r="G13" s="35">
        <v>790195</v>
      </c>
    </row>
    <row r="14" spans="1:7" x14ac:dyDescent="0.2">
      <c r="B14" s="4" t="s">
        <v>17</v>
      </c>
      <c r="C14" s="8" t="s">
        <v>75</v>
      </c>
      <c r="D14" s="8"/>
      <c r="E14" s="8"/>
      <c r="F14" s="9"/>
      <c r="G14" s="85">
        <f>'A - 05-31-22'!G33</f>
        <v>-339739.55999999982</v>
      </c>
    </row>
    <row r="15" spans="1:7" x14ac:dyDescent="0.2">
      <c r="B15" s="4" t="s">
        <v>76</v>
      </c>
      <c r="C15" s="8" t="s">
        <v>81</v>
      </c>
      <c r="D15" s="8"/>
      <c r="E15" s="8"/>
      <c r="F15" s="9"/>
      <c r="G15" s="85">
        <f>'B - 11-30-22'!G35</f>
        <v>312041.08000000007</v>
      </c>
    </row>
    <row r="16" spans="1:7" x14ac:dyDescent="0.2">
      <c r="B16" s="4" t="s">
        <v>82</v>
      </c>
      <c r="C16" s="8" t="s">
        <v>87</v>
      </c>
      <c r="D16" s="8"/>
      <c r="E16" s="8"/>
      <c r="F16" s="11"/>
      <c r="G16" s="51">
        <f>'C - 05-31-23'!G37</f>
        <v>-742726.17000000027</v>
      </c>
    </row>
    <row r="17" spans="2:7" x14ac:dyDescent="0.2">
      <c r="B17" s="4" t="s">
        <v>88</v>
      </c>
      <c r="C17" s="8" t="s">
        <v>94</v>
      </c>
      <c r="D17" s="8"/>
      <c r="E17" s="8"/>
      <c r="F17" s="11"/>
      <c r="G17" s="51">
        <f>'D - 11-30-23'!G39</f>
        <v>129558.75</v>
      </c>
    </row>
    <row r="18" spans="2:7" x14ac:dyDescent="0.2">
      <c r="B18" s="5" t="s">
        <v>95</v>
      </c>
      <c r="C18" s="8" t="s">
        <v>18</v>
      </c>
      <c r="D18" s="8"/>
      <c r="E18" s="8"/>
      <c r="F18" s="11"/>
      <c r="G18" s="12">
        <f>G13+G14+G15+G16+G17</f>
        <v>149329.09999999998</v>
      </c>
    </row>
    <row r="19" spans="2:7" x14ac:dyDescent="0.2">
      <c r="B19" s="4">
        <v>2</v>
      </c>
      <c r="C19" s="13">
        <v>45292</v>
      </c>
      <c r="D19" s="51">
        <f>2036693-1231</f>
        <v>2035462</v>
      </c>
      <c r="E19" s="52">
        <v>1902337.45</v>
      </c>
      <c r="F19" s="14">
        <f t="shared" ref="F19:F26" si="0">D19-E19</f>
        <v>133124.55000000005</v>
      </c>
      <c r="G19" s="12">
        <f t="shared" ref="G19:G26" si="1">G18+F19</f>
        <v>282453.65000000002</v>
      </c>
    </row>
    <row r="20" spans="2:7" x14ac:dyDescent="0.2">
      <c r="B20" s="4">
        <v>3</v>
      </c>
      <c r="C20" s="15">
        <v>45323</v>
      </c>
      <c r="D20" s="53">
        <f>1456807-1147</f>
        <v>1455660</v>
      </c>
      <c r="E20" s="54">
        <v>1677526.52</v>
      </c>
      <c r="F20" s="16">
        <f t="shared" si="0"/>
        <v>-221866.52000000002</v>
      </c>
      <c r="G20" s="17">
        <f t="shared" si="1"/>
        <v>60587.130000000005</v>
      </c>
    </row>
    <row r="21" spans="2:7" x14ac:dyDescent="0.2">
      <c r="B21" s="4">
        <v>4</v>
      </c>
      <c r="C21" s="15">
        <v>45352</v>
      </c>
      <c r="D21" s="53">
        <f>869239-817</f>
        <v>868422</v>
      </c>
      <c r="E21" s="54">
        <v>1225343.78</v>
      </c>
      <c r="F21" s="16">
        <f t="shared" si="0"/>
        <v>-356921.78</v>
      </c>
      <c r="G21" s="17">
        <f t="shared" si="1"/>
        <v>-296334.65000000002</v>
      </c>
    </row>
    <row r="22" spans="2:7" x14ac:dyDescent="0.2">
      <c r="B22" s="4">
        <v>5</v>
      </c>
      <c r="C22" s="15">
        <v>45383</v>
      </c>
      <c r="D22" s="53">
        <f>891286-1118</f>
        <v>890168</v>
      </c>
      <c r="E22" s="54">
        <v>862586.93</v>
      </c>
      <c r="F22" s="16">
        <f t="shared" si="0"/>
        <v>27581.069999999949</v>
      </c>
      <c r="G22" s="17">
        <f t="shared" si="1"/>
        <v>-268753.58000000007</v>
      </c>
    </row>
    <row r="23" spans="2:7" x14ac:dyDescent="0.2">
      <c r="B23" s="4">
        <v>6</v>
      </c>
      <c r="C23" s="15">
        <v>45413</v>
      </c>
      <c r="D23" s="53">
        <f>1285341-1362</f>
        <v>1283979</v>
      </c>
      <c r="E23" s="54">
        <v>1120052.17</v>
      </c>
      <c r="F23" s="16">
        <f t="shared" si="0"/>
        <v>163926.83000000007</v>
      </c>
      <c r="G23" s="17">
        <f t="shared" si="1"/>
        <v>-104826.75</v>
      </c>
    </row>
    <row r="24" spans="2:7" x14ac:dyDescent="0.2">
      <c r="B24" s="4">
        <v>7</v>
      </c>
      <c r="C24" s="15">
        <v>45444</v>
      </c>
      <c r="D24" s="53">
        <f>1810757-1656</f>
        <v>1809101</v>
      </c>
      <c r="E24" s="54">
        <v>1441985.15</v>
      </c>
      <c r="F24" s="18">
        <f t="shared" si="0"/>
        <v>367115.85000000009</v>
      </c>
      <c r="G24" s="19">
        <f t="shared" si="1"/>
        <v>262289.10000000009</v>
      </c>
    </row>
    <row r="25" spans="2:7" x14ac:dyDescent="0.2">
      <c r="B25" s="20" t="s">
        <v>19</v>
      </c>
      <c r="C25" s="13">
        <v>45474</v>
      </c>
      <c r="D25" s="51">
        <f>1737724-0</f>
        <v>1737724</v>
      </c>
      <c r="E25" s="52">
        <v>2079833.59</v>
      </c>
      <c r="F25" s="14">
        <f t="shared" si="0"/>
        <v>-342109.59000000008</v>
      </c>
      <c r="G25" s="12">
        <f t="shared" si="1"/>
        <v>-79820.489999999991</v>
      </c>
    </row>
    <row r="26" spans="2:7" x14ac:dyDescent="0.2">
      <c r="B26" s="21" t="s">
        <v>20</v>
      </c>
      <c r="C26" s="22">
        <v>45505</v>
      </c>
      <c r="D26" s="62">
        <f>1539351-0</f>
        <v>1539351</v>
      </c>
      <c r="E26" s="63">
        <v>1962368.59</v>
      </c>
      <c r="F26" s="18">
        <f t="shared" si="0"/>
        <v>-423017.59000000008</v>
      </c>
      <c r="G26" s="19">
        <f t="shared" si="1"/>
        <v>-502838.08000000007</v>
      </c>
    </row>
    <row r="27" spans="2:7" x14ac:dyDescent="0.2">
      <c r="B27" s="5"/>
      <c r="C27" s="23" t="s">
        <v>96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90</v>
      </c>
      <c r="D34" s="12">
        <f>-G13</f>
        <v>-790195</v>
      </c>
      <c r="E34" s="12">
        <f>D68</f>
        <v>526796</v>
      </c>
      <c r="F34" s="1"/>
      <c r="G34" s="12">
        <f t="shared" ref="G34:G38" si="2">D34+E34</f>
        <v>-263399</v>
      </c>
    </row>
    <row r="35" spans="2:7" x14ac:dyDescent="0.2">
      <c r="B35" s="27" t="s">
        <v>35</v>
      </c>
      <c r="C35" s="3" t="s">
        <v>78</v>
      </c>
      <c r="D35" s="17">
        <f>-G14</f>
        <v>339739.55999999982</v>
      </c>
      <c r="E35" s="17">
        <v>0</v>
      </c>
      <c r="F35" s="3"/>
      <c r="G35" s="17">
        <f t="shared" si="2"/>
        <v>339739.55999999982</v>
      </c>
    </row>
    <row r="36" spans="2:7" x14ac:dyDescent="0.2">
      <c r="B36" s="27" t="s">
        <v>79</v>
      </c>
      <c r="C36" s="3" t="s">
        <v>84</v>
      </c>
      <c r="D36" s="17">
        <f>-G15</f>
        <v>-312041.08000000007</v>
      </c>
      <c r="E36" s="17">
        <v>0</v>
      </c>
      <c r="F36" s="3"/>
      <c r="G36" s="17">
        <f t="shared" si="2"/>
        <v>-312041.08000000007</v>
      </c>
    </row>
    <row r="37" spans="2:7" x14ac:dyDescent="0.2">
      <c r="B37" s="27" t="s">
        <v>85</v>
      </c>
      <c r="C37" s="3" t="s">
        <v>91</v>
      </c>
      <c r="D37" s="17">
        <f>-G16</f>
        <v>742726.17000000027</v>
      </c>
      <c r="E37" s="17">
        <v>0</v>
      </c>
      <c r="F37" s="3"/>
      <c r="G37" s="17">
        <f t="shared" si="2"/>
        <v>742726.17000000027</v>
      </c>
    </row>
    <row r="38" spans="2:7" x14ac:dyDescent="0.2">
      <c r="B38" s="27" t="s">
        <v>92</v>
      </c>
      <c r="C38" s="28" t="s">
        <v>97</v>
      </c>
      <c r="D38" s="19">
        <f>-G17</f>
        <v>-129558.75</v>
      </c>
      <c r="E38" s="19">
        <v>0</v>
      </c>
      <c r="F38" s="28"/>
      <c r="G38" s="19">
        <f t="shared" si="2"/>
        <v>-129558.75</v>
      </c>
    </row>
    <row r="39" spans="2:7" x14ac:dyDescent="0.2">
      <c r="B39" s="5" t="s">
        <v>98</v>
      </c>
      <c r="C39" s="29"/>
      <c r="D39" s="30"/>
      <c r="E39" s="30"/>
      <c r="F39" s="31" t="s">
        <v>36</v>
      </c>
      <c r="G39" s="19">
        <f>G34+G35+G36+G37+G38</f>
        <v>377466.9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99</v>
      </c>
      <c r="D41" s="8"/>
      <c r="E41" s="8"/>
      <c r="F41" s="9"/>
      <c r="G41" s="35">
        <f>G24+G39</f>
        <v>639756.00000000012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73</v>
      </c>
      <c r="D43" s="8"/>
      <c r="E43" s="8"/>
      <c r="F43" s="9"/>
      <c r="G43" s="35">
        <f>G41/6</f>
        <v>106626.00000000001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149329.09999999998</v>
      </c>
    </row>
    <row r="48" spans="2:7" x14ac:dyDescent="0.2">
      <c r="B48" s="4">
        <v>12</v>
      </c>
      <c r="C48" t="s">
        <v>39</v>
      </c>
      <c r="G48" s="42">
        <f>G39</f>
        <v>377466.9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526796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639756.00000000012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112960.00000000012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526796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74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131699</v>
      </c>
      <c r="E64" s="16"/>
      <c r="F64" s="33"/>
      <c r="G64" s="33"/>
    </row>
    <row r="65" spans="3:7" x14ac:dyDescent="0.2">
      <c r="C65" s="15">
        <v>45413</v>
      </c>
      <c r="D65" s="17">
        <v>131699</v>
      </c>
      <c r="E65" s="16"/>
      <c r="F65" s="33"/>
      <c r="G65" s="33"/>
    </row>
    <row r="66" spans="3:7" x14ac:dyDescent="0.2">
      <c r="C66" s="15">
        <v>45413</v>
      </c>
      <c r="D66" s="17">
        <v>131699</v>
      </c>
      <c r="E66" s="16"/>
      <c r="F66" s="33"/>
      <c r="G66" s="33"/>
    </row>
    <row r="67" spans="3:7" x14ac:dyDescent="0.2">
      <c r="C67" s="15">
        <v>45444</v>
      </c>
      <c r="D67" s="19">
        <v>131699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526796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C02B-123E-4A78-9EC5-5506A417FC9C}">
  <dimension ref="A1:G70"/>
  <sheetViews>
    <sheetView workbookViewId="0">
      <selection activeCell="A7" sqref="A7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'05-31-25'!$A$1</f>
        <v>Staff DR1 Response 2 - Blue Grass Surcharge Summary.xlsx</v>
      </c>
    </row>
    <row r="4" spans="1:7" ht="14.25" customHeight="1" x14ac:dyDescent="0.2">
      <c r="B4" s="78" t="s">
        <v>69</v>
      </c>
      <c r="C4" s="79"/>
      <c r="D4" s="79"/>
      <c r="E4" s="79"/>
      <c r="F4" s="79"/>
      <c r="G4" s="80"/>
    </row>
    <row r="5" spans="1:7" ht="14.25" customHeight="1" x14ac:dyDescent="0.2">
      <c r="B5" s="81"/>
      <c r="C5" s="82"/>
      <c r="D5" s="82"/>
      <c r="E5" s="82"/>
      <c r="F5" s="82"/>
      <c r="G5" s="8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70" t="s">
        <v>15</v>
      </c>
      <c r="D12" s="71"/>
      <c r="E12" s="71"/>
      <c r="F12" s="71"/>
      <c r="G12" s="72"/>
    </row>
    <row r="13" spans="1:7" x14ac:dyDescent="0.2">
      <c r="B13" s="2" t="s">
        <v>16</v>
      </c>
      <c r="C13" s="8" t="s">
        <v>70</v>
      </c>
      <c r="D13" s="8"/>
      <c r="E13" s="8"/>
      <c r="F13" s="9"/>
      <c r="G13" s="35">
        <v>263399</v>
      </c>
    </row>
    <row r="14" spans="1:7" x14ac:dyDescent="0.2">
      <c r="B14" s="4" t="s">
        <v>17</v>
      </c>
      <c r="C14" s="8" t="s">
        <v>75</v>
      </c>
      <c r="D14" s="8"/>
      <c r="E14" s="8"/>
      <c r="F14" s="9"/>
      <c r="G14" s="85">
        <f>'A - 05-31-22'!G33</f>
        <v>-339739.55999999982</v>
      </c>
    </row>
    <row r="15" spans="1:7" x14ac:dyDescent="0.2">
      <c r="B15" s="4" t="s">
        <v>76</v>
      </c>
      <c r="C15" s="8" t="s">
        <v>81</v>
      </c>
      <c r="D15" s="8"/>
      <c r="E15" s="8"/>
      <c r="F15" s="9"/>
      <c r="G15" s="85">
        <f>'B - 11-30-22'!G35</f>
        <v>312041.08000000007</v>
      </c>
    </row>
    <row r="16" spans="1:7" x14ac:dyDescent="0.2">
      <c r="B16" s="4" t="s">
        <v>82</v>
      </c>
      <c r="C16" s="8" t="s">
        <v>87</v>
      </c>
      <c r="D16" s="8"/>
      <c r="E16" s="8"/>
      <c r="F16" s="11"/>
      <c r="G16" s="51">
        <f>'C - 05-31-23'!G37</f>
        <v>-742726.17000000027</v>
      </c>
    </row>
    <row r="17" spans="2:7" x14ac:dyDescent="0.2">
      <c r="B17" s="4" t="s">
        <v>88</v>
      </c>
      <c r="C17" s="8" t="s">
        <v>94</v>
      </c>
      <c r="D17" s="8"/>
      <c r="E17" s="8"/>
      <c r="F17" s="11"/>
      <c r="G17" s="51">
        <f>'D - 11-30-23'!G39</f>
        <v>129558.75</v>
      </c>
    </row>
    <row r="18" spans="2:7" x14ac:dyDescent="0.2">
      <c r="B18" s="4" t="s">
        <v>95</v>
      </c>
      <c r="C18" s="8" t="s">
        <v>100</v>
      </c>
      <c r="D18" s="8"/>
      <c r="E18" s="8"/>
      <c r="F18" s="11"/>
      <c r="G18" s="51">
        <f>'E - 05-31-24'!G41</f>
        <v>639756.00000000012</v>
      </c>
    </row>
    <row r="19" spans="2:7" x14ac:dyDescent="0.2">
      <c r="B19" s="5" t="s">
        <v>101</v>
      </c>
      <c r="C19" s="8" t="s">
        <v>18</v>
      </c>
      <c r="D19" s="8"/>
      <c r="E19" s="8"/>
      <c r="F19" s="11"/>
      <c r="G19" s="12">
        <f>G13+G14+G15+G16+G17+G18</f>
        <v>262289.10000000009</v>
      </c>
    </row>
    <row r="20" spans="2:7" x14ac:dyDescent="0.2">
      <c r="B20" s="4">
        <v>2</v>
      </c>
      <c r="C20" s="13">
        <v>45474</v>
      </c>
      <c r="D20" s="51">
        <v>1737724</v>
      </c>
      <c r="E20" s="52">
        <v>2079833.59</v>
      </c>
      <c r="F20" s="14">
        <f t="shared" ref="F20:F27" si="0">D20-E20</f>
        <v>-342109.59000000008</v>
      </c>
      <c r="G20" s="12">
        <f t="shared" ref="G20:G27" si="1">G19+F20</f>
        <v>-79820.489999999991</v>
      </c>
    </row>
    <row r="21" spans="2:7" x14ac:dyDescent="0.2">
      <c r="B21" s="4">
        <v>3</v>
      </c>
      <c r="C21" s="15">
        <v>45505</v>
      </c>
      <c r="D21" s="53">
        <v>1539351</v>
      </c>
      <c r="E21" s="54">
        <v>1962368.59</v>
      </c>
      <c r="F21" s="16">
        <f t="shared" si="0"/>
        <v>-423017.59000000008</v>
      </c>
      <c r="G21" s="17">
        <f t="shared" si="1"/>
        <v>-502838.08000000007</v>
      </c>
    </row>
    <row r="22" spans="2:7" x14ac:dyDescent="0.2">
      <c r="B22" s="4">
        <v>4</v>
      </c>
      <c r="C22" s="15">
        <v>45536</v>
      </c>
      <c r="D22" s="53">
        <v>1503400</v>
      </c>
      <c r="E22" s="54">
        <v>1629354.08</v>
      </c>
      <c r="F22" s="16">
        <f t="shared" si="0"/>
        <v>-125954.08000000007</v>
      </c>
      <c r="G22" s="17">
        <f t="shared" si="1"/>
        <v>-628792.16000000015</v>
      </c>
    </row>
    <row r="23" spans="2:7" x14ac:dyDescent="0.2">
      <c r="B23" s="4">
        <v>5</v>
      </c>
      <c r="C23" s="15">
        <v>45566</v>
      </c>
      <c r="D23" s="53">
        <v>1167465</v>
      </c>
      <c r="E23" s="54">
        <v>1497595.86</v>
      </c>
      <c r="F23" s="16">
        <f t="shared" si="0"/>
        <v>-330130.8600000001</v>
      </c>
      <c r="G23" s="17">
        <f t="shared" si="1"/>
        <v>-958923.02000000025</v>
      </c>
    </row>
    <row r="24" spans="2:7" x14ac:dyDescent="0.2">
      <c r="B24" s="4">
        <v>6</v>
      </c>
      <c r="C24" s="15">
        <v>45597</v>
      </c>
      <c r="D24" s="53">
        <v>1494189</v>
      </c>
      <c r="E24" s="54">
        <v>1360854.66</v>
      </c>
      <c r="F24" s="16">
        <f t="shared" si="0"/>
        <v>133334.34000000008</v>
      </c>
      <c r="G24" s="17">
        <f t="shared" si="1"/>
        <v>-825588.68000000017</v>
      </c>
    </row>
    <row r="25" spans="2:7" x14ac:dyDescent="0.2">
      <c r="B25" s="4">
        <v>7</v>
      </c>
      <c r="C25" s="15">
        <v>45627</v>
      </c>
      <c r="D25" s="53">
        <v>2248737</v>
      </c>
      <c r="E25" s="54">
        <v>1770660.4</v>
      </c>
      <c r="F25" s="18">
        <f t="shared" si="0"/>
        <v>478076.60000000009</v>
      </c>
      <c r="G25" s="19">
        <f t="shared" si="1"/>
        <v>-347512.08000000007</v>
      </c>
    </row>
    <row r="26" spans="2:7" x14ac:dyDescent="0.2">
      <c r="B26" s="20" t="s">
        <v>19</v>
      </c>
      <c r="C26" s="13">
        <v>45658</v>
      </c>
      <c r="D26" s="51">
        <v>2842218</v>
      </c>
      <c r="E26" s="52">
        <v>2496138.04</v>
      </c>
      <c r="F26" s="14">
        <f t="shared" si="0"/>
        <v>346079.95999999996</v>
      </c>
      <c r="G26" s="12">
        <f t="shared" si="1"/>
        <v>-1432.1200000001118</v>
      </c>
    </row>
    <row r="27" spans="2:7" x14ac:dyDescent="0.2">
      <c r="B27" s="21" t="s">
        <v>20</v>
      </c>
      <c r="C27" s="22">
        <v>45689</v>
      </c>
      <c r="D27" s="62">
        <f>2022075-1143</f>
        <v>2020932</v>
      </c>
      <c r="E27" s="18">
        <v>0</v>
      </c>
      <c r="F27" s="18">
        <f t="shared" si="0"/>
        <v>2020932</v>
      </c>
      <c r="G27" s="19">
        <f t="shared" si="1"/>
        <v>2019499.88</v>
      </c>
    </row>
    <row r="28" spans="2:7" x14ac:dyDescent="0.2">
      <c r="B28" s="5"/>
      <c r="C28" s="23" t="s">
        <v>102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90</v>
      </c>
      <c r="D35" s="12">
        <f t="shared" ref="D35:D40" si="2">-G13</f>
        <v>-263399</v>
      </c>
      <c r="E35" s="12">
        <f>D70</f>
        <v>263399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78</v>
      </c>
      <c r="D36" s="17">
        <f t="shared" si="2"/>
        <v>339739.55999999982</v>
      </c>
      <c r="E36" s="17">
        <v>0</v>
      </c>
      <c r="F36" s="3"/>
      <c r="G36" s="17">
        <f t="shared" si="3"/>
        <v>339739.55999999982</v>
      </c>
    </row>
    <row r="37" spans="2:7" x14ac:dyDescent="0.2">
      <c r="B37" s="27" t="s">
        <v>79</v>
      </c>
      <c r="C37" s="3" t="s">
        <v>84</v>
      </c>
      <c r="D37" s="17">
        <f t="shared" si="2"/>
        <v>-312041.08000000007</v>
      </c>
      <c r="E37" s="17">
        <v>0</v>
      </c>
      <c r="F37" s="3"/>
      <c r="G37" s="17">
        <f t="shared" si="3"/>
        <v>-312041.08000000007</v>
      </c>
    </row>
    <row r="38" spans="2:7" x14ac:dyDescent="0.2">
      <c r="B38" s="27" t="s">
        <v>85</v>
      </c>
      <c r="C38" s="3" t="s">
        <v>91</v>
      </c>
      <c r="D38" s="17">
        <f t="shared" si="2"/>
        <v>742726.17000000027</v>
      </c>
      <c r="E38" s="17">
        <v>0</v>
      </c>
      <c r="F38" s="3"/>
      <c r="G38" s="17">
        <f t="shared" si="3"/>
        <v>742726.17000000027</v>
      </c>
    </row>
    <row r="39" spans="2:7" x14ac:dyDescent="0.2">
      <c r="B39" s="27" t="s">
        <v>92</v>
      </c>
      <c r="C39" s="3" t="s">
        <v>97</v>
      </c>
      <c r="D39" s="17">
        <f t="shared" si="2"/>
        <v>-129558.75</v>
      </c>
      <c r="E39" s="17">
        <v>0</v>
      </c>
      <c r="F39" s="3"/>
      <c r="G39" s="17">
        <f t="shared" si="3"/>
        <v>-129558.75</v>
      </c>
    </row>
    <row r="40" spans="2:7" x14ac:dyDescent="0.2">
      <c r="B40" s="27" t="s">
        <v>98</v>
      </c>
      <c r="C40" s="28" t="s">
        <v>103</v>
      </c>
      <c r="D40" s="19">
        <f t="shared" si="2"/>
        <v>-639756.00000000012</v>
      </c>
      <c r="E40" s="19">
        <v>0</v>
      </c>
      <c r="F40" s="28"/>
      <c r="G40" s="19">
        <f t="shared" si="3"/>
        <v>-639756.00000000012</v>
      </c>
    </row>
    <row r="41" spans="2:7" x14ac:dyDescent="0.2">
      <c r="B41" s="5" t="s">
        <v>104</v>
      </c>
      <c r="C41" s="29"/>
      <c r="D41" s="30"/>
      <c r="E41" s="30"/>
      <c r="F41" s="31" t="s">
        <v>36</v>
      </c>
      <c r="G41" s="19">
        <f>G35+G36+G37+G38+G39+G40</f>
        <v>1109.8999999999069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105</v>
      </c>
      <c r="D43" s="8"/>
      <c r="E43" s="8"/>
      <c r="F43" s="9"/>
      <c r="G43" s="35">
        <f>G25+G41</f>
        <v>-346402.18000000017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73</v>
      </c>
      <c r="D45" s="8"/>
      <c r="E45" s="8"/>
      <c r="F45" s="9"/>
      <c r="G45" s="35">
        <f>G43/6</f>
        <v>-57733.696666666692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262289.10000000009</v>
      </c>
    </row>
    <row r="50" spans="2:7" x14ac:dyDescent="0.2">
      <c r="B50" s="4">
        <v>12</v>
      </c>
      <c r="C50" t="s">
        <v>39</v>
      </c>
      <c r="G50" s="42">
        <f>G41</f>
        <v>1109.8999999999069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263399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-346402.18000000017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-609801.18000000017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263399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74</v>
      </c>
      <c r="E63" s="27"/>
      <c r="F63" s="32"/>
      <c r="G63" s="32"/>
    </row>
    <row r="64" spans="2:7" x14ac:dyDescent="0.2">
      <c r="C64" s="13">
        <v>45474</v>
      </c>
      <c r="D64" s="12">
        <v>131699</v>
      </c>
      <c r="E64" s="16"/>
      <c r="F64" s="33"/>
      <c r="G64" s="33"/>
    </row>
    <row r="65" spans="3:7" x14ac:dyDescent="0.2">
      <c r="C65" s="15">
        <v>45505</v>
      </c>
      <c r="D65" s="17">
        <v>131700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263399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2025-10-15T15:31:01Z</dcterms:modified>
</cp:coreProperties>
</file>