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148DE560-2DE1-4C8D-AC87-8016246D5D87}" xr6:coauthVersionLast="47" xr6:coauthVersionMax="47" xr10:uidLastSave="{00000000-0000-0000-0000-000000000000}"/>
  <bookViews>
    <workbookView xWindow="690" yWindow="4845" windowWidth="38700" windowHeight="15285" xr2:uid="{00000000-000D-0000-FFFF-FFFF00000000}"/>
  </bookViews>
  <sheets>
    <sheet name="Current 5-31-25" sheetId="8" r:id="rId1"/>
    <sheet name="2025-00013 Summary" sheetId="12" r:id="rId2"/>
    <sheet name="A - 05-31-22" sheetId="13" r:id="rId3"/>
    <sheet name="B - 11-30-22" sheetId="14" r:id="rId4"/>
    <sheet name="C - 05-31-23" sheetId="15" r:id="rId5"/>
    <sheet name="D - 11-30-23" sheetId="16" r:id="rId6"/>
    <sheet name="E - 05-31-24" sheetId="17" r:id="rId7"/>
    <sheet name="F - 11-30-24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8" l="1"/>
  <c r="G33" i="8"/>
  <c r="G44" i="8"/>
  <c r="G42" i="8"/>
  <c r="G39" i="8"/>
  <c r="G13" i="8"/>
  <c r="D30" i="8"/>
  <c r="G30" i="8" s="1"/>
  <c r="A1" i="13"/>
  <c r="A1" i="12"/>
  <c r="D70" i="18"/>
  <c r="E35" i="18"/>
  <c r="D35" i="18"/>
  <c r="G35" i="18" s="1"/>
  <c r="E27" i="18"/>
  <c r="D27" i="18"/>
  <c r="F27" i="18" s="1"/>
  <c r="D26" i="18"/>
  <c r="F26" i="18" s="1"/>
  <c r="E25" i="18"/>
  <c r="D25" i="18"/>
  <c r="F25" i="18" s="1"/>
  <c r="F24" i="18"/>
  <c r="D24" i="18"/>
  <c r="F23" i="18"/>
  <c r="D23" i="18"/>
  <c r="D22" i="18"/>
  <c r="F22" i="18" s="1"/>
  <c r="D21" i="18"/>
  <c r="F21" i="18" s="1"/>
  <c r="F20" i="18"/>
  <c r="D20" i="18"/>
  <c r="A1" i="18"/>
  <c r="D68" i="17"/>
  <c r="E34" i="17" s="1"/>
  <c r="D34" i="17"/>
  <c r="G34" i="17" s="1"/>
  <c r="D26" i="17"/>
  <c r="F26" i="17" s="1"/>
  <c r="D25" i="17"/>
  <c r="F25" i="17" s="1"/>
  <c r="D24" i="17"/>
  <c r="F24" i="17" s="1"/>
  <c r="D23" i="17"/>
  <c r="F23" i="17" s="1"/>
  <c r="D22" i="17"/>
  <c r="F22" i="17" s="1"/>
  <c r="D21" i="17"/>
  <c r="F21" i="17" s="1"/>
  <c r="D20" i="17"/>
  <c r="F20" i="17" s="1"/>
  <c r="D19" i="17"/>
  <c r="F19" i="17" s="1"/>
  <c r="A1" i="17"/>
  <c r="D66" i="16"/>
  <c r="E33" i="16" s="1"/>
  <c r="D33" i="16"/>
  <c r="G33" i="16" s="1"/>
  <c r="D25" i="16"/>
  <c r="F25" i="16" s="1"/>
  <c r="D24" i="16"/>
  <c r="F24" i="16" s="1"/>
  <c r="D23" i="16"/>
  <c r="F23" i="16" s="1"/>
  <c r="D22" i="16"/>
  <c r="F22" i="16" s="1"/>
  <c r="D21" i="16"/>
  <c r="F21" i="16" s="1"/>
  <c r="D20" i="16"/>
  <c r="F20" i="16" s="1"/>
  <c r="D19" i="16"/>
  <c r="F19" i="16" s="1"/>
  <c r="D18" i="16"/>
  <c r="F18" i="16" s="1"/>
  <c r="A1" i="16"/>
  <c r="D64" i="15"/>
  <c r="E32" i="15" s="1"/>
  <c r="D32" i="15"/>
  <c r="G32" i="15" s="1"/>
  <c r="D24" i="15"/>
  <c r="F24" i="15" s="1"/>
  <c r="D23" i="15"/>
  <c r="F23" i="15" s="1"/>
  <c r="F22" i="15"/>
  <c r="D22" i="15"/>
  <c r="F21" i="15"/>
  <c r="D21" i="15"/>
  <c r="D20" i="15"/>
  <c r="F20" i="15" s="1"/>
  <c r="D19" i="15"/>
  <c r="F19" i="15" s="1"/>
  <c r="F18" i="15"/>
  <c r="D18" i="15"/>
  <c r="F17" i="15"/>
  <c r="D17" i="15"/>
  <c r="A1" i="15"/>
  <c r="D62" i="14"/>
  <c r="E31" i="14"/>
  <c r="D31" i="14"/>
  <c r="G31" i="14" s="1"/>
  <c r="D23" i="14"/>
  <c r="F23" i="14" s="1"/>
  <c r="D22" i="14"/>
  <c r="F22" i="14" s="1"/>
  <c r="D21" i="14"/>
  <c r="F21" i="14" s="1"/>
  <c r="D20" i="14"/>
  <c r="F20" i="14" s="1"/>
  <c r="D19" i="14"/>
  <c r="F19" i="14" s="1"/>
  <c r="E18" i="14"/>
  <c r="D18" i="14"/>
  <c r="F18" i="14" s="1"/>
  <c r="D17" i="14"/>
  <c r="F17" i="14" s="1"/>
  <c r="D16" i="14"/>
  <c r="F16" i="14" s="1"/>
  <c r="A1" i="14"/>
  <c r="D60" i="13"/>
  <c r="G39" i="13"/>
  <c r="E30" i="13"/>
  <c r="D30" i="13"/>
  <c r="G30" i="13" s="1"/>
  <c r="G31" i="13" s="1"/>
  <c r="G40" i="13" s="1"/>
  <c r="D22" i="13"/>
  <c r="F22" i="13" s="1"/>
  <c r="D21" i="13"/>
  <c r="F21" i="13" s="1"/>
  <c r="F20" i="13"/>
  <c r="D20" i="13"/>
  <c r="F19" i="13"/>
  <c r="D19" i="13"/>
  <c r="D18" i="13"/>
  <c r="F18" i="13" s="1"/>
  <c r="E17" i="13"/>
  <c r="D17" i="13"/>
  <c r="F17" i="13" s="1"/>
  <c r="D16" i="13"/>
  <c r="F16" i="13" s="1"/>
  <c r="D15" i="13"/>
  <c r="F15" i="13" s="1"/>
  <c r="G46" i="13" s="1"/>
  <c r="G14" i="13"/>
  <c r="G15" i="13" s="1"/>
  <c r="G16" i="13" s="1"/>
  <c r="G17" i="13" s="1"/>
  <c r="G18" i="13" s="1"/>
  <c r="G19" i="13" s="1"/>
  <c r="G20" i="13" s="1"/>
  <c r="G21" i="13" l="1"/>
  <c r="G22" i="13" s="1"/>
  <c r="G33" i="13"/>
  <c r="G42" i="13"/>
  <c r="G48" i="14"/>
  <c r="G50" i="15"/>
  <c r="G54" i="17"/>
  <c r="G56" i="18"/>
  <c r="G52" i="16"/>
  <c r="G14" i="18" l="1"/>
  <c r="G44" i="13"/>
  <c r="G48" i="13" s="1"/>
  <c r="G14" i="17"/>
  <c r="G35" i="13"/>
  <c r="E8" i="12"/>
  <c r="G14" i="14"/>
  <c r="G14" i="15"/>
  <c r="G14" i="16"/>
  <c r="D34" i="16" l="1"/>
  <c r="G34" i="16" s="1"/>
  <c r="D33" i="15"/>
  <c r="G33" i="15" s="1"/>
  <c r="G15" i="14"/>
  <c r="D32" i="14"/>
  <c r="G32" i="14" s="1"/>
  <c r="G33" i="14" s="1"/>
  <c r="G42" i="14" s="1"/>
  <c r="F8" i="12"/>
  <c r="D35" i="17"/>
  <c r="G35" i="17" s="1"/>
  <c r="D36" i="18"/>
  <c r="G36" i="18" s="1"/>
  <c r="G41" i="14" l="1"/>
  <c r="G44" i="14" s="1"/>
  <c r="G16" i="14"/>
  <c r="G17" i="14" s="1"/>
  <c r="G18" i="14" s="1"/>
  <c r="G19" i="14" s="1"/>
  <c r="G20" i="14" s="1"/>
  <c r="G21" i="14" s="1"/>
  <c r="G22" i="14" l="1"/>
  <c r="G23" i="14" s="1"/>
  <c r="G35" i="14"/>
  <c r="G15" i="16" l="1"/>
  <c r="E9" i="12"/>
  <c r="G46" i="14"/>
  <c r="G50" i="14" s="1"/>
  <c r="G37" i="14"/>
  <c r="G15" i="18"/>
  <c r="G15" i="15"/>
  <c r="G15" i="17"/>
  <c r="D36" i="17" l="1"/>
  <c r="G36" i="17" s="1"/>
  <c r="D34" i="15"/>
  <c r="G34" i="15" s="1"/>
  <c r="G35" i="15" s="1"/>
  <c r="G44" i="15" s="1"/>
  <c r="G16" i="15"/>
  <c r="D37" i="18"/>
  <c r="G37" i="18" s="1"/>
  <c r="F9" i="12"/>
  <c r="D35" i="16"/>
  <c r="G35" i="16" s="1"/>
  <c r="G17" i="15" l="1"/>
  <c r="G18" i="15" s="1"/>
  <c r="G19" i="15" s="1"/>
  <c r="G20" i="15" s="1"/>
  <c r="G21" i="15" s="1"/>
  <c r="G22" i="15" s="1"/>
  <c r="G43" i="15"/>
  <c r="G46" i="15" s="1"/>
  <c r="G23" i="15" l="1"/>
  <c r="G24" i="15" s="1"/>
  <c r="G37" i="15"/>
  <c r="G48" i="15" l="1"/>
  <c r="G52" i="15" s="1"/>
  <c r="G16" i="17"/>
  <c r="G16" i="16"/>
  <c r="E10" i="12"/>
  <c r="G16" i="18"/>
  <c r="G39" i="15"/>
  <c r="D38" i="18" l="1"/>
  <c r="G38" i="18" s="1"/>
  <c r="F10" i="12"/>
  <c r="D36" i="16"/>
  <c r="G36" i="16" s="1"/>
  <c r="G37" i="16" s="1"/>
  <c r="G46" i="16" s="1"/>
  <c r="G17" i="16"/>
  <c r="D37" i="17"/>
  <c r="G37" i="17" s="1"/>
  <c r="G18" i="16" l="1"/>
  <c r="G19" i="16" s="1"/>
  <c r="G20" i="16" s="1"/>
  <c r="G21" i="16" s="1"/>
  <c r="G22" i="16" s="1"/>
  <c r="G23" i="16" s="1"/>
  <c r="G45" i="16"/>
  <c r="G48" i="16" s="1"/>
  <c r="G39" i="16" l="1"/>
  <c r="G24" i="16"/>
  <c r="G25" i="16" s="1"/>
  <c r="G50" i="16" l="1"/>
  <c r="G54" i="16" s="1"/>
  <c r="G41" i="16"/>
  <c r="E11" i="12"/>
  <c r="G17" i="18"/>
  <c r="G17" i="17"/>
  <c r="D38" i="17" l="1"/>
  <c r="G38" i="17" s="1"/>
  <c r="G39" i="17" s="1"/>
  <c r="G48" i="17" s="1"/>
  <c r="G18" i="17"/>
  <c r="D39" i="18"/>
  <c r="G39" i="18" s="1"/>
  <c r="F11" i="12"/>
  <c r="G47" i="17" l="1"/>
  <c r="G50" i="17" s="1"/>
  <c r="G19" i="17"/>
  <c r="G20" i="17" s="1"/>
  <c r="G21" i="17" s="1"/>
  <c r="G22" i="17" s="1"/>
  <c r="G23" i="17" s="1"/>
  <c r="G24" i="17" s="1"/>
  <c r="G41" i="17" l="1"/>
  <c r="G25" i="17"/>
  <c r="G26" i="17" s="1"/>
  <c r="G18" i="18" l="1"/>
  <c r="G52" i="17"/>
  <c r="G56" i="17" s="1"/>
  <c r="E12" i="12"/>
  <c r="G43" i="17"/>
  <c r="F12" i="12" l="1"/>
  <c r="D40" i="18"/>
  <c r="G40" i="18" s="1"/>
  <c r="G41" i="18" s="1"/>
  <c r="G50" i="18" s="1"/>
  <c r="G19" i="18"/>
  <c r="G49" i="18" l="1"/>
  <c r="G52" i="18" s="1"/>
  <c r="G20" i="18"/>
  <c r="G21" i="18" s="1"/>
  <c r="G22" i="18" s="1"/>
  <c r="G23" i="18" s="1"/>
  <c r="G24" i="18" s="1"/>
  <c r="G25" i="18" s="1"/>
  <c r="G26" i="18" l="1"/>
  <c r="G27" i="18" s="1"/>
  <c r="G43" i="18"/>
  <c r="E13" i="12" l="1"/>
  <c r="G45" i="18"/>
  <c r="G54" i="18"/>
  <c r="G58" i="18" s="1"/>
  <c r="F13" i="12" l="1"/>
  <c r="E15" i="12"/>
  <c r="E24" i="12" l="1"/>
  <c r="F15" i="12"/>
  <c r="E22" i="12"/>
  <c r="G31" i="8" l="1"/>
  <c r="D22" i="8" l="1"/>
  <c r="D21" i="8"/>
  <c r="D20" i="8"/>
  <c r="D19" i="8"/>
  <c r="D18" i="8"/>
  <c r="D17" i="8"/>
  <c r="E16" i="8" l="1"/>
  <c r="D16" i="8"/>
  <c r="D15" i="8"/>
  <c r="G14" i="8"/>
  <c r="G15" i="8" s="1"/>
  <c r="G16" i="8" s="1"/>
  <c r="G17" i="8" s="1"/>
  <c r="G18" i="8" s="1"/>
  <c r="G19" i="8" s="1"/>
  <c r="G20" i="8" s="1"/>
  <c r="D60" i="8"/>
  <c r="E30" i="8" s="1"/>
  <c r="G21" i="8" l="1"/>
  <c r="G22" i="8" s="1"/>
  <c r="F22" i="8"/>
  <c r="F21" i="8"/>
  <c r="F20" i="8"/>
  <c r="F19" i="8"/>
  <c r="F18" i="8"/>
  <c r="F17" i="8"/>
  <c r="F16" i="8"/>
  <c r="F15" i="8"/>
  <c r="G46" i="8" l="1"/>
  <c r="G40" i="8" l="1"/>
  <c r="G48" i="8" l="1"/>
</calcChain>
</file>

<file path=xl/sharedStrings.xml><?xml version="1.0" encoding="utf-8"?>
<sst xmlns="http://schemas.openxmlformats.org/spreadsheetml/2006/main" count="481" uniqueCount="106">
  <si>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</si>
  <si>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</si>
  <si>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</si>
  <si>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</si>
  <si>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</si>
  <si>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</si>
  <si>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</si>
  <si>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</si>
  <si>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</si>
  <si>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</si>
  <si>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</si>
  <si>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</si>
  <si>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</si>
  <si>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</si>
  <si>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</si>
  <si>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</si>
  <si>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</si>
  <si>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</si>
  <si>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</si>
  <si>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</si>
  <si>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</si>
  <si>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</si>
  <si>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</si>
  <si>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</si>
  <si>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</si>
  <si>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</si>
  <si>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</si>
  <si>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</si>
  <si>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</si>
  <si>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</si>
  <si>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</si>
  <si>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</si>
  <si>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</si>
  <si>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</si>
  <si>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</si>
  <si>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</si>
  <si>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</si>
  <si>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</si>
  <si>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</si>
  <si>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</si>
  <si>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</si>
  <si>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</si>
  <si>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</si>
  <si>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</si>
  <si>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</si>
  <si>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</si>
  <si>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</si>
  <si>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</si>
  <si>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Big Sandy - Calculation of (Over)/Under Recovery</t>
  </si>
  <si>
    <t>Less Adjustment for Order amounts remaining to be amortized at end of review period June 2025</t>
  </si>
  <si>
    <t>From Case No. 2025-00013 (Over)/Under-Recovery</t>
  </si>
  <si>
    <t>From Case No. 2025-00013 Recovery</t>
  </si>
  <si>
    <t>2025-00013</t>
  </si>
  <si>
    <t>Monthly recovery (per month for six months)</t>
  </si>
  <si>
    <t>Staff DR1 Response 2 - Big Sandy Surcharge Summary.xlsx</t>
  </si>
  <si>
    <t>From Case No. 2022-00141 (Over)/Under-Recovery</t>
  </si>
  <si>
    <t>From Tab "A - 05-31-22" (Over)/Under-Recovery</t>
  </si>
  <si>
    <t>1c</t>
  </si>
  <si>
    <t>From Tab "B - 11-30-22" (Over)/Under-Recovery</t>
  </si>
  <si>
    <t>1d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</si>
  <si>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</si>
  <si>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</si>
  <si>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</si>
  <si>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</si>
  <si>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"A - 05-31-22" Recovery</t>
  </si>
  <si>
    <t>8c</t>
  </si>
  <si>
    <t>From Tab "B - 11-30-22" Recovery</t>
  </si>
  <si>
    <t>8d</t>
  </si>
  <si>
    <t>From Tab "C - 05-31-23" Recovery</t>
  </si>
  <si>
    <t>8e</t>
  </si>
  <si>
    <t>Cumulative six month (Over)/Under-Recovery [Cumulative net of remaining Case amortizations (Ln 7&amp;8e)]</t>
  </si>
  <si>
    <t>Monthly recovery (per month for six months</t>
  </si>
  <si>
    <t>2022-00144</t>
  </si>
  <si>
    <t>Big Sandy- Calculation of (Over)/Under Recovery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</si>
  <si>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</si>
  <si>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</si>
  <si>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</si>
  <si>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</si>
  <si>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</si>
  <si>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</si>
  <si>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</si>
  <si>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</si>
  <si>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</si>
  <si>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</si>
  <si>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</si>
  <si>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</si>
  <si>
    <t>Big Sandy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</si>
  <si>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</si>
  <si>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</si>
  <si>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</si>
  <si>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</si>
  <si>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</si>
  <si>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</si>
  <si>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</si>
  <si>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</si>
  <si>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</si>
  <si>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</si>
  <si>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</si>
  <si>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</si>
  <si>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</si>
  <si>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Less Adjustment for Order amounts remaining to be amortized at end of review period June 2022</t>
  </si>
  <si>
    <t>Case No. 2022-00141 Recovery</t>
  </si>
  <si>
    <t>Less Adjustment for Order amounts remaining to be amortized at end of review period December 2022</t>
  </si>
  <si>
    <t>Cumulative six month (Over)/Under-Recovery [Cumulative net of remaining Case amortizations (Ln 7&amp;8c)]</t>
  </si>
  <si>
    <t>Less Adjustment for Order amounts remaining to be amortized at end of review period June 2023</t>
  </si>
  <si>
    <t>Cumulative six month (Over)/Under-Recovery [Cumulative net of remaining Case amortizations (Ln 7&amp;8d)]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</si>
</sst>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4" borderId="8" xfId="0" applyNumberFormat="1" applyFill="1" applyBorder="1"/>
    <xf numFmtId="5" fontId="0" fillId="4" borderId="14" xfId="0" applyNumberForma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5" fontId="0" fillId="3" borderId="10" xfId="0" applyNumberFormat="1" applyFill="1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0" fillId="0" borderId="15" xfId="0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tabSelected="1" workbookViewId="0">
      <selection activeCell="D2" sqref="D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54</v>
      </c>
    </row>
    <row r="4" spans="1:8" ht="14.25" customHeight="1" x14ac:dyDescent="0.2">
      <c r="B4" s="76" t="s">
        <v>48</v>
      </c>
      <c r="C4" s="77"/>
      <c r="D4" s="77"/>
      <c r="E4" s="77"/>
      <c r="F4" s="77"/>
      <c r="G4" s="78"/>
    </row>
    <row r="5" spans="1:8" ht="14.25" customHeight="1" x14ac:dyDescent="0.2">
      <c r="B5" s="79"/>
      <c r="C5" s="80"/>
      <c r="D5" s="80"/>
      <c r="E5" s="80"/>
      <c r="F5" s="80"/>
      <c r="G5" s="81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82" t="s">
        <v>15</v>
      </c>
      <c r="D12" s="83"/>
      <c r="E12" s="83"/>
      <c r="F12" s="83"/>
      <c r="G12" s="84"/>
    </row>
    <row r="13" spans="1:8" x14ac:dyDescent="0.2">
      <c r="B13" s="2" t="s">
        <v>16</v>
      </c>
      <c r="C13" s="8" t="s">
        <v>50</v>
      </c>
      <c r="D13" s="8"/>
      <c r="E13" s="8"/>
      <c r="F13" s="9"/>
      <c r="G13" s="10">
        <f>-71974</f>
        <v>-71974</v>
      </c>
    </row>
    <row r="14" spans="1:8" x14ac:dyDescent="0.2">
      <c r="A14" s="59"/>
      <c r="B14" s="5" t="s">
        <v>17</v>
      </c>
      <c r="C14" s="8" t="s">
        <v>18</v>
      </c>
      <c r="D14" s="8"/>
      <c r="E14" s="8"/>
      <c r="F14" s="11"/>
      <c r="G14" s="12">
        <f>G13</f>
        <v>-71974</v>
      </c>
      <c r="H14" s="59"/>
    </row>
    <row r="15" spans="1:8" x14ac:dyDescent="0.2">
      <c r="A15" s="32"/>
      <c r="B15" s="4">
        <v>2</v>
      </c>
      <c r="C15" s="13">
        <v>45658</v>
      </c>
      <c r="D15" s="51">
        <f>461609-272</f>
        <v>461337</v>
      </c>
      <c r="E15" s="52">
        <v>419883.46</v>
      </c>
      <c r="F15" s="14">
        <f t="shared" ref="F15:F22" si="0">D15-E15</f>
        <v>41453.539999999979</v>
      </c>
      <c r="G15" s="12">
        <f t="shared" ref="G15:G22" si="1">G14+F15</f>
        <v>-30520.460000000021</v>
      </c>
      <c r="H15" s="32"/>
    </row>
    <row r="16" spans="1:8" x14ac:dyDescent="0.2">
      <c r="B16" s="4">
        <v>3</v>
      </c>
      <c r="C16" s="15">
        <v>45689</v>
      </c>
      <c r="D16" s="53">
        <f>297825-207</f>
        <v>297618</v>
      </c>
      <c r="E16" s="54">
        <f>243396.6</f>
        <v>243396.6</v>
      </c>
      <c r="F16" s="16">
        <f t="shared" si="0"/>
        <v>54221.399999999994</v>
      </c>
      <c r="G16" s="17">
        <f t="shared" si="1"/>
        <v>23700.939999999973</v>
      </c>
    </row>
    <row r="17" spans="2:7" x14ac:dyDescent="0.2">
      <c r="B17" s="4">
        <v>4</v>
      </c>
      <c r="C17" s="15">
        <v>45717</v>
      </c>
      <c r="D17" s="60">
        <f>128634-118</f>
        <v>128516</v>
      </c>
      <c r="E17" s="61">
        <v>130893.96</v>
      </c>
      <c r="F17" s="16">
        <f t="shared" si="0"/>
        <v>-2377.9600000000064</v>
      </c>
      <c r="G17" s="17">
        <f t="shared" si="1"/>
        <v>21322.979999999967</v>
      </c>
    </row>
    <row r="18" spans="2:7" x14ac:dyDescent="0.2">
      <c r="B18" s="4">
        <v>5</v>
      </c>
      <c r="C18" s="15">
        <v>45748</v>
      </c>
      <c r="D18" s="60">
        <f>130567-163</f>
        <v>130404</v>
      </c>
      <c r="E18" s="61">
        <v>159541.31</v>
      </c>
      <c r="F18" s="16">
        <f t="shared" si="0"/>
        <v>-29137.309999999998</v>
      </c>
      <c r="G18" s="17">
        <f t="shared" si="1"/>
        <v>-7814.3300000000309</v>
      </c>
    </row>
    <row r="19" spans="2:7" x14ac:dyDescent="0.2">
      <c r="B19" s="4">
        <v>6</v>
      </c>
      <c r="C19" s="15">
        <v>45778</v>
      </c>
      <c r="D19" s="60">
        <f>167617-244</f>
        <v>167373</v>
      </c>
      <c r="E19" s="61">
        <v>220784.81</v>
      </c>
      <c r="F19" s="16">
        <f t="shared" si="0"/>
        <v>-53411.81</v>
      </c>
      <c r="G19" s="17">
        <f t="shared" si="1"/>
        <v>-61226.140000000029</v>
      </c>
    </row>
    <row r="20" spans="2:7" x14ac:dyDescent="0.2">
      <c r="B20" s="4">
        <v>7</v>
      </c>
      <c r="C20" s="15">
        <v>45809</v>
      </c>
      <c r="D20" s="60">
        <f>260589-286</f>
        <v>260303</v>
      </c>
      <c r="E20" s="61">
        <v>292067.95</v>
      </c>
      <c r="F20" s="18">
        <f t="shared" si="0"/>
        <v>-31764.950000000012</v>
      </c>
      <c r="G20" s="19">
        <f t="shared" si="1"/>
        <v>-92991.09000000004</v>
      </c>
    </row>
    <row r="21" spans="2:7" x14ac:dyDescent="0.2">
      <c r="B21" s="20" t="s">
        <v>19</v>
      </c>
      <c r="C21" s="13">
        <v>45839</v>
      </c>
      <c r="D21" s="51">
        <f>345855-0</f>
        <v>345855</v>
      </c>
      <c r="E21" s="52">
        <v>394758.26</v>
      </c>
      <c r="F21" s="14">
        <f t="shared" si="0"/>
        <v>-48903.260000000009</v>
      </c>
      <c r="G21" s="12">
        <f t="shared" si="1"/>
        <v>-141894.35000000003</v>
      </c>
    </row>
    <row r="22" spans="2:7" x14ac:dyDescent="0.2">
      <c r="B22" s="21" t="s">
        <v>20</v>
      </c>
      <c r="C22" s="22">
        <v>45870</v>
      </c>
      <c r="D22" s="62">
        <f>271447-0</f>
        <v>271447</v>
      </c>
      <c r="E22" s="63">
        <v>298857.01</v>
      </c>
      <c r="F22" s="18">
        <f t="shared" si="0"/>
        <v>-27410.010000000009</v>
      </c>
      <c r="G22" s="19">
        <f t="shared" si="1"/>
        <v>-169304.36000000004</v>
      </c>
    </row>
    <row r="23" spans="2:7" x14ac:dyDescent="0.2">
      <c r="B23" s="5"/>
      <c r="C23" s="23" t="s">
        <v>49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0" t="s">
        <v>34</v>
      </c>
      <c r="C30" s="55" t="s">
        <v>51</v>
      </c>
      <c r="D30" s="35">
        <f>-G13</f>
        <v>71974</v>
      </c>
      <c r="E30" s="35">
        <f>D60</f>
        <v>0</v>
      </c>
      <c r="F30" s="55"/>
      <c r="G30" s="35">
        <f>D30+E30</f>
        <v>71974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71974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-21017.09000000004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53</v>
      </c>
      <c r="D35" s="8"/>
      <c r="E35" s="8"/>
      <c r="F35" s="9"/>
      <c r="G35" s="35">
        <f>G33/6</f>
        <v>-3502.8483333333402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-71974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71974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-21017.09000000004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-21017.09000000004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57"/>
      <c r="G52" s="57"/>
    </row>
    <row r="53" spans="2:7" x14ac:dyDescent="0.2">
      <c r="B53" s="32"/>
      <c r="C53" s="5" t="s">
        <v>10</v>
      </c>
      <c r="D53" s="5" t="s">
        <v>52</v>
      </c>
      <c r="E53" s="27"/>
      <c r="F53" s="57"/>
      <c r="G53" s="57"/>
    </row>
    <row r="54" spans="2:7" x14ac:dyDescent="0.2">
      <c r="C54" s="13">
        <v>45658</v>
      </c>
      <c r="D54" s="46">
        <v>0</v>
      </c>
      <c r="E54" s="58"/>
      <c r="F54" s="56"/>
      <c r="G54" s="56"/>
    </row>
    <row r="55" spans="2:7" x14ac:dyDescent="0.2">
      <c r="C55" s="15">
        <v>45689</v>
      </c>
      <c r="D55" s="47">
        <v>0</v>
      </c>
      <c r="E55" s="58"/>
      <c r="F55" s="56"/>
      <c r="G55" s="56"/>
    </row>
    <row r="56" spans="2:7" x14ac:dyDescent="0.2">
      <c r="C56" s="15">
        <v>45717</v>
      </c>
      <c r="D56" s="47">
        <v>0</v>
      </c>
      <c r="E56" s="58"/>
      <c r="F56" s="56"/>
      <c r="G56" s="56"/>
    </row>
    <row r="57" spans="2:7" x14ac:dyDescent="0.2">
      <c r="C57" s="15">
        <v>45748</v>
      </c>
      <c r="D57" s="47">
        <v>0</v>
      </c>
      <c r="E57" s="58"/>
      <c r="F57" s="56"/>
      <c r="G57" s="56"/>
    </row>
    <row r="58" spans="2:7" x14ac:dyDescent="0.2">
      <c r="C58" s="15">
        <v>45778</v>
      </c>
      <c r="D58" s="47">
        <v>0</v>
      </c>
      <c r="E58" s="58"/>
      <c r="F58" s="56"/>
      <c r="G58" s="56"/>
    </row>
    <row r="59" spans="2:7" x14ac:dyDescent="0.2">
      <c r="C59" s="15">
        <v>45809</v>
      </c>
      <c r="D59" s="48">
        <v>0</v>
      </c>
      <c r="E59" s="58"/>
      <c r="F59" s="56"/>
      <c r="G59" s="56"/>
    </row>
    <row r="60" spans="2:7" x14ac:dyDescent="0.2">
      <c r="C60" s="49" t="s">
        <v>46</v>
      </c>
      <c r="D60" s="35">
        <f>SUM(D54:D59)</f>
        <v>0</v>
      </c>
      <c r="E60" s="16"/>
      <c r="F60" s="56"/>
      <c r="G60" s="56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B2FD-3A72-4B0E-B589-8A702BD92E5B}">
  <dimension ref="A1:F25"/>
  <sheetViews>
    <sheetView workbookViewId="0"/>
  </sheetViews>
  <sheetFormatPr defaultColWidth="15.625" defaultRowHeight="14.25" x14ac:dyDescent="0.2"/>
  <sheetData>
    <row r="1" spans="1:6" x14ac:dyDescent="0.2">
      <c r="A1" t="str">
        <f>'Current 5-31-25'!A1</f>
        <v>Staff DR1 Response 2 - Big Sandy Surcharge Summary.xlsx</v>
      </c>
    </row>
    <row r="3" spans="1:6" ht="15" x14ac:dyDescent="0.25">
      <c r="C3" s="85" t="s">
        <v>86</v>
      </c>
      <c r="D3" s="85"/>
      <c r="E3" s="85"/>
    </row>
    <row r="4" spans="1:6" ht="15" x14ac:dyDescent="0.25">
      <c r="B4" s="85" t="s">
        <v>87</v>
      </c>
      <c r="C4" s="85"/>
      <c r="D4" s="85"/>
      <c r="E4" s="85"/>
      <c r="F4" s="85"/>
    </row>
    <row r="6" spans="1:6" ht="15" thickBot="1" x14ac:dyDescent="0.25">
      <c r="E6" s="71" t="s">
        <v>88</v>
      </c>
    </row>
    <row r="7" spans="1:6" x14ac:dyDescent="0.2">
      <c r="B7" t="s">
        <v>89</v>
      </c>
    </row>
    <row r="8" spans="1:6" x14ac:dyDescent="0.2">
      <c r="B8" t="s">
        <v>90</v>
      </c>
      <c r="E8" s="72">
        <f>'A - 05-31-22'!G33</f>
        <v>40155.660000000033</v>
      </c>
      <c r="F8" s="73" t="str">
        <f>IF(E8&gt;0,"Under-Recovery","Over-Recovery")</f>
        <v>Under-Recovery</v>
      </c>
    </row>
    <row r="9" spans="1:6" x14ac:dyDescent="0.2">
      <c r="B9" t="s">
        <v>91</v>
      </c>
      <c r="E9" s="72">
        <f>'B - 11-30-22'!G35</f>
        <v>31566.280000000028</v>
      </c>
      <c r="F9" s="73" t="str">
        <f t="shared" ref="F9:F13" si="0">IF(E9&gt;0,"Under-Recovery","Over-Recovery")</f>
        <v>Under-Recovery</v>
      </c>
    </row>
    <row r="10" spans="1:6" x14ac:dyDescent="0.2">
      <c r="B10" t="s">
        <v>92</v>
      </c>
      <c r="E10" s="72">
        <f>'C - 05-31-23'!G37</f>
        <v>-69831.87</v>
      </c>
      <c r="F10" s="73" t="str">
        <f t="shared" si="0"/>
        <v>Over-Recovery</v>
      </c>
    </row>
    <row r="11" spans="1:6" x14ac:dyDescent="0.2">
      <c r="B11" t="s">
        <v>93</v>
      </c>
      <c r="E11" s="72">
        <f>'D - 11-30-23'!G39</f>
        <v>-16082.310000000027</v>
      </c>
      <c r="F11" s="73" t="str">
        <f t="shared" si="0"/>
        <v>Over-Recovery</v>
      </c>
    </row>
    <row r="12" spans="1:6" x14ac:dyDescent="0.2">
      <c r="B12" t="s">
        <v>94</v>
      </c>
      <c r="E12" s="72">
        <f>'E - 05-31-24'!G41</f>
        <v>55743.110000000044</v>
      </c>
      <c r="F12" s="73" t="str">
        <f t="shared" si="0"/>
        <v>Under-Recovery</v>
      </c>
    </row>
    <row r="13" spans="1:6" x14ac:dyDescent="0.2">
      <c r="B13" t="s">
        <v>95</v>
      </c>
      <c r="E13" s="72">
        <f>'F - 11-30-24'!G43</f>
        <v>-113524.67000000004</v>
      </c>
      <c r="F13" s="73" t="str">
        <f t="shared" si="0"/>
        <v>Over-Recovery</v>
      </c>
    </row>
    <row r="14" spans="1:6" x14ac:dyDescent="0.2">
      <c r="E14" s="72"/>
    </row>
    <row r="15" spans="1:6" ht="15" thickBot="1" x14ac:dyDescent="0.25">
      <c r="B15" t="s">
        <v>96</v>
      </c>
      <c r="E15" s="74">
        <f>SUM(E8:E13)</f>
        <v>-71973.799999999959</v>
      </c>
      <c r="F15" s="73" t="str">
        <f>IF(E15&gt;0,"Under-Recovery","Over-Recovery")</f>
        <v>Over-Recovery</v>
      </c>
    </row>
    <row r="16" spans="1:6" ht="15" thickTop="1" x14ac:dyDescent="0.2"/>
    <row r="20" spans="2:6" ht="15" x14ac:dyDescent="0.25">
      <c r="B20" s="85" t="s">
        <v>97</v>
      </c>
      <c r="C20" s="85"/>
      <c r="D20" s="85"/>
      <c r="E20" s="85"/>
      <c r="F20" s="85"/>
    </row>
    <row r="22" spans="2:6" x14ac:dyDescent="0.2">
      <c r="B22" t="s">
        <v>98</v>
      </c>
      <c r="E22" s="72">
        <f>ROUND(E15/6,0)</f>
        <v>-11996</v>
      </c>
    </row>
    <row r="23" spans="2:6" x14ac:dyDescent="0.2">
      <c r="E23" s="72"/>
    </row>
    <row r="24" spans="2:6" x14ac:dyDescent="0.2">
      <c r="B24" t="s">
        <v>99</v>
      </c>
      <c r="E24" s="72">
        <f>ROUND(E15/12,0)</f>
        <v>-5998</v>
      </c>
    </row>
    <row r="25" spans="2:6" x14ac:dyDescent="0.2">
      <c r="E25" s="72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C9CF-0727-4775-972D-E4B8B157C214}">
  <dimension ref="A1:G60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5-31-25'!A1</f>
        <v>Staff DR1 Response 2 - Big Sandy Surcharge Summary.xlsx</v>
      </c>
    </row>
    <row r="4" spans="1:7" ht="14.25" customHeight="1" x14ac:dyDescent="0.2">
      <c r="B4" s="86" t="s">
        <v>48</v>
      </c>
      <c r="C4" s="87"/>
      <c r="D4" s="87"/>
      <c r="E4" s="87"/>
      <c r="F4" s="87"/>
      <c r="G4" s="88"/>
    </row>
    <row r="5" spans="1:7" ht="14.25" customHeight="1" x14ac:dyDescent="0.2">
      <c r="B5" s="89"/>
      <c r="C5" s="90"/>
      <c r="D5" s="90"/>
      <c r="E5" s="90"/>
      <c r="F5" s="90"/>
      <c r="G5" s="9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2" t="s">
        <v>15</v>
      </c>
      <c r="D12" s="83"/>
      <c r="E12" s="83"/>
      <c r="F12" s="83"/>
      <c r="G12" s="84"/>
    </row>
    <row r="13" spans="1:7" x14ac:dyDescent="0.2">
      <c r="B13" s="2" t="s">
        <v>16</v>
      </c>
      <c r="C13" s="8" t="s">
        <v>55</v>
      </c>
      <c r="D13" s="8"/>
      <c r="E13" s="8"/>
      <c r="F13" s="9"/>
      <c r="G13" s="35">
        <v>208757</v>
      </c>
    </row>
    <row r="14" spans="1:7" x14ac:dyDescent="0.2">
      <c r="B14" s="5" t="s">
        <v>17</v>
      </c>
      <c r="C14" s="8" t="s">
        <v>18</v>
      </c>
      <c r="D14" s="8"/>
      <c r="E14" s="8"/>
      <c r="F14" s="11"/>
      <c r="G14" s="12">
        <f>G13</f>
        <v>208757</v>
      </c>
    </row>
    <row r="15" spans="1:7" x14ac:dyDescent="0.2">
      <c r="B15" s="4">
        <v>2</v>
      </c>
      <c r="C15" s="13">
        <v>44562</v>
      </c>
      <c r="D15" s="51">
        <f>281723-169</f>
        <v>281554</v>
      </c>
      <c r="E15" s="52">
        <v>284733.23</v>
      </c>
      <c r="F15" s="14">
        <f t="shared" ref="F15:F22" si="0">D15-E15</f>
        <v>-3179.2299999999814</v>
      </c>
      <c r="G15" s="12">
        <f t="shared" ref="G15:G22" si="1">G14+F15</f>
        <v>205577.77000000002</v>
      </c>
    </row>
    <row r="16" spans="1:7" x14ac:dyDescent="0.2">
      <c r="B16" s="4">
        <v>3</v>
      </c>
      <c r="C16" s="15">
        <v>44593</v>
      </c>
      <c r="D16" s="53">
        <f>220109-66</f>
        <v>220043</v>
      </c>
      <c r="E16" s="54">
        <v>199041.9</v>
      </c>
      <c r="F16" s="16">
        <f t="shared" si="0"/>
        <v>21001.100000000006</v>
      </c>
      <c r="G16" s="17">
        <f t="shared" si="1"/>
        <v>226578.87000000002</v>
      </c>
    </row>
    <row r="17" spans="2:7" x14ac:dyDescent="0.2">
      <c r="B17" s="4">
        <v>4</v>
      </c>
      <c r="C17" s="15">
        <v>44621</v>
      </c>
      <c r="D17" s="53">
        <f>150554-127</f>
        <v>150427</v>
      </c>
      <c r="E17" s="54">
        <f>140214.41</f>
        <v>140214.41</v>
      </c>
      <c r="F17" s="16">
        <f t="shared" si="0"/>
        <v>10212.589999999997</v>
      </c>
      <c r="G17" s="17">
        <f t="shared" si="1"/>
        <v>236791.46000000002</v>
      </c>
    </row>
    <row r="18" spans="2:7" x14ac:dyDescent="0.2">
      <c r="B18" s="4">
        <v>5</v>
      </c>
      <c r="C18" s="15">
        <v>44652</v>
      </c>
      <c r="D18" s="53">
        <f>161287-187</f>
        <v>161100</v>
      </c>
      <c r="E18" s="54">
        <v>176789.89</v>
      </c>
      <c r="F18" s="16">
        <f t="shared" si="0"/>
        <v>-15689.890000000014</v>
      </c>
      <c r="G18" s="17">
        <f t="shared" si="1"/>
        <v>221101.57</v>
      </c>
    </row>
    <row r="19" spans="2:7" x14ac:dyDescent="0.2">
      <c r="B19" s="4">
        <v>6</v>
      </c>
      <c r="C19" s="15">
        <v>44682</v>
      </c>
      <c r="D19" s="53">
        <f>176207-199</f>
        <v>176008</v>
      </c>
      <c r="E19" s="54">
        <v>182268.36</v>
      </c>
      <c r="F19" s="16">
        <f t="shared" si="0"/>
        <v>-6260.359999999986</v>
      </c>
      <c r="G19" s="17">
        <f t="shared" si="1"/>
        <v>214841.21000000002</v>
      </c>
    </row>
    <row r="20" spans="2:7" x14ac:dyDescent="0.2">
      <c r="B20" s="4">
        <v>7</v>
      </c>
      <c r="C20" s="15">
        <v>44713</v>
      </c>
      <c r="D20" s="53">
        <f>236138-22</f>
        <v>236116</v>
      </c>
      <c r="E20" s="54">
        <v>202044.55</v>
      </c>
      <c r="F20" s="18">
        <f t="shared" si="0"/>
        <v>34071.450000000012</v>
      </c>
      <c r="G20" s="19">
        <f t="shared" si="1"/>
        <v>248912.66000000003</v>
      </c>
    </row>
    <row r="21" spans="2:7" x14ac:dyDescent="0.2">
      <c r="B21" s="20" t="s">
        <v>19</v>
      </c>
      <c r="C21" s="13">
        <v>44743</v>
      </c>
      <c r="D21" s="51">
        <f>275638-215</f>
        <v>275423</v>
      </c>
      <c r="E21" s="52">
        <v>252364.79999999999</v>
      </c>
      <c r="F21" s="14">
        <f t="shared" si="0"/>
        <v>23058.200000000012</v>
      </c>
      <c r="G21" s="12">
        <f t="shared" si="1"/>
        <v>271970.86000000004</v>
      </c>
    </row>
    <row r="22" spans="2:7" x14ac:dyDescent="0.2">
      <c r="B22" s="21" t="s">
        <v>20</v>
      </c>
      <c r="C22" s="22">
        <v>44774</v>
      </c>
      <c r="D22" s="62">
        <f>214376-18</f>
        <v>214358</v>
      </c>
      <c r="E22" s="63">
        <v>231702.43</v>
      </c>
      <c r="F22" s="18">
        <f t="shared" si="0"/>
        <v>-17344.429999999993</v>
      </c>
      <c r="G22" s="19">
        <f t="shared" si="1"/>
        <v>254626.43000000005</v>
      </c>
    </row>
    <row r="23" spans="2:7" x14ac:dyDescent="0.2">
      <c r="B23" s="5"/>
      <c r="C23" s="23" t="s">
        <v>100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5" t="s">
        <v>101</v>
      </c>
      <c r="D30" s="35">
        <f>-G13</f>
        <v>-208757</v>
      </c>
      <c r="E30" s="35">
        <f>D60</f>
        <v>0</v>
      </c>
      <c r="F30" s="55"/>
      <c r="G30" s="35">
        <f>D30+E30</f>
        <v>-208757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-208757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40155.660000000033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71</v>
      </c>
      <c r="D35" s="8"/>
      <c r="E35" s="8"/>
      <c r="F35" s="9"/>
      <c r="G35" s="35">
        <f>G33/6</f>
        <v>6692.6100000000051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208757</v>
      </c>
    </row>
    <row r="40" spans="2:7" x14ac:dyDescent="0.2">
      <c r="B40" s="4">
        <v>12</v>
      </c>
      <c r="C40" t="s">
        <v>39</v>
      </c>
      <c r="G40" s="42">
        <f>G31</f>
        <v>-208757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40155.660000000033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40155.660000000033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72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61DB-B934-4C21-9B38-6F6058275EAF}">
  <dimension ref="A1:G62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'2025-00013 Summary'!A1</f>
        <v>Staff DR1 Response 2 - Big Sandy Surcharge Summary.xlsx</v>
      </c>
    </row>
    <row r="4" spans="1:7" ht="14.25" customHeight="1" x14ac:dyDescent="0.2">
      <c r="B4" s="86" t="s">
        <v>48</v>
      </c>
      <c r="C4" s="87"/>
      <c r="D4" s="87"/>
      <c r="E4" s="87"/>
      <c r="F4" s="87"/>
      <c r="G4" s="88"/>
    </row>
    <row r="5" spans="1:7" x14ac:dyDescent="0.2">
      <c r="B5" s="89"/>
      <c r="C5" s="90"/>
      <c r="D5" s="90"/>
      <c r="E5" s="90"/>
      <c r="F5" s="90"/>
      <c r="G5" s="9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2" t="s">
        <v>15</v>
      </c>
      <c r="D12" s="83"/>
      <c r="E12" s="83"/>
      <c r="F12" s="83"/>
      <c r="G12" s="84"/>
    </row>
    <row r="13" spans="1:7" x14ac:dyDescent="0.2">
      <c r="B13" s="2" t="s">
        <v>16</v>
      </c>
      <c r="C13" s="8" t="s">
        <v>55</v>
      </c>
      <c r="D13" s="8"/>
      <c r="E13" s="8"/>
      <c r="F13" s="9"/>
      <c r="G13" s="35">
        <v>208757</v>
      </c>
    </row>
    <row r="14" spans="1:7" x14ac:dyDescent="0.2">
      <c r="B14" s="4" t="s">
        <v>17</v>
      </c>
      <c r="C14" s="8" t="s">
        <v>56</v>
      </c>
      <c r="D14" s="8"/>
      <c r="E14" s="8"/>
      <c r="F14" s="9"/>
      <c r="G14" s="64">
        <f>'A - 05-31-22'!G33</f>
        <v>40155.660000000033</v>
      </c>
    </row>
    <row r="15" spans="1:7" x14ac:dyDescent="0.2">
      <c r="B15" s="5" t="s">
        <v>57</v>
      </c>
      <c r="C15" s="8" t="s">
        <v>18</v>
      </c>
      <c r="D15" s="8"/>
      <c r="E15" s="8"/>
      <c r="F15" s="11"/>
      <c r="G15" s="12">
        <f>G13+G14</f>
        <v>248912.66000000003</v>
      </c>
    </row>
    <row r="16" spans="1:7" x14ac:dyDescent="0.2">
      <c r="B16" s="4">
        <v>2</v>
      </c>
      <c r="C16" s="13">
        <v>44743</v>
      </c>
      <c r="D16" s="51">
        <f>275638-215</f>
        <v>275423</v>
      </c>
      <c r="E16" s="52">
        <v>252364.79999999999</v>
      </c>
      <c r="F16" s="14">
        <f t="shared" ref="F16:F23" si="0">D16-E16</f>
        <v>23058.200000000012</v>
      </c>
      <c r="G16" s="12">
        <f t="shared" ref="G16:G23" si="1">G15+F16</f>
        <v>271970.86000000004</v>
      </c>
    </row>
    <row r="17" spans="2:7" x14ac:dyDescent="0.2">
      <c r="B17" s="4">
        <v>3</v>
      </c>
      <c r="C17" s="15">
        <v>44774</v>
      </c>
      <c r="D17" s="53">
        <f>214376-18</f>
        <v>214358</v>
      </c>
      <c r="E17" s="54">
        <v>231702.43</v>
      </c>
      <c r="F17" s="16">
        <f t="shared" si="0"/>
        <v>-17344.429999999993</v>
      </c>
      <c r="G17" s="17">
        <f t="shared" si="1"/>
        <v>254626.43000000005</v>
      </c>
    </row>
    <row r="18" spans="2:7" x14ac:dyDescent="0.2">
      <c r="B18" s="4">
        <v>4</v>
      </c>
      <c r="C18" s="15">
        <v>44805</v>
      </c>
      <c r="D18" s="53">
        <f>142684-0</f>
        <v>142684</v>
      </c>
      <c r="E18" s="54">
        <f>139062.42</f>
        <v>139062.42000000001</v>
      </c>
      <c r="F18" s="16">
        <f t="shared" si="0"/>
        <v>3621.5799999999872</v>
      </c>
      <c r="G18" s="17">
        <f t="shared" si="1"/>
        <v>258248.01000000004</v>
      </c>
    </row>
    <row r="19" spans="2:7" x14ac:dyDescent="0.2">
      <c r="B19" s="4">
        <v>5</v>
      </c>
      <c r="C19" s="15">
        <v>44835</v>
      </c>
      <c r="D19" s="53">
        <f>180438-166</f>
        <v>180272</v>
      </c>
      <c r="E19" s="54">
        <v>183410.21</v>
      </c>
      <c r="F19" s="16">
        <f t="shared" si="0"/>
        <v>-3138.2099999999919</v>
      </c>
      <c r="G19" s="17">
        <f t="shared" si="1"/>
        <v>255109.80000000005</v>
      </c>
    </row>
    <row r="20" spans="2:7" x14ac:dyDescent="0.2">
      <c r="B20" s="4">
        <v>6</v>
      </c>
      <c r="C20" s="15">
        <v>44866</v>
      </c>
      <c r="D20" s="53">
        <f>233724-184</f>
        <v>233540</v>
      </c>
      <c r="E20" s="54">
        <v>234819.81</v>
      </c>
      <c r="F20" s="16">
        <f t="shared" si="0"/>
        <v>-1279.8099999999977</v>
      </c>
      <c r="G20" s="17">
        <f t="shared" si="1"/>
        <v>253829.99000000005</v>
      </c>
    </row>
    <row r="21" spans="2:7" x14ac:dyDescent="0.2">
      <c r="B21" s="4">
        <v>7</v>
      </c>
      <c r="C21" s="15">
        <v>44896</v>
      </c>
      <c r="D21" s="53">
        <f>336215-198</f>
        <v>336017</v>
      </c>
      <c r="E21" s="54">
        <v>309368.05</v>
      </c>
      <c r="F21" s="18">
        <f t="shared" si="0"/>
        <v>26648.950000000012</v>
      </c>
      <c r="G21" s="19">
        <f t="shared" si="1"/>
        <v>280478.94000000006</v>
      </c>
    </row>
    <row r="22" spans="2:7" x14ac:dyDescent="0.2">
      <c r="B22" s="20" t="s">
        <v>19</v>
      </c>
      <c r="C22" s="13">
        <v>44927</v>
      </c>
      <c r="D22" s="51">
        <f>261046-171</f>
        <v>260875</v>
      </c>
      <c r="E22" s="52">
        <v>236217.18</v>
      </c>
      <c r="F22" s="14">
        <f t="shared" si="0"/>
        <v>24657.820000000007</v>
      </c>
      <c r="G22" s="12">
        <f t="shared" si="1"/>
        <v>305136.76000000007</v>
      </c>
    </row>
    <row r="23" spans="2:7" x14ac:dyDescent="0.2">
      <c r="B23" s="21" t="s">
        <v>20</v>
      </c>
      <c r="C23" s="22">
        <v>44958</v>
      </c>
      <c r="D23" s="62">
        <f>134717-115</f>
        <v>134602</v>
      </c>
      <c r="E23" s="63">
        <v>145946.97</v>
      </c>
      <c r="F23" s="18">
        <f t="shared" si="0"/>
        <v>-11344.970000000001</v>
      </c>
      <c r="G23" s="19">
        <f t="shared" si="1"/>
        <v>293791.79000000004</v>
      </c>
    </row>
    <row r="24" spans="2:7" x14ac:dyDescent="0.2">
      <c r="B24" s="5"/>
      <c r="C24" s="23" t="s">
        <v>102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1" t="s">
        <v>101</v>
      </c>
      <c r="D31" s="12">
        <f>-G13</f>
        <v>-208757</v>
      </c>
      <c r="E31" s="12">
        <f>D62</f>
        <v>0</v>
      </c>
      <c r="F31" s="1"/>
      <c r="G31" s="12">
        <f>D31+E31</f>
        <v>-208757</v>
      </c>
    </row>
    <row r="32" spans="2:7" x14ac:dyDescent="0.2">
      <c r="B32" s="27" t="s">
        <v>35</v>
      </c>
      <c r="C32" s="28" t="s">
        <v>64</v>
      </c>
      <c r="D32" s="19">
        <f>-G14</f>
        <v>-40155.660000000033</v>
      </c>
      <c r="E32" s="19">
        <v>0</v>
      </c>
      <c r="F32" s="28"/>
      <c r="G32" s="19">
        <f>D32+E32</f>
        <v>-40155.660000000033</v>
      </c>
    </row>
    <row r="33" spans="2:7" x14ac:dyDescent="0.2">
      <c r="B33" s="5" t="s">
        <v>65</v>
      </c>
      <c r="C33" s="29"/>
      <c r="D33" s="30"/>
      <c r="E33" s="30"/>
      <c r="F33" s="31" t="s">
        <v>36</v>
      </c>
      <c r="G33" s="19">
        <f>G31+G32</f>
        <v>-248912.66000000003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103</v>
      </c>
      <c r="D35" s="8"/>
      <c r="E35" s="8"/>
      <c r="F35" s="9"/>
      <c r="G35" s="35">
        <f>G21+G33</f>
        <v>31566.280000000028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71</v>
      </c>
      <c r="D37" s="8"/>
      <c r="E37" s="8"/>
      <c r="F37" s="9"/>
      <c r="G37" s="35">
        <f>G35/6</f>
        <v>5261.0466666666716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248912.66000000003</v>
      </c>
    </row>
    <row r="42" spans="2:7" x14ac:dyDescent="0.2">
      <c r="B42" s="4">
        <v>12</v>
      </c>
      <c r="C42" t="s">
        <v>39</v>
      </c>
      <c r="G42" s="42">
        <f>G33</f>
        <v>-248912.66000000003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31566.280000000028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31566.280000000028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72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A559-F27E-4F7E-A666-FEF5D21C734E}">
  <dimension ref="A1:G64"/>
  <sheetViews>
    <sheetView workbookViewId="0">
      <selection activeCell="F18" sqref="F18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'2025-00013 Summary'!A1</f>
        <v>Staff DR1 Response 2 - Big Sandy Surcharge Summary.xlsx</v>
      </c>
    </row>
    <row r="4" spans="1:7" ht="14.25" customHeight="1" x14ac:dyDescent="0.2">
      <c r="B4" s="86" t="s">
        <v>73</v>
      </c>
      <c r="C4" s="87"/>
      <c r="D4" s="87"/>
      <c r="E4" s="87"/>
      <c r="F4" s="87"/>
      <c r="G4" s="88"/>
    </row>
    <row r="5" spans="1:7" x14ac:dyDescent="0.2">
      <c r="B5" s="89"/>
      <c r="C5" s="90"/>
      <c r="D5" s="90"/>
      <c r="E5" s="90"/>
      <c r="F5" s="90"/>
      <c r="G5" s="9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2" t="s">
        <v>15</v>
      </c>
      <c r="D12" s="83"/>
      <c r="E12" s="83"/>
      <c r="F12" s="83"/>
      <c r="G12" s="84"/>
    </row>
    <row r="13" spans="1:7" x14ac:dyDescent="0.2">
      <c r="B13" s="2" t="s">
        <v>16</v>
      </c>
      <c r="C13" s="8" t="s">
        <v>55</v>
      </c>
      <c r="D13" s="8"/>
      <c r="E13" s="8"/>
      <c r="F13" s="9"/>
      <c r="G13" s="35">
        <v>208757</v>
      </c>
    </row>
    <row r="14" spans="1:7" x14ac:dyDescent="0.2">
      <c r="B14" s="4" t="s">
        <v>17</v>
      </c>
      <c r="C14" s="8" t="s">
        <v>56</v>
      </c>
      <c r="D14" s="8"/>
      <c r="E14" s="8"/>
      <c r="F14" s="9"/>
      <c r="G14" s="64">
        <f>'A - 05-31-22'!G33</f>
        <v>40155.660000000033</v>
      </c>
    </row>
    <row r="15" spans="1:7" x14ac:dyDescent="0.2">
      <c r="B15" s="4" t="s">
        <v>57</v>
      </c>
      <c r="C15" s="8" t="s">
        <v>58</v>
      </c>
      <c r="D15" s="8"/>
      <c r="E15" s="8"/>
      <c r="F15" s="9"/>
      <c r="G15" s="64">
        <f>'B - 11-30-22'!G35</f>
        <v>31566.280000000028</v>
      </c>
    </row>
    <row r="16" spans="1:7" x14ac:dyDescent="0.2">
      <c r="B16" s="5" t="s">
        <v>59</v>
      </c>
      <c r="C16" s="8" t="s">
        <v>18</v>
      </c>
      <c r="D16" s="8"/>
      <c r="E16" s="8"/>
      <c r="F16" s="11"/>
      <c r="G16" s="12">
        <f>G13+G14+G15</f>
        <v>280478.94000000006</v>
      </c>
    </row>
    <row r="17" spans="2:7" x14ac:dyDescent="0.2">
      <c r="B17" s="4">
        <v>2</v>
      </c>
      <c r="C17" s="13">
        <v>44927</v>
      </c>
      <c r="D17" s="51">
        <f>261046-171</f>
        <v>260875</v>
      </c>
      <c r="E17" s="52">
        <v>236217.18</v>
      </c>
      <c r="F17" s="14">
        <f t="shared" ref="F17:F24" si="0">D17-E17</f>
        <v>24657.820000000007</v>
      </c>
      <c r="G17" s="12">
        <f t="shared" ref="G17:G24" si="1">G16+F17</f>
        <v>305136.76000000007</v>
      </c>
    </row>
    <row r="18" spans="2:7" x14ac:dyDescent="0.2">
      <c r="B18" s="4">
        <v>3</v>
      </c>
      <c r="C18" s="15">
        <v>44958</v>
      </c>
      <c r="D18" s="53">
        <f>134717-115</f>
        <v>134602</v>
      </c>
      <c r="E18" s="54">
        <v>145946.97</v>
      </c>
      <c r="F18" s="16">
        <f t="shared" si="0"/>
        <v>-11344.970000000001</v>
      </c>
      <c r="G18" s="17">
        <f t="shared" si="1"/>
        <v>293791.79000000004</v>
      </c>
    </row>
    <row r="19" spans="2:7" x14ac:dyDescent="0.2">
      <c r="B19" s="4">
        <v>4</v>
      </c>
      <c r="C19" s="15">
        <v>44986</v>
      </c>
      <c r="D19" s="53">
        <f>168756-146</f>
        <v>168610</v>
      </c>
      <c r="E19" s="54">
        <v>186035.47</v>
      </c>
      <c r="F19" s="16">
        <f t="shared" si="0"/>
        <v>-17425.47</v>
      </c>
      <c r="G19" s="17">
        <f t="shared" si="1"/>
        <v>276366.32000000007</v>
      </c>
    </row>
    <row r="20" spans="2:7" x14ac:dyDescent="0.2">
      <c r="B20" s="4">
        <v>5</v>
      </c>
      <c r="C20" s="15">
        <v>45017</v>
      </c>
      <c r="D20" s="53">
        <f>165826-199</f>
        <v>165627</v>
      </c>
      <c r="E20" s="54">
        <v>179529.24</v>
      </c>
      <c r="F20" s="16">
        <f t="shared" si="0"/>
        <v>-13902.239999999991</v>
      </c>
      <c r="G20" s="17">
        <f t="shared" si="1"/>
        <v>262464.08000000007</v>
      </c>
    </row>
    <row r="21" spans="2:7" x14ac:dyDescent="0.2">
      <c r="B21" s="4">
        <v>6</v>
      </c>
      <c r="C21" s="15">
        <v>45047</v>
      </c>
      <c r="D21" s="53">
        <f>166161-194</f>
        <v>165967</v>
      </c>
      <c r="E21" s="54">
        <v>181301.53</v>
      </c>
      <c r="F21" s="16">
        <f t="shared" si="0"/>
        <v>-15334.529999999999</v>
      </c>
      <c r="G21" s="17">
        <f t="shared" si="1"/>
        <v>247129.55000000008</v>
      </c>
    </row>
    <row r="22" spans="2:7" x14ac:dyDescent="0.2">
      <c r="B22" s="4">
        <v>7</v>
      </c>
      <c r="C22" s="15">
        <v>45078</v>
      </c>
      <c r="D22" s="53">
        <f>190023-233</f>
        <v>189790</v>
      </c>
      <c r="E22" s="54">
        <v>226272.48</v>
      </c>
      <c r="F22" s="18">
        <f t="shared" si="0"/>
        <v>-36482.48000000001</v>
      </c>
      <c r="G22" s="19">
        <f t="shared" si="1"/>
        <v>210647.07000000007</v>
      </c>
    </row>
    <row r="23" spans="2:7" x14ac:dyDescent="0.2">
      <c r="B23" s="20" t="s">
        <v>19</v>
      </c>
      <c r="C23" s="13">
        <v>45108</v>
      </c>
      <c r="D23" s="51">
        <f>256664-242</f>
        <v>256422</v>
      </c>
      <c r="E23" s="52">
        <v>258217.7</v>
      </c>
      <c r="F23" s="14">
        <f t="shared" si="0"/>
        <v>-1795.7000000000116</v>
      </c>
      <c r="G23" s="12">
        <f t="shared" si="1"/>
        <v>208851.37000000005</v>
      </c>
    </row>
    <row r="24" spans="2:7" x14ac:dyDescent="0.2">
      <c r="B24" s="21" t="s">
        <v>20</v>
      </c>
      <c r="C24" s="22">
        <v>45139</v>
      </c>
      <c r="D24" s="62">
        <f>256514-0</f>
        <v>256514</v>
      </c>
      <c r="E24" s="63">
        <v>241497.9</v>
      </c>
      <c r="F24" s="18">
        <f t="shared" si="0"/>
        <v>15016.100000000006</v>
      </c>
      <c r="G24" s="19">
        <f t="shared" si="1"/>
        <v>223867.47000000006</v>
      </c>
    </row>
    <row r="25" spans="2:7" x14ac:dyDescent="0.2">
      <c r="B25" s="5"/>
      <c r="C25" s="23" t="s">
        <v>104</v>
      </c>
      <c r="D25" s="24"/>
      <c r="E25" s="24"/>
      <c r="F25" s="24"/>
      <c r="G25" s="25"/>
    </row>
    <row r="26" spans="2:7" x14ac:dyDescent="0.2">
      <c r="B26" s="2"/>
      <c r="C26" s="1"/>
      <c r="D26" s="1"/>
      <c r="E26" s="1"/>
      <c r="F26" s="1"/>
      <c r="G26" s="12"/>
    </row>
    <row r="27" spans="2:7" x14ac:dyDescent="0.2">
      <c r="B27" s="4"/>
      <c r="C27" s="3"/>
      <c r="D27" s="4" t="s">
        <v>21</v>
      </c>
      <c r="E27" s="4" t="s">
        <v>22</v>
      </c>
      <c r="F27" s="3"/>
      <c r="G27" s="17"/>
    </row>
    <row r="28" spans="2:7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</row>
    <row r="29" spans="2:7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7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7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7" x14ac:dyDescent="0.2">
      <c r="B32" s="20" t="s">
        <v>34</v>
      </c>
      <c r="C32" s="1" t="s">
        <v>101</v>
      </c>
      <c r="D32" s="12">
        <f>-G13</f>
        <v>-208757</v>
      </c>
      <c r="E32" s="12">
        <f>D64</f>
        <v>0</v>
      </c>
      <c r="F32" s="1"/>
      <c r="G32" s="12">
        <f t="shared" ref="G32:G34" si="2">D32+E32</f>
        <v>-208757</v>
      </c>
    </row>
    <row r="33" spans="2:7" x14ac:dyDescent="0.2">
      <c r="B33" s="27" t="s">
        <v>35</v>
      </c>
      <c r="C33" s="75" t="s">
        <v>64</v>
      </c>
      <c r="D33" s="17">
        <f>-G14</f>
        <v>-40155.660000000033</v>
      </c>
      <c r="E33" s="17">
        <v>0</v>
      </c>
      <c r="F33" s="3"/>
      <c r="G33" s="17">
        <f t="shared" si="2"/>
        <v>-40155.660000000033</v>
      </c>
    </row>
    <row r="34" spans="2:7" x14ac:dyDescent="0.2">
      <c r="B34" s="27" t="s">
        <v>65</v>
      </c>
      <c r="C34" s="45" t="s">
        <v>66</v>
      </c>
      <c r="D34" s="19">
        <f>-G15</f>
        <v>-31566.280000000028</v>
      </c>
      <c r="E34" s="19">
        <v>0</v>
      </c>
      <c r="F34" s="28"/>
      <c r="G34" s="19">
        <f t="shared" si="2"/>
        <v>-31566.280000000028</v>
      </c>
    </row>
    <row r="35" spans="2:7" x14ac:dyDescent="0.2">
      <c r="B35" s="5" t="s">
        <v>67</v>
      </c>
      <c r="C35" s="29"/>
      <c r="D35" s="30"/>
      <c r="E35" s="30"/>
      <c r="F35" s="31" t="s">
        <v>36</v>
      </c>
      <c r="G35" s="19">
        <f>G32+G33+G34</f>
        <v>-280478.94000000006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105</v>
      </c>
      <c r="D37" s="8"/>
      <c r="E37" s="8"/>
      <c r="F37" s="9"/>
      <c r="G37" s="35">
        <f>G22+G35</f>
        <v>-69831.87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71</v>
      </c>
      <c r="D39" s="8"/>
      <c r="E39" s="8"/>
      <c r="F39" s="9"/>
      <c r="G39" s="35">
        <f>G37/6</f>
        <v>-11638.644999999999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280478.94000000006</v>
      </c>
    </row>
    <row r="44" spans="2:7" x14ac:dyDescent="0.2">
      <c r="B44" s="4">
        <v>12</v>
      </c>
      <c r="C44" t="s">
        <v>39</v>
      </c>
      <c r="G44" s="42">
        <f>G35</f>
        <v>-280478.94000000006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-69831.87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-69831.87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72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D981-895C-4AD0-A391-31F76B792A6C}">
  <dimension ref="A1:G66"/>
  <sheetViews>
    <sheetView workbookViewId="0">
      <selection activeCell="F18" sqref="F18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'2025-00013 Summary'!A1</f>
        <v>Staff DR1 Response 2 - Big Sandy Surcharge Summary.xlsx</v>
      </c>
    </row>
    <row r="4" spans="1:7" ht="14.25" customHeight="1" x14ac:dyDescent="0.2">
      <c r="B4" s="86" t="s">
        <v>48</v>
      </c>
      <c r="C4" s="87"/>
      <c r="D4" s="87"/>
      <c r="E4" s="87"/>
      <c r="F4" s="87"/>
      <c r="G4" s="88"/>
    </row>
    <row r="5" spans="1:7" x14ac:dyDescent="0.2">
      <c r="B5" s="89"/>
      <c r="C5" s="90"/>
      <c r="D5" s="90"/>
      <c r="E5" s="90"/>
      <c r="F5" s="90"/>
      <c r="G5" s="9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2" t="s">
        <v>15</v>
      </c>
      <c r="D12" s="83"/>
      <c r="E12" s="83"/>
      <c r="F12" s="83"/>
      <c r="G12" s="84"/>
    </row>
    <row r="13" spans="1:7" x14ac:dyDescent="0.2">
      <c r="B13" s="2" t="s">
        <v>16</v>
      </c>
      <c r="C13" s="8" t="s">
        <v>55</v>
      </c>
      <c r="D13" s="8"/>
      <c r="E13" s="8"/>
      <c r="F13" s="9"/>
      <c r="G13" s="35">
        <v>208757</v>
      </c>
    </row>
    <row r="14" spans="1:7" x14ac:dyDescent="0.2">
      <c r="B14" s="4" t="s">
        <v>17</v>
      </c>
      <c r="C14" s="8" t="s">
        <v>56</v>
      </c>
      <c r="D14" s="8"/>
      <c r="E14" s="8"/>
      <c r="F14" s="9"/>
      <c r="G14" s="64">
        <f>'A - 05-31-22'!G33</f>
        <v>40155.660000000033</v>
      </c>
    </row>
    <row r="15" spans="1:7" x14ac:dyDescent="0.2">
      <c r="B15" s="4" t="s">
        <v>57</v>
      </c>
      <c r="C15" s="8" t="s">
        <v>58</v>
      </c>
      <c r="D15" s="8"/>
      <c r="E15" s="8"/>
      <c r="F15" s="9"/>
      <c r="G15" s="64">
        <f>'B - 11-30-22'!G35</f>
        <v>31566.280000000028</v>
      </c>
    </row>
    <row r="16" spans="1:7" x14ac:dyDescent="0.2">
      <c r="B16" s="4" t="s">
        <v>59</v>
      </c>
      <c r="C16" s="8" t="s">
        <v>60</v>
      </c>
      <c r="D16" s="8"/>
      <c r="E16" s="8"/>
      <c r="F16" s="11"/>
      <c r="G16" s="51">
        <f>'C - 05-31-23'!G37</f>
        <v>-69831.87</v>
      </c>
    </row>
    <row r="17" spans="2:7" x14ac:dyDescent="0.2">
      <c r="B17" s="5" t="s">
        <v>61</v>
      </c>
      <c r="C17" s="8" t="s">
        <v>18</v>
      </c>
      <c r="D17" s="8"/>
      <c r="E17" s="8"/>
      <c r="F17" s="11"/>
      <c r="G17" s="12">
        <f>G13+G14+G15+G16</f>
        <v>210647.07000000007</v>
      </c>
    </row>
    <row r="18" spans="2:7" x14ac:dyDescent="0.2">
      <c r="B18" s="4">
        <v>2</v>
      </c>
      <c r="C18" s="13">
        <v>45108</v>
      </c>
      <c r="D18" s="51">
        <f>256664-242</f>
        <v>256422</v>
      </c>
      <c r="E18" s="52">
        <v>258217.7</v>
      </c>
      <c r="F18" s="14">
        <f t="shared" ref="F18:F25" si="0">D18-E18</f>
        <v>-1795.7000000000116</v>
      </c>
      <c r="G18" s="12">
        <f t="shared" ref="G18:G25" si="1">G17+F18</f>
        <v>208851.37000000005</v>
      </c>
    </row>
    <row r="19" spans="2:7" x14ac:dyDescent="0.2">
      <c r="B19" s="4">
        <v>3</v>
      </c>
      <c r="C19" s="15">
        <v>45139</v>
      </c>
      <c r="D19" s="53">
        <f>256514-0</f>
        <v>256514</v>
      </c>
      <c r="E19" s="54">
        <v>241497.9</v>
      </c>
      <c r="F19" s="16">
        <f t="shared" si="0"/>
        <v>15016.100000000006</v>
      </c>
      <c r="G19" s="17">
        <f t="shared" si="1"/>
        <v>223867.47000000006</v>
      </c>
    </row>
    <row r="20" spans="2:7" x14ac:dyDescent="0.2">
      <c r="B20" s="4">
        <v>4</v>
      </c>
      <c r="C20" s="15">
        <v>45170</v>
      </c>
      <c r="D20" s="53">
        <f>169193-0</f>
        <v>169193</v>
      </c>
      <c r="E20" s="54">
        <v>169530.09</v>
      </c>
      <c r="F20" s="16">
        <f t="shared" si="0"/>
        <v>-337.08999999999651</v>
      </c>
      <c r="G20" s="17">
        <f t="shared" si="1"/>
        <v>223530.38000000006</v>
      </c>
    </row>
    <row r="21" spans="2:7" x14ac:dyDescent="0.2">
      <c r="B21" s="4">
        <v>5</v>
      </c>
      <c r="C21" s="15">
        <v>45200</v>
      </c>
      <c r="D21" s="53">
        <f>147072-187</f>
        <v>146885</v>
      </c>
      <c r="E21" s="54">
        <v>161394.6</v>
      </c>
      <c r="F21" s="16">
        <f t="shared" si="0"/>
        <v>-14509.600000000006</v>
      </c>
      <c r="G21" s="17">
        <f t="shared" si="1"/>
        <v>209020.78000000006</v>
      </c>
    </row>
    <row r="22" spans="2:7" x14ac:dyDescent="0.2">
      <c r="B22" s="4">
        <v>6</v>
      </c>
      <c r="C22" s="15">
        <v>45231</v>
      </c>
      <c r="D22" s="53">
        <f>246668-221</f>
        <v>246447</v>
      </c>
      <c r="E22" s="54">
        <v>251233.31</v>
      </c>
      <c r="F22" s="16">
        <f t="shared" si="0"/>
        <v>-4786.3099999999977</v>
      </c>
      <c r="G22" s="17">
        <f t="shared" si="1"/>
        <v>204234.47000000006</v>
      </c>
    </row>
    <row r="23" spans="2:7" x14ac:dyDescent="0.2">
      <c r="B23" s="4">
        <v>7</v>
      </c>
      <c r="C23" s="15">
        <v>45261</v>
      </c>
      <c r="D23" s="53">
        <f>261417-227</f>
        <v>261190</v>
      </c>
      <c r="E23" s="54">
        <v>270859.71000000002</v>
      </c>
      <c r="F23" s="18">
        <f t="shared" si="0"/>
        <v>-9669.710000000021</v>
      </c>
      <c r="G23" s="19">
        <f t="shared" si="1"/>
        <v>194564.76000000004</v>
      </c>
    </row>
    <row r="24" spans="2:7" x14ac:dyDescent="0.2">
      <c r="B24" s="20" t="s">
        <v>19</v>
      </c>
      <c r="C24" s="13">
        <v>45292</v>
      </c>
      <c r="D24" s="51">
        <f>311432-211</f>
        <v>311221</v>
      </c>
      <c r="E24" s="52">
        <v>284667.17</v>
      </c>
      <c r="F24" s="14">
        <f t="shared" si="0"/>
        <v>26553.830000000016</v>
      </c>
      <c r="G24" s="12">
        <f t="shared" si="1"/>
        <v>221118.59000000005</v>
      </c>
    </row>
    <row r="25" spans="2:7" x14ac:dyDescent="0.2">
      <c r="B25" s="21" t="s">
        <v>20</v>
      </c>
      <c r="C25" s="22">
        <v>45323</v>
      </c>
      <c r="D25" s="62">
        <f>239676-195</f>
        <v>239481</v>
      </c>
      <c r="E25" s="63">
        <v>219545.32</v>
      </c>
      <c r="F25" s="18">
        <f t="shared" si="0"/>
        <v>19935.679999999993</v>
      </c>
      <c r="G25" s="19">
        <f t="shared" si="1"/>
        <v>241054.27000000005</v>
      </c>
    </row>
    <row r="26" spans="2:7" x14ac:dyDescent="0.2">
      <c r="B26" s="5"/>
      <c r="C26" s="23" t="s">
        <v>62</v>
      </c>
      <c r="D26" s="24"/>
      <c r="E26" s="24"/>
      <c r="F26" s="24"/>
      <c r="G26" s="25"/>
    </row>
    <row r="27" spans="2:7" x14ac:dyDescent="0.2">
      <c r="B27" s="2"/>
      <c r="C27" s="1"/>
      <c r="D27" s="1"/>
      <c r="E27" s="1"/>
      <c r="F27" s="1"/>
      <c r="G27" s="12"/>
    </row>
    <row r="28" spans="2:7" x14ac:dyDescent="0.2">
      <c r="B28" s="4"/>
      <c r="C28" s="3"/>
      <c r="D28" s="4" t="s">
        <v>21</v>
      </c>
      <c r="E28" s="4" t="s">
        <v>22</v>
      </c>
      <c r="F28" s="3"/>
      <c r="G28" s="17"/>
    </row>
    <row r="29" spans="2:7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</row>
    <row r="30" spans="2:7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7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7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65" t="s">
        <v>63</v>
      </c>
      <c r="D33" s="66">
        <f>-G13</f>
        <v>-208757</v>
      </c>
      <c r="E33" s="66">
        <f>D66</f>
        <v>0</v>
      </c>
      <c r="F33" s="39"/>
      <c r="G33" s="67">
        <f t="shared" ref="G33:G36" si="2">D33+E33</f>
        <v>-208757</v>
      </c>
    </row>
    <row r="34" spans="2:7" x14ac:dyDescent="0.2">
      <c r="B34" s="27" t="s">
        <v>35</v>
      </c>
      <c r="C34" s="68" t="s">
        <v>64</v>
      </c>
      <c r="D34" s="33">
        <f>-G14</f>
        <v>-40155.660000000033</v>
      </c>
      <c r="E34" s="33">
        <v>0</v>
      </c>
      <c r="G34" s="41">
        <f t="shared" si="2"/>
        <v>-40155.660000000033</v>
      </c>
    </row>
    <row r="35" spans="2:7" x14ac:dyDescent="0.2">
      <c r="B35" s="27" t="s">
        <v>65</v>
      </c>
      <c r="C35" s="68" t="s">
        <v>66</v>
      </c>
      <c r="D35" s="33">
        <f>-G15</f>
        <v>-31566.280000000028</v>
      </c>
      <c r="E35" s="33">
        <v>0</v>
      </c>
      <c r="G35" s="41">
        <f t="shared" si="2"/>
        <v>-31566.280000000028</v>
      </c>
    </row>
    <row r="36" spans="2:7" x14ac:dyDescent="0.2">
      <c r="B36" s="27" t="s">
        <v>67</v>
      </c>
      <c r="C36" s="69" t="s">
        <v>68</v>
      </c>
      <c r="D36" s="70">
        <f>-G16</f>
        <v>69831.87</v>
      </c>
      <c r="E36" s="70">
        <v>0</v>
      </c>
      <c r="F36" s="44"/>
      <c r="G36" s="42">
        <f t="shared" si="2"/>
        <v>69831.87</v>
      </c>
    </row>
    <row r="37" spans="2:7" x14ac:dyDescent="0.2">
      <c r="B37" s="5" t="s">
        <v>69</v>
      </c>
      <c r="C37" s="29"/>
      <c r="D37" s="30"/>
      <c r="E37" s="30"/>
      <c r="F37" s="31" t="s">
        <v>36</v>
      </c>
      <c r="G37" s="19">
        <f>G33+G34+G35+G36</f>
        <v>-210647.07000000007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70</v>
      </c>
      <c r="D39" s="8"/>
      <c r="E39" s="8"/>
      <c r="F39" s="9"/>
      <c r="G39" s="35">
        <f>G23+G37</f>
        <v>-16082.310000000027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71</v>
      </c>
      <c r="D41" s="8"/>
      <c r="E41" s="8"/>
      <c r="F41" s="9"/>
      <c r="G41" s="35">
        <f>G39/6</f>
        <v>-2680.3850000000043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210647.07000000007</v>
      </c>
    </row>
    <row r="46" spans="2:7" x14ac:dyDescent="0.2">
      <c r="B46" s="4">
        <v>12</v>
      </c>
      <c r="C46" t="s">
        <v>39</v>
      </c>
      <c r="G46" s="42">
        <f>G37</f>
        <v>-210647.07000000007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-16082.310000000027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-16082.310000000027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72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AF96-FED5-424A-9CCB-BD0A4A2209B9}">
  <dimension ref="A1:G68"/>
  <sheetViews>
    <sheetView workbookViewId="0">
      <selection activeCell="F18" sqref="F18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'2025-00013 Summary'!A1</f>
        <v>Staff DR1 Response 2 - Big Sandy Surcharge Summary.xlsx</v>
      </c>
    </row>
    <row r="4" spans="1:7" ht="14.25" customHeight="1" x14ac:dyDescent="0.2">
      <c r="B4" s="86" t="s">
        <v>73</v>
      </c>
      <c r="C4" s="87"/>
      <c r="D4" s="87"/>
      <c r="E4" s="87"/>
      <c r="F4" s="87"/>
      <c r="G4" s="88"/>
    </row>
    <row r="5" spans="1:7" x14ac:dyDescent="0.2">
      <c r="B5" s="89"/>
      <c r="C5" s="90"/>
      <c r="D5" s="90"/>
      <c r="E5" s="90"/>
      <c r="F5" s="90"/>
      <c r="G5" s="9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2" t="s">
        <v>15</v>
      </c>
      <c r="D12" s="83"/>
      <c r="E12" s="83"/>
      <c r="F12" s="83"/>
      <c r="G12" s="84"/>
    </row>
    <row r="13" spans="1:7" x14ac:dyDescent="0.2">
      <c r="B13" s="2" t="s">
        <v>16</v>
      </c>
      <c r="C13" s="8" t="s">
        <v>55</v>
      </c>
      <c r="D13" s="8"/>
      <c r="E13" s="8"/>
      <c r="F13" s="9"/>
      <c r="G13" s="35">
        <v>208757</v>
      </c>
    </row>
    <row r="14" spans="1:7" x14ac:dyDescent="0.2">
      <c r="B14" s="4" t="s">
        <v>17</v>
      </c>
      <c r="C14" s="8" t="s">
        <v>56</v>
      </c>
      <c r="D14" s="8"/>
      <c r="E14" s="8"/>
      <c r="F14" s="9"/>
      <c r="G14" s="64">
        <f>'A - 05-31-22'!G33</f>
        <v>40155.660000000033</v>
      </c>
    </row>
    <row r="15" spans="1:7" x14ac:dyDescent="0.2">
      <c r="B15" s="4" t="s">
        <v>57</v>
      </c>
      <c r="C15" s="8" t="s">
        <v>58</v>
      </c>
      <c r="D15" s="8"/>
      <c r="E15" s="8"/>
      <c r="F15" s="9"/>
      <c r="G15" s="64">
        <f>'B - 11-30-22'!G35</f>
        <v>31566.280000000028</v>
      </c>
    </row>
    <row r="16" spans="1:7" x14ac:dyDescent="0.2">
      <c r="B16" s="4" t="s">
        <v>59</v>
      </c>
      <c r="C16" s="8" t="s">
        <v>60</v>
      </c>
      <c r="D16" s="8"/>
      <c r="E16" s="8"/>
      <c r="F16" s="11"/>
      <c r="G16" s="51">
        <f>'C - 05-31-23'!G37</f>
        <v>-69831.87</v>
      </c>
    </row>
    <row r="17" spans="2:7" x14ac:dyDescent="0.2">
      <c r="B17" s="4" t="s">
        <v>61</v>
      </c>
      <c r="C17" s="8" t="s">
        <v>74</v>
      </c>
      <c r="D17" s="8"/>
      <c r="E17" s="8"/>
      <c r="F17" s="11"/>
      <c r="G17" s="51">
        <f>'D - 11-30-23'!G39</f>
        <v>-16082.310000000027</v>
      </c>
    </row>
    <row r="18" spans="2:7" x14ac:dyDescent="0.2">
      <c r="B18" s="5" t="s">
        <v>75</v>
      </c>
      <c r="C18" s="8" t="s">
        <v>18</v>
      </c>
      <c r="D18" s="8"/>
      <c r="E18" s="8"/>
      <c r="F18" s="11"/>
      <c r="G18" s="12">
        <f>G13+G14+G15+G16+G17</f>
        <v>194564.76000000004</v>
      </c>
    </row>
    <row r="19" spans="2:7" x14ac:dyDescent="0.2">
      <c r="B19" s="4">
        <v>2</v>
      </c>
      <c r="C19" s="13">
        <v>45292</v>
      </c>
      <c r="D19" s="51">
        <f>311432-211</f>
        <v>311221</v>
      </c>
      <c r="E19" s="52">
        <v>284667.17</v>
      </c>
      <c r="F19" s="14">
        <f t="shared" ref="F19:F26" si="0">D19-E19</f>
        <v>26553.830000000016</v>
      </c>
      <c r="G19" s="12">
        <f t="shared" ref="G19:G26" si="1">G18+F19</f>
        <v>221118.59000000005</v>
      </c>
    </row>
    <row r="20" spans="2:7" x14ac:dyDescent="0.2">
      <c r="B20" s="4">
        <v>3</v>
      </c>
      <c r="C20" s="15">
        <v>45323</v>
      </c>
      <c r="D20" s="53">
        <f>239676-195</f>
        <v>239481</v>
      </c>
      <c r="E20" s="54">
        <v>219545.32</v>
      </c>
      <c r="F20" s="16">
        <f t="shared" si="0"/>
        <v>19935.679999999993</v>
      </c>
      <c r="G20" s="17">
        <f t="shared" si="1"/>
        <v>241054.27000000005</v>
      </c>
    </row>
    <row r="21" spans="2:7" x14ac:dyDescent="0.2">
      <c r="B21" s="4">
        <v>4</v>
      </c>
      <c r="C21" s="15">
        <v>45352</v>
      </c>
      <c r="D21" s="53">
        <f>135284-138</f>
        <v>135146</v>
      </c>
      <c r="E21" s="54">
        <v>141064.54999999999</v>
      </c>
      <c r="F21" s="16">
        <f t="shared" si="0"/>
        <v>-5918.5499999999884</v>
      </c>
      <c r="G21" s="17">
        <f t="shared" si="1"/>
        <v>235135.72000000006</v>
      </c>
    </row>
    <row r="22" spans="2:7" x14ac:dyDescent="0.2">
      <c r="B22" s="4">
        <v>5</v>
      </c>
      <c r="C22" s="15">
        <v>45383</v>
      </c>
      <c r="D22" s="53">
        <f>137845-188</f>
        <v>137657</v>
      </c>
      <c r="E22" s="54">
        <v>195189.5</v>
      </c>
      <c r="F22" s="16">
        <f t="shared" si="0"/>
        <v>-57532.5</v>
      </c>
      <c r="G22" s="17">
        <f t="shared" si="1"/>
        <v>177603.22000000006</v>
      </c>
    </row>
    <row r="23" spans="2:7" x14ac:dyDescent="0.2">
      <c r="B23" s="4">
        <v>6</v>
      </c>
      <c r="C23" s="15">
        <v>45413</v>
      </c>
      <c r="D23" s="53">
        <f>188883-229</f>
        <v>188654</v>
      </c>
      <c r="E23" s="54">
        <v>217980.12</v>
      </c>
      <c r="F23" s="16">
        <f t="shared" si="0"/>
        <v>-29326.119999999995</v>
      </c>
      <c r="G23" s="17">
        <f t="shared" si="1"/>
        <v>148277.10000000006</v>
      </c>
    </row>
    <row r="24" spans="2:7" x14ac:dyDescent="0.2">
      <c r="B24" s="4">
        <v>7</v>
      </c>
      <c r="C24" s="15">
        <v>45444</v>
      </c>
      <c r="D24" s="53">
        <f>272563-279</f>
        <v>272284</v>
      </c>
      <c r="E24" s="54">
        <v>309425.23</v>
      </c>
      <c r="F24" s="18">
        <f t="shared" si="0"/>
        <v>-37141.229999999981</v>
      </c>
      <c r="G24" s="19">
        <f t="shared" si="1"/>
        <v>111135.87000000008</v>
      </c>
    </row>
    <row r="25" spans="2:7" x14ac:dyDescent="0.2">
      <c r="B25" s="20" t="s">
        <v>19</v>
      </c>
      <c r="C25" s="13">
        <v>45474</v>
      </c>
      <c r="D25" s="51">
        <f>266404-0</f>
        <v>266404</v>
      </c>
      <c r="E25" s="52">
        <v>316689.90000000002</v>
      </c>
      <c r="F25" s="14">
        <f t="shared" si="0"/>
        <v>-50285.900000000023</v>
      </c>
      <c r="G25" s="12">
        <f t="shared" si="1"/>
        <v>60849.970000000059</v>
      </c>
    </row>
    <row r="26" spans="2:7" x14ac:dyDescent="0.2">
      <c r="B26" s="21" t="s">
        <v>20</v>
      </c>
      <c r="C26" s="22">
        <v>45505</v>
      </c>
      <c r="D26" s="62">
        <f>224021-0</f>
        <v>224021</v>
      </c>
      <c r="E26" s="63">
        <v>271717.34999999998</v>
      </c>
      <c r="F26" s="18">
        <f t="shared" si="0"/>
        <v>-47696.349999999977</v>
      </c>
      <c r="G26" s="19">
        <f t="shared" si="1"/>
        <v>13153.620000000083</v>
      </c>
    </row>
    <row r="27" spans="2:7" x14ac:dyDescent="0.2">
      <c r="B27" s="5"/>
      <c r="C27" s="23" t="s">
        <v>76</v>
      </c>
      <c r="D27" s="24"/>
      <c r="E27" s="24"/>
      <c r="F27" s="24"/>
      <c r="G27" s="25"/>
    </row>
    <row r="28" spans="2:7" x14ac:dyDescent="0.2">
      <c r="B28" s="2"/>
      <c r="C28" s="1"/>
      <c r="D28" s="1"/>
      <c r="E28" s="1"/>
      <c r="F28" s="1"/>
      <c r="G28" s="12"/>
    </row>
    <row r="29" spans="2:7" x14ac:dyDescent="0.2">
      <c r="B29" s="4"/>
      <c r="C29" s="3"/>
      <c r="D29" s="4" t="s">
        <v>21</v>
      </c>
      <c r="E29" s="4" t="s">
        <v>22</v>
      </c>
      <c r="F29" s="3"/>
      <c r="G29" s="17"/>
    </row>
    <row r="30" spans="2:7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</row>
    <row r="31" spans="2:7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7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63</v>
      </c>
      <c r="D34" s="12">
        <f>-G13</f>
        <v>-208757</v>
      </c>
      <c r="E34" s="12">
        <f>D68</f>
        <v>139172</v>
      </c>
      <c r="F34" s="1"/>
      <c r="G34" s="12">
        <f t="shared" ref="G34:G38" si="2">D34+E34</f>
        <v>-69585</v>
      </c>
    </row>
    <row r="35" spans="2:7" x14ac:dyDescent="0.2">
      <c r="B35" s="27" t="s">
        <v>35</v>
      </c>
      <c r="C35" s="3" t="s">
        <v>64</v>
      </c>
      <c r="D35" s="17">
        <f>-G14</f>
        <v>-40155.660000000033</v>
      </c>
      <c r="E35" s="17">
        <v>0</v>
      </c>
      <c r="F35" s="3"/>
      <c r="G35" s="17">
        <f t="shared" si="2"/>
        <v>-40155.660000000033</v>
      </c>
    </row>
    <row r="36" spans="2:7" x14ac:dyDescent="0.2">
      <c r="B36" s="27" t="s">
        <v>65</v>
      </c>
      <c r="C36" s="3" t="s">
        <v>66</v>
      </c>
      <c r="D36" s="17">
        <f>-G15</f>
        <v>-31566.280000000028</v>
      </c>
      <c r="E36" s="17">
        <v>0</v>
      </c>
      <c r="F36" s="3"/>
      <c r="G36" s="17">
        <f t="shared" si="2"/>
        <v>-31566.280000000028</v>
      </c>
    </row>
    <row r="37" spans="2:7" x14ac:dyDescent="0.2">
      <c r="B37" s="27" t="s">
        <v>67</v>
      </c>
      <c r="C37" s="3" t="s">
        <v>68</v>
      </c>
      <c r="D37" s="17">
        <f>-G16</f>
        <v>69831.87</v>
      </c>
      <c r="E37" s="17">
        <v>0</v>
      </c>
      <c r="F37" s="3"/>
      <c r="G37" s="17">
        <f t="shared" si="2"/>
        <v>69831.87</v>
      </c>
    </row>
    <row r="38" spans="2:7" x14ac:dyDescent="0.2">
      <c r="B38" s="27" t="s">
        <v>69</v>
      </c>
      <c r="C38" s="28" t="s">
        <v>77</v>
      </c>
      <c r="D38" s="19">
        <f>-G17</f>
        <v>16082.310000000027</v>
      </c>
      <c r="E38" s="19">
        <v>0</v>
      </c>
      <c r="F38" s="28"/>
      <c r="G38" s="19">
        <f t="shared" si="2"/>
        <v>16082.310000000027</v>
      </c>
    </row>
    <row r="39" spans="2:7" x14ac:dyDescent="0.2">
      <c r="B39" s="5" t="s">
        <v>78</v>
      </c>
      <c r="C39" s="29"/>
      <c r="D39" s="30"/>
      <c r="E39" s="30"/>
      <c r="F39" s="31" t="s">
        <v>36</v>
      </c>
      <c r="G39" s="19">
        <f>G34+G35+G36+G37+G38</f>
        <v>-55392.760000000038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79</v>
      </c>
      <c r="D41" s="8"/>
      <c r="E41" s="8"/>
      <c r="F41" s="9"/>
      <c r="G41" s="35">
        <f>G24+G39</f>
        <v>55743.110000000044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71</v>
      </c>
      <c r="D43" s="8"/>
      <c r="E43" s="8"/>
      <c r="F43" s="9"/>
      <c r="G43" s="35">
        <f>G41/6</f>
        <v>9290.5183333333407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194564.76000000004</v>
      </c>
    </row>
    <row r="48" spans="2:7" x14ac:dyDescent="0.2">
      <c r="B48" s="4">
        <v>12</v>
      </c>
      <c r="C48" t="s">
        <v>39</v>
      </c>
      <c r="G48" s="42">
        <f>G39</f>
        <v>-55392.760000000038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139172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55743.110000000044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-83428.889999999956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139172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72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34793</v>
      </c>
      <c r="E64" s="16"/>
      <c r="F64" s="33"/>
      <c r="G64" s="33"/>
    </row>
    <row r="65" spans="3:7" x14ac:dyDescent="0.2">
      <c r="C65" s="15">
        <v>45383</v>
      </c>
      <c r="D65" s="17">
        <v>34793</v>
      </c>
      <c r="E65" s="16"/>
      <c r="F65" s="33"/>
      <c r="G65" s="33"/>
    </row>
    <row r="66" spans="3:7" x14ac:dyDescent="0.2">
      <c r="C66" s="15">
        <v>45413</v>
      </c>
      <c r="D66" s="17">
        <v>34793</v>
      </c>
      <c r="E66" s="16"/>
      <c r="F66" s="33"/>
      <c r="G66" s="33"/>
    </row>
    <row r="67" spans="3:7" x14ac:dyDescent="0.2">
      <c r="C67" s="15">
        <v>45444</v>
      </c>
      <c r="D67" s="19">
        <v>34793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139172</v>
      </c>
      <c r="E68" s="16"/>
      <c r="F68" s="33"/>
      <c r="G68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46EC-4C37-49D5-9E59-54A84BDE00C6}">
  <dimension ref="A1:G70"/>
  <sheetViews>
    <sheetView workbookViewId="0">
      <selection activeCell="F18" sqref="F18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'2025-00013 Summary'!A1</f>
        <v>Staff DR1 Response 2 - Big Sandy Surcharge Summary.xlsx</v>
      </c>
    </row>
    <row r="4" spans="1:7" ht="14.25" customHeight="1" x14ac:dyDescent="0.2">
      <c r="B4" s="86" t="s">
        <v>48</v>
      </c>
      <c r="C4" s="87"/>
      <c r="D4" s="87"/>
      <c r="E4" s="87"/>
      <c r="F4" s="87"/>
      <c r="G4" s="88"/>
    </row>
    <row r="5" spans="1:7" ht="14.25" customHeight="1" x14ac:dyDescent="0.2">
      <c r="B5" s="89"/>
      <c r="C5" s="90"/>
      <c r="D5" s="90"/>
      <c r="E5" s="90"/>
      <c r="F5" s="90"/>
      <c r="G5" s="9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2" t="s">
        <v>15</v>
      </c>
      <c r="D12" s="83"/>
      <c r="E12" s="83"/>
      <c r="F12" s="83"/>
      <c r="G12" s="84"/>
    </row>
    <row r="13" spans="1:7" x14ac:dyDescent="0.2">
      <c r="B13" s="2" t="s">
        <v>16</v>
      </c>
      <c r="C13" s="8" t="s">
        <v>55</v>
      </c>
      <c r="D13" s="8"/>
      <c r="E13" s="8"/>
      <c r="F13" s="9"/>
      <c r="G13" s="35">
        <v>69585</v>
      </c>
    </row>
    <row r="14" spans="1:7" x14ac:dyDescent="0.2">
      <c r="B14" s="4" t="s">
        <v>17</v>
      </c>
      <c r="C14" s="8" t="s">
        <v>56</v>
      </c>
      <c r="D14" s="8"/>
      <c r="E14" s="8"/>
      <c r="F14" s="9"/>
      <c r="G14" s="64">
        <f>'A - 05-31-22'!G33</f>
        <v>40155.660000000033</v>
      </c>
    </row>
    <row r="15" spans="1:7" x14ac:dyDescent="0.2">
      <c r="B15" s="4" t="s">
        <v>57</v>
      </c>
      <c r="C15" s="8" t="s">
        <v>58</v>
      </c>
      <c r="D15" s="8"/>
      <c r="E15" s="8"/>
      <c r="F15" s="9"/>
      <c r="G15" s="64">
        <f>'B - 11-30-22'!G35</f>
        <v>31566.280000000028</v>
      </c>
    </row>
    <row r="16" spans="1:7" x14ac:dyDescent="0.2">
      <c r="B16" s="4" t="s">
        <v>59</v>
      </c>
      <c r="C16" s="8" t="s">
        <v>60</v>
      </c>
      <c r="D16" s="8"/>
      <c r="E16" s="8"/>
      <c r="F16" s="11"/>
      <c r="G16" s="51">
        <f>'C - 05-31-23'!G37</f>
        <v>-69831.87</v>
      </c>
    </row>
    <row r="17" spans="2:7" x14ac:dyDescent="0.2">
      <c r="B17" s="4" t="s">
        <v>61</v>
      </c>
      <c r="C17" s="8" t="s">
        <v>74</v>
      </c>
      <c r="D17" s="8"/>
      <c r="E17" s="8"/>
      <c r="F17" s="11"/>
      <c r="G17" s="51">
        <f>'D - 11-30-23'!G39</f>
        <v>-16082.310000000027</v>
      </c>
    </row>
    <row r="18" spans="2:7" x14ac:dyDescent="0.2">
      <c r="B18" s="4" t="s">
        <v>75</v>
      </c>
      <c r="C18" s="8" t="s">
        <v>80</v>
      </c>
      <c r="D18" s="8"/>
      <c r="E18" s="8"/>
      <c r="F18" s="11"/>
      <c r="G18" s="51">
        <f>'E - 05-31-24'!G41</f>
        <v>55743.110000000044</v>
      </c>
    </row>
    <row r="19" spans="2:7" x14ac:dyDescent="0.2">
      <c r="B19" s="5" t="s">
        <v>81</v>
      </c>
      <c r="C19" s="8" t="s">
        <v>18</v>
      </c>
      <c r="D19" s="8"/>
      <c r="E19" s="8"/>
      <c r="F19" s="11"/>
      <c r="G19" s="12">
        <f>G13+G14+G15+G16+G17+G18</f>
        <v>111135.87000000008</v>
      </c>
    </row>
    <row r="20" spans="2:7" x14ac:dyDescent="0.2">
      <c r="B20" s="4">
        <v>2</v>
      </c>
      <c r="C20" s="13">
        <v>45474</v>
      </c>
      <c r="D20" s="51">
        <f>266404-0</f>
        <v>266404</v>
      </c>
      <c r="E20" s="52">
        <v>316689.90000000002</v>
      </c>
      <c r="F20" s="14">
        <f t="shared" ref="F20:F27" si="0">D20-E20</f>
        <v>-50285.900000000023</v>
      </c>
      <c r="G20" s="12">
        <f t="shared" ref="G20:G27" si="1">G19+F20</f>
        <v>60849.970000000059</v>
      </c>
    </row>
    <row r="21" spans="2:7" x14ac:dyDescent="0.2">
      <c r="B21" s="4">
        <v>3</v>
      </c>
      <c r="C21" s="15">
        <v>45505</v>
      </c>
      <c r="D21" s="53">
        <f>224021-0</f>
        <v>224021</v>
      </c>
      <c r="E21" s="54">
        <v>271717.34999999998</v>
      </c>
      <c r="F21" s="16">
        <f t="shared" si="0"/>
        <v>-47696.349999999977</v>
      </c>
      <c r="G21" s="17">
        <f t="shared" si="1"/>
        <v>13153.620000000083</v>
      </c>
    </row>
    <row r="22" spans="2:7" x14ac:dyDescent="0.2">
      <c r="B22" s="4">
        <v>4</v>
      </c>
      <c r="C22" s="15">
        <v>45536</v>
      </c>
      <c r="D22" s="53">
        <f>204497-0</f>
        <v>204497</v>
      </c>
      <c r="E22" s="54">
        <v>232841.13</v>
      </c>
      <c r="F22" s="16">
        <f t="shared" si="0"/>
        <v>-28344.130000000005</v>
      </c>
      <c r="G22" s="17">
        <f t="shared" si="1"/>
        <v>-15190.509999999922</v>
      </c>
    </row>
    <row r="23" spans="2:7" x14ac:dyDescent="0.2">
      <c r="B23" s="4">
        <v>5</v>
      </c>
      <c r="C23" s="15">
        <v>45566</v>
      </c>
      <c r="D23" s="53">
        <f>171969-236</f>
        <v>171733</v>
      </c>
      <c r="E23" s="54">
        <v>214667.03</v>
      </c>
      <c r="F23" s="16">
        <f t="shared" si="0"/>
        <v>-42934.03</v>
      </c>
      <c r="G23" s="17">
        <f t="shared" si="1"/>
        <v>-58124.539999999921</v>
      </c>
    </row>
    <row r="24" spans="2:7" x14ac:dyDescent="0.2">
      <c r="B24" s="4">
        <v>6</v>
      </c>
      <c r="C24" s="15">
        <v>45597</v>
      </c>
      <c r="D24" s="53">
        <f>217603-251</f>
        <v>217352</v>
      </c>
      <c r="E24" s="54">
        <v>232539.98</v>
      </c>
      <c r="F24" s="16">
        <f t="shared" si="0"/>
        <v>-15187.98000000001</v>
      </c>
      <c r="G24" s="17">
        <f t="shared" si="1"/>
        <v>-73312.519999999931</v>
      </c>
    </row>
    <row r="25" spans="2:7" x14ac:dyDescent="0.2">
      <c r="B25" s="4">
        <v>7</v>
      </c>
      <c r="C25" s="15">
        <v>45627</v>
      </c>
      <c r="D25" s="53">
        <f>342616-297</f>
        <v>342319</v>
      </c>
      <c r="E25" s="54">
        <f>340980.28</f>
        <v>340980.28</v>
      </c>
      <c r="F25" s="18">
        <f t="shared" si="0"/>
        <v>1338.7199999999721</v>
      </c>
      <c r="G25" s="19">
        <f t="shared" si="1"/>
        <v>-71973.799999999959</v>
      </c>
    </row>
    <row r="26" spans="2:7" x14ac:dyDescent="0.2">
      <c r="B26" s="20" t="s">
        <v>19</v>
      </c>
      <c r="C26" s="13">
        <v>45658</v>
      </c>
      <c r="D26" s="51">
        <f>461609-272</f>
        <v>461337</v>
      </c>
      <c r="E26" s="52">
        <v>419883.46</v>
      </c>
      <c r="F26" s="14">
        <f t="shared" si="0"/>
        <v>41453.539999999979</v>
      </c>
      <c r="G26" s="12">
        <f t="shared" si="1"/>
        <v>-30520.25999999998</v>
      </c>
    </row>
    <row r="27" spans="2:7" x14ac:dyDescent="0.2">
      <c r="B27" s="21" t="s">
        <v>20</v>
      </c>
      <c r="C27" s="22">
        <v>45689</v>
      </c>
      <c r="D27" s="62">
        <f>297825-207</f>
        <v>297618</v>
      </c>
      <c r="E27" s="63">
        <f>243396.6</f>
        <v>243396.6</v>
      </c>
      <c r="F27" s="18">
        <f t="shared" si="0"/>
        <v>54221.399999999994</v>
      </c>
      <c r="G27" s="19">
        <f t="shared" si="1"/>
        <v>23701.140000000014</v>
      </c>
    </row>
    <row r="28" spans="2:7" x14ac:dyDescent="0.2">
      <c r="B28" s="5"/>
      <c r="C28" s="23" t="s">
        <v>82</v>
      </c>
      <c r="D28" s="24"/>
      <c r="E28" s="24"/>
      <c r="F28" s="24"/>
      <c r="G28" s="25"/>
    </row>
    <row r="29" spans="2:7" x14ac:dyDescent="0.2">
      <c r="B29" s="2"/>
      <c r="C29" s="1"/>
      <c r="D29" s="1"/>
      <c r="E29" s="1"/>
      <c r="F29" s="1"/>
      <c r="G29" s="12"/>
    </row>
    <row r="30" spans="2:7" x14ac:dyDescent="0.2">
      <c r="B30" s="4"/>
      <c r="C30" s="3"/>
      <c r="D30" s="4" t="s">
        <v>21</v>
      </c>
      <c r="E30" s="4" t="s">
        <v>22</v>
      </c>
      <c r="F30" s="3"/>
      <c r="G30" s="17"/>
    </row>
    <row r="31" spans="2:7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</row>
    <row r="32" spans="2:7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63</v>
      </c>
      <c r="D35" s="12">
        <f t="shared" ref="D35:D40" si="2">-G13</f>
        <v>-69585</v>
      </c>
      <c r="E35" s="12">
        <f>D70</f>
        <v>69585</v>
      </c>
      <c r="F35" s="1"/>
      <c r="G35" s="12">
        <f t="shared" ref="G35:G40" si="3">D35+E35</f>
        <v>0</v>
      </c>
    </row>
    <row r="36" spans="2:7" x14ac:dyDescent="0.2">
      <c r="B36" s="27" t="s">
        <v>35</v>
      </c>
      <c r="C36" s="3" t="s">
        <v>64</v>
      </c>
      <c r="D36" s="17">
        <f t="shared" si="2"/>
        <v>-40155.660000000033</v>
      </c>
      <c r="E36" s="17">
        <v>0</v>
      </c>
      <c r="F36" s="3"/>
      <c r="G36" s="17">
        <f t="shared" si="3"/>
        <v>-40155.660000000033</v>
      </c>
    </row>
    <row r="37" spans="2:7" x14ac:dyDescent="0.2">
      <c r="B37" s="27" t="s">
        <v>65</v>
      </c>
      <c r="C37" s="3" t="s">
        <v>66</v>
      </c>
      <c r="D37" s="17">
        <f t="shared" si="2"/>
        <v>-31566.280000000028</v>
      </c>
      <c r="E37" s="17">
        <v>0</v>
      </c>
      <c r="F37" s="3"/>
      <c r="G37" s="17">
        <f t="shared" si="3"/>
        <v>-31566.280000000028</v>
      </c>
    </row>
    <row r="38" spans="2:7" x14ac:dyDescent="0.2">
      <c r="B38" s="27" t="s">
        <v>67</v>
      </c>
      <c r="C38" s="3" t="s">
        <v>68</v>
      </c>
      <c r="D38" s="17">
        <f t="shared" si="2"/>
        <v>69831.87</v>
      </c>
      <c r="E38" s="17">
        <v>0</v>
      </c>
      <c r="F38" s="3"/>
      <c r="G38" s="17">
        <f t="shared" si="3"/>
        <v>69831.87</v>
      </c>
    </row>
    <row r="39" spans="2:7" x14ac:dyDescent="0.2">
      <c r="B39" s="27" t="s">
        <v>69</v>
      </c>
      <c r="C39" s="3" t="s">
        <v>77</v>
      </c>
      <c r="D39" s="17">
        <f t="shared" si="2"/>
        <v>16082.310000000027</v>
      </c>
      <c r="E39" s="17">
        <v>0</v>
      </c>
      <c r="F39" s="3"/>
      <c r="G39" s="17">
        <f t="shared" si="3"/>
        <v>16082.310000000027</v>
      </c>
    </row>
    <row r="40" spans="2:7" x14ac:dyDescent="0.2">
      <c r="B40" s="27" t="s">
        <v>78</v>
      </c>
      <c r="C40" s="28" t="s">
        <v>83</v>
      </c>
      <c r="D40" s="19">
        <f t="shared" si="2"/>
        <v>-55743.110000000044</v>
      </c>
      <c r="E40" s="19">
        <v>0</v>
      </c>
      <c r="F40" s="28"/>
      <c r="G40" s="19">
        <f t="shared" si="3"/>
        <v>-55743.110000000044</v>
      </c>
    </row>
    <row r="41" spans="2:7" x14ac:dyDescent="0.2">
      <c r="B41" s="5" t="s">
        <v>84</v>
      </c>
      <c r="C41" s="29"/>
      <c r="D41" s="30"/>
      <c r="E41" s="30"/>
      <c r="F41" s="31" t="s">
        <v>36</v>
      </c>
      <c r="G41" s="19">
        <f>G35+G36+G37+G38+G39+G40</f>
        <v>-41550.870000000083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85</v>
      </c>
      <c r="D43" s="8"/>
      <c r="E43" s="8"/>
      <c r="F43" s="9"/>
      <c r="G43" s="35">
        <f>G25+G41</f>
        <v>-113524.67000000004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71</v>
      </c>
      <c r="D45" s="8"/>
      <c r="E45" s="8"/>
      <c r="F45" s="9"/>
      <c r="G45" s="35">
        <f>G43/6</f>
        <v>-18920.778333333339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111135.87000000008</v>
      </c>
    </row>
    <row r="50" spans="2:7" x14ac:dyDescent="0.2">
      <c r="B50" s="4">
        <v>12</v>
      </c>
      <c r="C50" t="s">
        <v>39</v>
      </c>
      <c r="G50" s="42">
        <f>G41</f>
        <v>-41550.870000000083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69585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-113524.67000000004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-183109.67000000004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69585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72</v>
      </c>
      <c r="E63" s="27"/>
      <c r="F63" s="32"/>
      <c r="G63" s="32"/>
    </row>
    <row r="64" spans="2:7" x14ac:dyDescent="0.2">
      <c r="C64" s="13">
        <v>45474</v>
      </c>
      <c r="D64" s="12">
        <v>34793</v>
      </c>
      <c r="E64" s="16"/>
      <c r="F64" s="33"/>
      <c r="G64" s="33"/>
    </row>
    <row r="65" spans="3:7" x14ac:dyDescent="0.2">
      <c r="C65" s="15">
        <v>45505</v>
      </c>
      <c r="D65" s="17">
        <v>34792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69585</v>
      </c>
      <c r="E70" s="16"/>
      <c r="F70" s="33"/>
      <c r="G70" s="33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2025-10-15T15:16:51Z</dcterms:modified>
</cp:coreProperties>
</file>