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E462F4AC-E3B4-4548-8C48-943EB48CD8C9}" xr6:coauthVersionLast="47" xr6:coauthVersionMax="47" xr10:uidLastSave="{00000000-0000-0000-0000-000000000000}"/>
  <bookViews>
    <workbookView xWindow="4545" yWindow="454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J27" i="15"/>
  <c r="L27" i="15" s="1"/>
  <c r="F27" i="15"/>
  <c r="D27" i="15"/>
  <c r="K26" i="15"/>
  <c r="J26" i="15"/>
  <c r="L26" i="15" s="1"/>
  <c r="F26" i="15"/>
  <c r="E26" i="15"/>
  <c r="D26" i="15"/>
  <c r="J25" i="15"/>
  <c r="L25" i="15" s="1"/>
  <c r="D25" i="15"/>
  <c r="F25" i="15" s="1"/>
  <c r="L24" i="15"/>
  <c r="J24" i="15"/>
  <c r="F24" i="15"/>
  <c r="D24" i="15"/>
  <c r="J23" i="15"/>
  <c r="L23" i="15" s="1"/>
  <c r="D23" i="15"/>
  <c r="F23" i="15" s="1"/>
  <c r="L22" i="15"/>
  <c r="J22" i="15"/>
  <c r="F22" i="15"/>
  <c r="D22" i="15"/>
  <c r="J21" i="15"/>
  <c r="L21" i="15" s="1"/>
  <c r="E21" i="15"/>
  <c r="D21" i="15"/>
  <c r="F21" i="15" s="1"/>
  <c r="J20" i="15"/>
  <c r="L20" i="15" s="1"/>
  <c r="M20" i="15" s="1"/>
  <c r="D20" i="15"/>
  <c r="F20" i="15" s="1"/>
  <c r="D68" i="14"/>
  <c r="E34" i="14" s="1"/>
  <c r="G34" i="14" s="1"/>
  <c r="D34" i="14"/>
  <c r="L26" i="14"/>
  <c r="J26" i="14"/>
  <c r="E26" i="14"/>
  <c r="D26" i="14"/>
  <c r="F26" i="14" s="1"/>
  <c r="L25" i="14"/>
  <c r="J25" i="14"/>
  <c r="D25" i="14"/>
  <c r="F25" i="14" s="1"/>
  <c r="J24" i="14"/>
  <c r="L24" i="14" s="1"/>
  <c r="D24" i="14"/>
  <c r="F24" i="14" s="1"/>
  <c r="L23" i="14"/>
  <c r="J23" i="14"/>
  <c r="D23" i="14"/>
  <c r="F23" i="14" s="1"/>
  <c r="J22" i="14"/>
  <c r="L22" i="14" s="1"/>
  <c r="D22" i="14"/>
  <c r="F22" i="14" s="1"/>
  <c r="L21" i="14"/>
  <c r="J21" i="14"/>
  <c r="D21" i="14"/>
  <c r="F21" i="14" s="1"/>
  <c r="J20" i="14"/>
  <c r="L20" i="14" s="1"/>
  <c r="D20" i="14"/>
  <c r="F20" i="14" s="1"/>
  <c r="L19" i="14"/>
  <c r="M19" i="14" s="1"/>
  <c r="J19" i="14"/>
  <c r="D19" i="14"/>
  <c r="F19" i="14" s="1"/>
  <c r="D66" i="13"/>
  <c r="E33" i="13"/>
  <c r="D33" i="13"/>
  <c r="G33" i="13" s="1"/>
  <c r="L25" i="13"/>
  <c r="J25" i="13"/>
  <c r="D25" i="13"/>
  <c r="F25" i="13" s="1"/>
  <c r="J24" i="13"/>
  <c r="L24" i="13" s="1"/>
  <c r="F24" i="13"/>
  <c r="D24" i="13"/>
  <c r="K23" i="13"/>
  <c r="J23" i="13"/>
  <c r="L23" i="13" s="1"/>
  <c r="F23" i="13"/>
  <c r="D23" i="13"/>
  <c r="J22" i="13"/>
  <c r="L22" i="13" s="1"/>
  <c r="D22" i="13"/>
  <c r="F22" i="13" s="1"/>
  <c r="J21" i="13"/>
  <c r="L21" i="13" s="1"/>
  <c r="F21" i="13"/>
  <c r="D21" i="13"/>
  <c r="J20" i="13"/>
  <c r="L20" i="13" s="1"/>
  <c r="D20" i="13"/>
  <c r="F20" i="13" s="1"/>
  <c r="J19" i="13"/>
  <c r="L19" i="13" s="1"/>
  <c r="F19" i="13"/>
  <c r="D19" i="13"/>
  <c r="J18" i="13"/>
  <c r="L18" i="13" s="1"/>
  <c r="M18" i="13" s="1"/>
  <c r="D18" i="13"/>
  <c r="F18" i="13" s="1"/>
  <c r="D64" i="12"/>
  <c r="E32" i="12"/>
  <c r="D32" i="12"/>
  <c r="G32" i="12" s="1"/>
  <c r="L24" i="12"/>
  <c r="J24" i="12"/>
  <c r="D24" i="12"/>
  <c r="F24" i="12" s="1"/>
  <c r="J23" i="12"/>
  <c r="L23" i="12" s="1"/>
  <c r="F23" i="12"/>
  <c r="D23" i="12"/>
  <c r="L22" i="12"/>
  <c r="J22" i="12"/>
  <c r="D22" i="12"/>
  <c r="F22" i="12" s="1"/>
  <c r="J21" i="12"/>
  <c r="L21" i="12" s="1"/>
  <c r="F21" i="12"/>
  <c r="D21" i="12"/>
  <c r="L20" i="12"/>
  <c r="J20" i="12"/>
  <c r="E20" i="12"/>
  <c r="F20" i="12" s="1"/>
  <c r="D20" i="12"/>
  <c r="J19" i="12"/>
  <c r="L19" i="12" s="1"/>
  <c r="D19" i="12"/>
  <c r="F19" i="12" s="1"/>
  <c r="J18" i="12"/>
  <c r="L18" i="12" s="1"/>
  <c r="F18" i="12"/>
  <c r="D18" i="12"/>
  <c r="J17" i="12"/>
  <c r="L17" i="12" s="1"/>
  <c r="M17" i="12" s="1"/>
  <c r="M18" i="12" s="1"/>
  <c r="D17" i="12"/>
  <c r="F17" i="12" s="1"/>
  <c r="D62" i="11"/>
  <c r="E31" i="11"/>
  <c r="G31" i="11" s="1"/>
  <c r="D31" i="11"/>
  <c r="L23" i="11"/>
  <c r="J23" i="11"/>
  <c r="F23" i="11"/>
  <c r="D23" i="11"/>
  <c r="J22" i="11"/>
  <c r="L22" i="11" s="1"/>
  <c r="D22" i="11"/>
  <c r="F22" i="11" s="1"/>
  <c r="L21" i="11"/>
  <c r="J21" i="11"/>
  <c r="F21" i="11"/>
  <c r="D21" i="11"/>
  <c r="J20" i="11"/>
  <c r="L20" i="11" s="1"/>
  <c r="D20" i="11"/>
  <c r="F20" i="11" s="1"/>
  <c r="L19" i="11"/>
  <c r="J19" i="11"/>
  <c r="F19" i="11"/>
  <c r="D19" i="11"/>
  <c r="J18" i="11"/>
  <c r="L18" i="11" s="1"/>
  <c r="D18" i="11"/>
  <c r="F18" i="11" s="1"/>
  <c r="L17" i="11"/>
  <c r="J17" i="11"/>
  <c r="F17" i="11"/>
  <c r="D17" i="11"/>
  <c r="J16" i="11"/>
  <c r="L16" i="11" s="1"/>
  <c r="M16" i="11" s="1"/>
  <c r="M17" i="11" s="1"/>
  <c r="M18" i="11" s="1"/>
  <c r="M19" i="11" s="1"/>
  <c r="M20" i="11" s="1"/>
  <c r="M21" i="11" s="1"/>
  <c r="D16" i="11"/>
  <c r="F16" i="11" s="1"/>
  <c r="G48" i="11" s="1"/>
  <c r="D60" i="10"/>
  <c r="G39" i="10"/>
  <c r="E30" i="10"/>
  <c r="G30" i="10" s="1"/>
  <c r="G31" i="10" s="1"/>
  <c r="G40" i="10" s="1"/>
  <c r="D30" i="10"/>
  <c r="J22" i="10"/>
  <c r="L22" i="10" s="1"/>
  <c r="D22" i="10"/>
  <c r="F22" i="10" s="1"/>
  <c r="J21" i="10"/>
  <c r="L21" i="10" s="1"/>
  <c r="F21" i="10"/>
  <c r="D21" i="10"/>
  <c r="J20" i="10"/>
  <c r="L20" i="10" s="1"/>
  <c r="D20" i="10"/>
  <c r="F20" i="10" s="1"/>
  <c r="J19" i="10"/>
  <c r="L19" i="10" s="1"/>
  <c r="F19" i="10"/>
  <c r="D19" i="10"/>
  <c r="J18" i="10"/>
  <c r="L18" i="10" s="1"/>
  <c r="D18" i="10"/>
  <c r="F18" i="10" s="1"/>
  <c r="J17" i="10"/>
  <c r="L17" i="10" s="1"/>
  <c r="F17" i="10"/>
  <c r="D17" i="10"/>
  <c r="J16" i="10"/>
  <c r="L16" i="10" s="1"/>
  <c r="D16" i="10"/>
  <c r="F16" i="10" s="1"/>
  <c r="J15" i="10"/>
  <c r="L15" i="10" s="1"/>
  <c r="M15" i="10" s="1"/>
  <c r="M16" i="10" s="1"/>
  <c r="M17" i="10" s="1"/>
  <c r="F15" i="10"/>
  <c r="G46" i="10" s="1"/>
  <c r="D15" i="10"/>
  <c r="G14" i="10"/>
  <c r="E22" i="8"/>
  <c r="K26" i="8"/>
  <c r="G42" i="10" l="1"/>
  <c r="M22" i="11"/>
  <c r="M23" i="11" s="1"/>
  <c r="M25" i="11"/>
  <c r="M27" i="11" s="1"/>
  <c r="M18" i="10"/>
  <c r="M19" i="10" s="1"/>
  <c r="M20" i="10" s="1"/>
  <c r="G50" i="12"/>
  <c r="M19" i="12"/>
  <c r="M20" i="12" s="1"/>
  <c r="M21" i="12" s="1"/>
  <c r="M22" i="12" s="1"/>
  <c r="G52" i="13"/>
  <c r="M19" i="13"/>
  <c r="M20" i="13" s="1"/>
  <c r="M21" i="13" s="1"/>
  <c r="M22" i="13" s="1"/>
  <c r="M23" i="13" s="1"/>
  <c r="G54" i="14"/>
  <c r="G56" i="15"/>
  <c r="M21" i="15"/>
  <c r="M22" i="15" s="1"/>
  <c r="M23" i="15" s="1"/>
  <c r="M24" i="15" s="1"/>
  <c r="M25" i="15" s="1"/>
  <c r="M20" i="14"/>
  <c r="M21" i="14" s="1"/>
  <c r="M22" i="14" s="1"/>
  <c r="M23" i="14" s="1"/>
  <c r="M24" i="14" s="1"/>
  <c r="G15" i="10"/>
  <c r="G16" i="10" s="1"/>
  <c r="G17" i="10" s="1"/>
  <c r="G18" i="10" s="1"/>
  <c r="G19" i="10" s="1"/>
  <c r="G20" i="10" s="1"/>
  <c r="J27" i="8"/>
  <c r="D22" i="8"/>
  <c r="J26" i="8"/>
  <c r="D21" i="8"/>
  <c r="J25" i="8"/>
  <c r="D20" i="8"/>
  <c r="J24" i="8"/>
  <c r="D19" i="8"/>
  <c r="J23" i="8"/>
  <c r="D18" i="8"/>
  <c r="J22" i="8"/>
  <c r="D17" i="8"/>
  <c r="J21" i="8"/>
  <c r="K20" i="8"/>
  <c r="J20" i="8"/>
  <c r="M24" i="13" l="1"/>
  <c r="M25" i="13" s="1"/>
  <c r="M27" i="13"/>
  <c r="M29" i="13" s="1"/>
  <c r="M23" i="12"/>
  <c r="M24" i="12" s="1"/>
  <c r="M26" i="12"/>
  <c r="M28" i="12" s="1"/>
  <c r="G33" i="10"/>
  <c r="G21" i="10"/>
  <c r="G22" i="10" s="1"/>
  <c r="M25" i="14"/>
  <c r="M26" i="14" s="1"/>
  <c r="M28" i="14"/>
  <c r="M30" i="14" s="1"/>
  <c r="M24" i="10"/>
  <c r="M26" i="10" s="1"/>
  <c r="M21" i="10"/>
  <c r="M22" i="10" s="1"/>
  <c r="M26" i="15"/>
  <c r="M27" i="15" s="1"/>
  <c r="M29" i="15"/>
  <c r="M31" i="15" s="1"/>
  <c r="D16" i="8"/>
  <c r="E15" i="8"/>
  <c r="D15" i="8"/>
  <c r="G14" i="8"/>
  <c r="D60" i="8"/>
  <c r="E30" i="8" s="1"/>
  <c r="G14" i="15" l="1"/>
  <c r="G14" i="11"/>
  <c r="G14" i="14"/>
  <c r="G44" i="10"/>
  <c r="G48" i="10" s="1"/>
  <c r="G14" i="12"/>
  <c r="G14" i="13"/>
  <c r="G35" i="10"/>
  <c r="E8" i="9"/>
  <c r="L27" i="8"/>
  <c r="L26" i="8"/>
  <c r="L25" i="8"/>
  <c r="L24" i="8"/>
  <c r="L23" i="8"/>
  <c r="L22" i="8"/>
  <c r="L21" i="8"/>
  <c r="L20" i="8"/>
  <c r="M20" i="8" s="1"/>
  <c r="D34" i="13" l="1"/>
  <c r="G34" i="13" s="1"/>
  <c r="F8" i="9"/>
  <c r="D33" i="12"/>
  <c r="G33" i="12" s="1"/>
  <c r="D35" i="14"/>
  <c r="G35" i="14" s="1"/>
  <c r="D32" i="11"/>
  <c r="G32" i="11" s="1"/>
  <c r="G33" i="11" s="1"/>
  <c r="G42" i="11" s="1"/>
  <c r="G15" i="11"/>
  <c r="D36" i="15"/>
  <c r="G36" i="15" s="1"/>
  <c r="M21" i="8"/>
  <c r="M22" i="8" s="1"/>
  <c r="M23" i="8" s="1"/>
  <c r="M24" i="8" s="1"/>
  <c r="M25" i="8" s="1"/>
  <c r="M29" i="8" s="1"/>
  <c r="M31" i="8" s="1"/>
  <c r="G16" i="11" l="1"/>
  <c r="G17" i="11" s="1"/>
  <c r="G18" i="11" s="1"/>
  <c r="G19" i="11" s="1"/>
  <c r="G20" i="11" s="1"/>
  <c r="G21" i="11" s="1"/>
  <c r="G41" i="11"/>
  <c r="G44" i="11" s="1"/>
  <c r="M26" i="8"/>
  <c r="M27" i="8" s="1"/>
  <c r="D30" i="8"/>
  <c r="F22" i="8"/>
  <c r="F21" i="8"/>
  <c r="F20" i="8"/>
  <c r="F19" i="8"/>
  <c r="F18" i="8"/>
  <c r="F17" i="8"/>
  <c r="F16" i="8"/>
  <c r="F15" i="8"/>
  <c r="G22" i="11" l="1"/>
  <c r="G23" i="11" s="1"/>
  <c r="G35" i="11"/>
  <c r="G30" i="8"/>
  <c r="G31" i="8" s="1"/>
  <c r="G46" i="8"/>
  <c r="G15" i="14" l="1"/>
  <c r="G15" i="12"/>
  <c r="G15" i="13"/>
  <c r="E9" i="9"/>
  <c r="G46" i="11"/>
  <c r="G50" i="11" s="1"/>
  <c r="G15" i="15"/>
  <c r="G37" i="11"/>
  <c r="G40" i="8"/>
  <c r="D37" i="15" l="1"/>
  <c r="G37" i="15" s="1"/>
  <c r="F9" i="9"/>
  <c r="D35" i="13"/>
  <c r="G35" i="13" s="1"/>
  <c r="D34" i="12"/>
  <c r="G34" i="12" s="1"/>
  <c r="G35" i="12" s="1"/>
  <c r="G44" i="12" s="1"/>
  <c r="G16" i="12"/>
  <c r="D36" i="14"/>
  <c r="G36" i="14" s="1"/>
  <c r="G39" i="8"/>
  <c r="G42" i="8" s="1"/>
  <c r="G15" i="8"/>
  <c r="G16" i="8" s="1"/>
  <c r="G17" i="8" s="1"/>
  <c r="G18" i="8" s="1"/>
  <c r="G19" i="8" s="1"/>
  <c r="G20" i="8" s="1"/>
  <c r="G17" i="12" l="1"/>
  <c r="G18" i="12" s="1"/>
  <c r="G19" i="12" s="1"/>
  <c r="G20" i="12" s="1"/>
  <c r="G21" i="12" s="1"/>
  <c r="G22" i="12" s="1"/>
  <c r="G43" i="12"/>
  <c r="G46" i="12" s="1"/>
  <c r="G21" i="8"/>
  <c r="G22" i="8" s="1"/>
  <c r="G33" i="8"/>
  <c r="G37" i="12" l="1"/>
  <c r="G23" i="12"/>
  <c r="G24" i="12" s="1"/>
  <c r="G35" i="8"/>
  <c r="G44" i="8"/>
  <c r="G48" i="8" s="1"/>
  <c r="G48" i="12" l="1"/>
  <c r="G52" i="12" s="1"/>
  <c r="G16" i="13"/>
  <c r="E10" i="9"/>
  <c r="G16" i="15"/>
  <c r="G16" i="14"/>
  <c r="G39" i="12"/>
  <c r="D37" i="14" l="1"/>
  <c r="G37" i="14" s="1"/>
  <c r="D38" i="15"/>
  <c r="G38" i="15" s="1"/>
  <c r="F10" i="9"/>
  <c r="D36" i="13"/>
  <c r="G36" i="13" s="1"/>
  <c r="G37" i="13" s="1"/>
  <c r="G46" i="13" s="1"/>
  <c r="G17" i="13"/>
  <c r="G45" i="13" l="1"/>
  <c r="G48" i="13" s="1"/>
  <c r="G18" i="13"/>
  <c r="G19" i="13" s="1"/>
  <c r="G20" i="13" s="1"/>
  <c r="G21" i="13" s="1"/>
  <c r="G22" i="13" s="1"/>
  <c r="G23" i="13" s="1"/>
  <c r="G24" i="13" l="1"/>
  <c r="G25" i="13" s="1"/>
  <c r="G39" i="13"/>
  <c r="G41" i="13" l="1"/>
  <c r="G17" i="15"/>
  <c r="G50" i="13"/>
  <c r="G54" i="13" s="1"/>
  <c r="G17" i="14"/>
  <c r="E11" i="9"/>
  <c r="F11" i="9" l="1"/>
  <c r="D38" i="14"/>
  <c r="G38" i="14" s="1"/>
  <c r="G39" i="14" s="1"/>
  <c r="G48" i="14" s="1"/>
  <c r="G18" i="14"/>
  <c r="D39" i="15"/>
  <c r="G39" i="15" s="1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G52" i="14" l="1"/>
  <c r="G56" i="14" s="1"/>
  <c r="E12" i="9"/>
  <c r="G18" i="15"/>
  <c r="G43" i="14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43" i="15" l="1"/>
  <c r="G26" i="15"/>
  <c r="G27" i="15" s="1"/>
  <c r="G54" i="15" l="1"/>
  <c r="G58" i="15" s="1"/>
  <c r="G45" i="15"/>
  <c r="E13" i="9"/>
  <c r="F13" i="9" l="1"/>
  <c r="E15" i="9"/>
  <c r="E22" i="9" l="1"/>
  <c r="E24" i="9"/>
  <c r="F15" i="9"/>
</calcChain>
</file>

<file path=xl/sharedStrings.xml><?xml version="1.0" encoding="utf-8"?>
<sst xmlns="http://schemas.openxmlformats.org/spreadsheetml/2006/main" count="621" uniqueCount="110">
  <si>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</si>
  <si>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</si>
  <si>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</si>
  <si>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</si>
  <si>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</si>
  <si>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</si>
  <si>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</si>
  <si>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</si>
  <si>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</si>
  <si>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</si>
  <si>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</si>
  <si>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</si>
  <si>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</si>
  <si>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</si>
  <si>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</si>
  <si>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</si>
  <si>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</si>
  <si>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</si>
  <si>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</si>
  <si>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</si>
  <si>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</si>
  <si>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</si>
  <si>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</si>
  <si>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</si>
  <si>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</si>
  <si>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</si>
  <si>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</si>
  <si>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</si>
  <si>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</si>
  <si>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</si>
  <si>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</si>
  <si>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</si>
  <si>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</si>
  <si>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</si>
  <si>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</si>
  <si>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</si>
  <si>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</si>
  <si>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</si>
  <si>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</si>
  <si>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</si>
  <si>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</si>
  <si>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</si>
  <si>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</si>
  <si>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</si>
  <si>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</si>
  <si>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</si>
  <si>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</si>
  <si>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</si>
  <si>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Nolin - Calculation of (Over)/Under Recovery</t>
  </si>
  <si>
    <t>Nolin - Calculation of (Over)/Under Recovery - Direct Surcharge Pass-Throughs</t>
  </si>
  <si>
    <t>Rate B,G</t>
  </si>
  <si>
    <t>(1)</t>
  </si>
  <si>
    <t>Cumulative 6-month (Over)/Under Recovery</t>
  </si>
  <si>
    <t>Monthly Recovery (per month for six months)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</si>
  <si>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</si>
  <si>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</si>
  <si>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</si>
  <si>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Monthly recovery (per month for six months)</t>
  </si>
  <si>
    <t>2025-00013</t>
  </si>
  <si>
    <t>Staff DR1 Response 2 - Nolin Surcharge Summary.xlsx</t>
  </si>
  <si>
    <t>Nolin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</si>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</sst>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2" fillId="0" borderId="0" xfId="1"/>
    <xf numFmtId="0" fontId="1" fillId="0" borderId="0" xfId="1" applyFont="1"/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17" fontId="5" fillId="0" borderId="7" xfId="2" applyNumberFormat="1" applyFont="1" applyFill="1" applyBorder="1"/>
    <xf numFmtId="5" fontId="4" fillId="3" borderId="8" xfId="3" applyNumberFormat="1" applyFont="1" applyFill="1" applyBorder="1" applyAlignment="1">
      <alignment horizontal="right"/>
    </xf>
    <xf numFmtId="5" fontId="4" fillId="3" borderId="0" xfId="3" applyNumberFormat="1" applyFont="1" applyFill="1" applyBorder="1" applyAlignment="1">
      <alignment horizontal="right"/>
    </xf>
    <xf numFmtId="5" fontId="4" fillId="0" borderId="7" xfId="1" applyNumberFormat="1" applyFont="1" applyBorder="1"/>
    <xf numFmtId="5" fontId="4" fillId="0" borderId="8" xfId="1" applyNumberFormat="1" applyFont="1" applyBorder="1"/>
    <xf numFmtId="17" fontId="5" fillId="0" borderId="8" xfId="2" applyNumberFormat="1" applyFont="1" applyFill="1" applyBorder="1"/>
    <xf numFmtId="5" fontId="4" fillId="0" borderId="9" xfId="1" applyNumberFormat="1" applyFont="1" applyBorder="1"/>
    <xf numFmtId="0" fontId="4" fillId="0" borderId="0" xfId="1" applyFont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5" fontId="4" fillId="0" borderId="10" xfId="1" applyNumberFormat="1" applyFont="1" applyBorder="1"/>
    <xf numFmtId="5" fontId="4" fillId="0" borderId="0" xfId="1" applyNumberFormat="1" applyFont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6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" fontId="5" fillId="0" borderId="7" xfId="2" applyNumberFormat="1" applyFont="1" applyBorder="1"/>
    <xf numFmtId="17" fontId="5" fillId="0" borderId="8" xfId="2" applyNumberFormat="1" applyFont="1" applyBorder="1"/>
    <xf numFmtId="5" fontId="4" fillId="3" borderId="8" xfId="1" applyNumberFormat="1" applyFont="1" applyFill="1" applyBorder="1"/>
    <xf numFmtId="17" fontId="5" fillId="0" borderId="9" xfId="2" applyNumberFormat="1" applyFont="1" applyBorder="1"/>
    <xf numFmtId="5" fontId="4" fillId="3" borderId="9" xfId="1" applyNumberFormat="1" applyFont="1" applyFill="1" applyBorder="1"/>
    <xf numFmtId="5" fontId="4" fillId="3" borderId="7" xfId="1" applyNumberFormat="1" applyFont="1" applyFill="1" applyBorder="1"/>
    <xf numFmtId="5" fontId="0" fillId="3" borderId="9" xfId="1" applyNumberFormat="1" applyFont="1" applyFill="1" applyBorder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59</v>
      </c>
    </row>
    <row r="4" spans="1:13" ht="14.25" customHeight="1" x14ac:dyDescent="0.2">
      <c r="B4" s="84" t="s">
        <v>48</v>
      </c>
      <c r="C4" s="85"/>
      <c r="D4" s="85"/>
      <c r="E4" s="85"/>
      <c r="F4" s="85"/>
      <c r="G4" s="86"/>
      <c r="I4" s="93" t="s">
        <v>49</v>
      </c>
      <c r="J4" s="94"/>
      <c r="K4" s="94"/>
      <c r="L4" s="94"/>
      <c r="M4" s="95"/>
    </row>
    <row r="5" spans="1:13" ht="14.25" customHeight="1" x14ac:dyDescent="0.2">
      <c r="B5" s="87"/>
      <c r="C5" s="88"/>
      <c r="D5" s="88"/>
      <c r="E5" s="88"/>
      <c r="F5" s="88"/>
      <c r="G5" s="8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0" t="s">
        <v>15</v>
      </c>
      <c r="D12" s="91"/>
      <c r="E12" s="91"/>
      <c r="F12" s="91"/>
      <c r="G12" s="92"/>
    </row>
    <row r="13" spans="1:13" ht="15.75" x14ac:dyDescent="0.25">
      <c r="B13" s="2" t="s">
        <v>16</v>
      </c>
      <c r="C13" s="8" t="s">
        <v>54</v>
      </c>
      <c r="D13" s="8"/>
      <c r="E13" s="8"/>
      <c r="F13" s="9"/>
      <c r="G13" s="10">
        <v>-397394</v>
      </c>
      <c r="I13" s="58" t="s">
        <v>50</v>
      </c>
      <c r="J13" s="57"/>
      <c r="K13" s="57"/>
      <c r="L13" s="57"/>
      <c r="M13" s="57"/>
    </row>
    <row r="14" spans="1:13" ht="15" x14ac:dyDescent="0.2">
      <c r="A14" s="81"/>
      <c r="B14" s="5" t="s">
        <v>17</v>
      </c>
      <c r="C14" s="8" t="s">
        <v>18</v>
      </c>
      <c r="D14" s="8"/>
      <c r="E14" s="8"/>
      <c r="F14" s="11"/>
      <c r="G14" s="12">
        <f>G13</f>
        <v>-397394</v>
      </c>
      <c r="H14" s="81"/>
      <c r="I14" s="57"/>
      <c r="J14" s="57"/>
      <c r="K14" s="57"/>
      <c r="L14" s="57"/>
      <c r="M14" s="57"/>
    </row>
    <row r="15" spans="1:13" x14ac:dyDescent="0.2">
      <c r="A15" s="32"/>
      <c r="B15" s="4">
        <v>2</v>
      </c>
      <c r="C15" s="13">
        <v>45658</v>
      </c>
      <c r="D15" s="51">
        <f>1352666-330</f>
        <v>1352336</v>
      </c>
      <c r="E15" s="52">
        <f>1154435.66</f>
        <v>1154435.6599999999</v>
      </c>
      <c r="F15" s="14">
        <f t="shared" ref="F15:F22" si="0">D15-E15</f>
        <v>197900.34000000008</v>
      </c>
      <c r="G15" s="12">
        <f t="shared" ref="G15:G22" si="1">G14+F15</f>
        <v>-199493.65999999992</v>
      </c>
      <c r="H15" s="32"/>
      <c r="I15" s="59"/>
      <c r="J15" s="59"/>
      <c r="K15" s="60" t="s">
        <v>0</v>
      </c>
      <c r="L15" s="59"/>
      <c r="M15" s="59"/>
    </row>
    <row r="16" spans="1:13" x14ac:dyDescent="0.2">
      <c r="B16" s="4">
        <v>3</v>
      </c>
      <c r="C16" s="15">
        <v>45689</v>
      </c>
      <c r="D16" s="53">
        <f>957727-249</f>
        <v>957478</v>
      </c>
      <c r="E16" s="54">
        <v>724560.92</v>
      </c>
      <c r="F16" s="16">
        <f t="shared" si="0"/>
        <v>232917.07999999996</v>
      </c>
      <c r="G16" s="17">
        <f t="shared" si="1"/>
        <v>33423.420000000042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>
        <v>4</v>
      </c>
      <c r="C17" s="15">
        <v>45717</v>
      </c>
      <c r="D17" s="53">
        <f>361198-143</f>
        <v>361055</v>
      </c>
      <c r="E17" s="54">
        <v>318214.84000000003</v>
      </c>
      <c r="F17" s="16">
        <f t="shared" si="0"/>
        <v>42840.159999999974</v>
      </c>
      <c r="G17" s="17">
        <f t="shared" si="1"/>
        <v>76263.580000000016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>
        <v>5</v>
      </c>
      <c r="C18" s="15">
        <v>45748</v>
      </c>
      <c r="D18" s="53">
        <f>389781-202</f>
        <v>389579</v>
      </c>
      <c r="E18" s="54">
        <v>437201.6</v>
      </c>
      <c r="F18" s="16">
        <f t="shared" si="0"/>
        <v>-47622.599999999977</v>
      </c>
      <c r="G18" s="17">
        <f t="shared" si="1"/>
        <v>28640.98000000004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4">
        <v>6</v>
      </c>
      <c r="C19" s="15">
        <v>45778</v>
      </c>
      <c r="D19" s="53">
        <f>549127-302</f>
        <v>548825</v>
      </c>
      <c r="E19" s="54">
        <v>702486.11</v>
      </c>
      <c r="F19" s="16">
        <f t="shared" si="0"/>
        <v>-153661.10999999999</v>
      </c>
      <c r="G19" s="17">
        <f t="shared" si="1"/>
        <v>-125020.12999999995</v>
      </c>
      <c r="I19" s="64" t="s">
        <v>10</v>
      </c>
      <c r="J19" s="65" t="s">
        <v>51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7</v>
      </c>
      <c r="C20" s="15">
        <v>45809</v>
      </c>
      <c r="D20" s="53">
        <f>827296-359</f>
        <v>826937</v>
      </c>
      <c r="E20" s="54">
        <v>919498.6</v>
      </c>
      <c r="F20" s="18">
        <f t="shared" si="0"/>
        <v>-92561.599999999977</v>
      </c>
      <c r="G20" s="19">
        <f t="shared" si="1"/>
        <v>-217581.72999999992</v>
      </c>
      <c r="I20" s="66">
        <v>45658</v>
      </c>
      <c r="J20" s="67">
        <f>11668+103105</f>
        <v>114773</v>
      </c>
      <c r="K20" s="68">
        <f>114773</f>
        <v>114773</v>
      </c>
      <c r="L20" s="69">
        <f>J20-K20</f>
        <v>0</v>
      </c>
      <c r="M20" s="70">
        <f>L20</f>
        <v>0</v>
      </c>
    </row>
    <row r="21" spans="2:13" x14ac:dyDescent="0.2">
      <c r="B21" s="20" t="s">
        <v>19</v>
      </c>
      <c r="C21" s="13">
        <v>45839</v>
      </c>
      <c r="D21" s="51">
        <f>1156666-0</f>
        <v>1156666</v>
      </c>
      <c r="E21" s="52">
        <v>1138975.27</v>
      </c>
      <c r="F21" s="14">
        <f t="shared" si="0"/>
        <v>17690.729999999981</v>
      </c>
      <c r="G21" s="12">
        <f t="shared" si="1"/>
        <v>-199890.99999999994</v>
      </c>
      <c r="I21" s="71">
        <v>45689</v>
      </c>
      <c r="J21" s="67">
        <f>10359+99981</f>
        <v>110340</v>
      </c>
      <c r="K21" s="68">
        <v>110340</v>
      </c>
      <c r="L21" s="70">
        <f>J21-K21</f>
        <v>0</v>
      </c>
      <c r="M21" s="70">
        <f>M20+L21</f>
        <v>0</v>
      </c>
    </row>
    <row r="22" spans="2:13" x14ac:dyDescent="0.2">
      <c r="B22" s="21" t="s">
        <v>20</v>
      </c>
      <c r="C22" s="22">
        <v>45870</v>
      </c>
      <c r="D22" s="82">
        <f>913424-0</f>
        <v>913424</v>
      </c>
      <c r="E22" s="83">
        <f>871499.03</f>
        <v>871499.03</v>
      </c>
      <c r="F22" s="18">
        <f t="shared" si="0"/>
        <v>41924.969999999972</v>
      </c>
      <c r="G22" s="19">
        <f t="shared" si="1"/>
        <v>-157966.02999999997</v>
      </c>
      <c r="I22" s="15">
        <v>45717</v>
      </c>
      <c r="J22" s="53">
        <f>5513+53408</f>
        <v>58921</v>
      </c>
      <c r="K22" s="54">
        <v>58921</v>
      </c>
      <c r="L22" s="70">
        <f t="shared" ref="L22:L25" si="2">J22-K22</f>
        <v>0</v>
      </c>
      <c r="M22" s="70">
        <f t="shared" ref="M22:M25" si="3">M21+L22</f>
        <v>0</v>
      </c>
    </row>
    <row r="23" spans="2:13" x14ac:dyDescent="0.2">
      <c r="B23" s="5"/>
      <c r="C23" s="23" t="s">
        <v>55</v>
      </c>
      <c r="D23" s="24"/>
      <c r="E23" s="24"/>
      <c r="F23" s="24"/>
      <c r="G23" s="25"/>
      <c r="I23" s="15">
        <v>45748</v>
      </c>
      <c r="J23" s="53">
        <f>6549+63625</f>
        <v>70174</v>
      </c>
      <c r="K23" s="54">
        <v>70174</v>
      </c>
      <c r="L23" s="70">
        <f t="shared" si="2"/>
        <v>0</v>
      </c>
      <c r="M23" s="70">
        <f t="shared" si="3"/>
        <v>0</v>
      </c>
    </row>
    <row r="24" spans="2:13" x14ac:dyDescent="0.2">
      <c r="B24" s="2"/>
      <c r="C24" s="1"/>
      <c r="D24" s="1"/>
      <c r="E24" s="1"/>
      <c r="F24" s="1"/>
      <c r="G24" s="12"/>
      <c r="I24" s="15">
        <v>45778</v>
      </c>
      <c r="J24" s="53">
        <f>9402+95250</f>
        <v>104652</v>
      </c>
      <c r="K24" s="54">
        <v>104652</v>
      </c>
      <c r="L24" s="70">
        <f t="shared" si="2"/>
        <v>0</v>
      </c>
      <c r="M24" s="70">
        <f t="shared" si="3"/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15">
        <v>45809</v>
      </c>
      <c r="J25" s="53">
        <f>10124+105115</f>
        <v>115239</v>
      </c>
      <c r="K25" s="54">
        <v>115239</v>
      </c>
      <c r="L25" s="72">
        <f t="shared" si="2"/>
        <v>0</v>
      </c>
      <c r="M25" s="72">
        <f t="shared" si="3"/>
        <v>0</v>
      </c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13">
        <v>45839</v>
      </c>
      <c r="J26" s="51">
        <f>12923+122989</f>
        <v>135912</v>
      </c>
      <c r="K26" s="52">
        <f>135912</f>
        <v>135912</v>
      </c>
      <c r="L26" s="70">
        <f>J26-K26</f>
        <v>0</v>
      </c>
      <c r="M26" s="70">
        <f>M25+L26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22">
        <v>45870</v>
      </c>
      <c r="J27" s="82">
        <f>11328+116326</f>
        <v>127654</v>
      </c>
      <c r="K27" s="83">
        <v>127654</v>
      </c>
      <c r="L27" s="72">
        <f>J27-K27</f>
        <v>0</v>
      </c>
      <c r="M27" s="72">
        <f>M26+L27</f>
        <v>0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73"/>
      <c r="J28" s="73"/>
      <c r="K28" s="73"/>
      <c r="L28" s="73"/>
      <c r="M28" s="73"/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74" t="s">
        <v>52</v>
      </c>
      <c r="J29" s="75"/>
      <c r="K29" s="75"/>
      <c r="L29" s="76"/>
      <c r="M29" s="77">
        <f>M25</f>
        <v>0</v>
      </c>
    </row>
    <row r="30" spans="2:13" x14ac:dyDescent="0.2">
      <c r="B30" s="20" t="s">
        <v>34</v>
      </c>
      <c r="C30" s="55" t="s">
        <v>56</v>
      </c>
      <c r="D30" s="35">
        <f>-G13</f>
        <v>397394</v>
      </c>
      <c r="E30" s="35">
        <f>D60</f>
        <v>0</v>
      </c>
      <c r="F30" s="55"/>
      <c r="G30" s="35">
        <f t="shared" ref="G30" si="4">D30+E30</f>
        <v>397394</v>
      </c>
      <c r="I30" s="73"/>
      <c r="J30" s="73"/>
      <c r="K30" s="73"/>
      <c r="L30" s="73"/>
      <c r="M30" s="78"/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397394</v>
      </c>
      <c r="I31" s="74" t="s">
        <v>53</v>
      </c>
      <c r="J31" s="75"/>
      <c r="K31" s="75"/>
      <c r="L31" s="76"/>
      <c r="M31" s="77">
        <f>M29/6</f>
        <v>0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179812.27000000008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57</v>
      </c>
      <c r="D35" s="8"/>
      <c r="E35" s="8"/>
      <c r="F35" s="9"/>
      <c r="G35" s="35">
        <f>G33/6</f>
        <v>29968.711666666681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-397394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397394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179812.27000000008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179812.27000000008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79"/>
      <c r="G52" s="79"/>
    </row>
    <row r="53" spans="2:7" x14ac:dyDescent="0.2">
      <c r="B53" s="32"/>
      <c r="C53" s="5" t="s">
        <v>10</v>
      </c>
      <c r="D53" s="5" t="s">
        <v>58</v>
      </c>
      <c r="E53" s="27"/>
      <c r="F53" s="79"/>
      <c r="G53" s="79"/>
    </row>
    <row r="54" spans="2:7" x14ac:dyDescent="0.2">
      <c r="C54" s="13">
        <v>45658</v>
      </c>
      <c r="D54" s="46">
        <v>0</v>
      </c>
      <c r="E54" s="80"/>
      <c r="F54" s="56"/>
      <c r="G54" s="56"/>
    </row>
    <row r="55" spans="2:7" x14ac:dyDescent="0.2">
      <c r="C55" s="15">
        <v>45689</v>
      </c>
      <c r="D55" s="47">
        <v>0</v>
      </c>
      <c r="E55" s="80"/>
      <c r="F55" s="56"/>
      <c r="G55" s="56"/>
    </row>
    <row r="56" spans="2:7" x14ac:dyDescent="0.2">
      <c r="C56" s="15">
        <v>45717</v>
      </c>
      <c r="D56" s="47">
        <v>0</v>
      </c>
      <c r="E56" s="80"/>
      <c r="F56" s="56"/>
      <c r="G56" s="56"/>
    </row>
    <row r="57" spans="2:7" x14ac:dyDescent="0.2">
      <c r="C57" s="15">
        <v>45748</v>
      </c>
      <c r="D57" s="47">
        <v>0</v>
      </c>
      <c r="E57" s="80"/>
      <c r="F57" s="56"/>
      <c r="G57" s="56"/>
    </row>
    <row r="58" spans="2:7" x14ac:dyDescent="0.2">
      <c r="C58" s="15">
        <v>45778</v>
      </c>
      <c r="D58" s="47">
        <v>0</v>
      </c>
      <c r="E58" s="80"/>
      <c r="F58" s="56"/>
      <c r="G58" s="56"/>
    </row>
    <row r="59" spans="2:7" x14ac:dyDescent="0.2">
      <c r="C59" s="15">
        <v>45809</v>
      </c>
      <c r="D59" s="48">
        <v>0</v>
      </c>
      <c r="E59" s="80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CC9-156F-4F0C-A64C-01A2AFA227BA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Nolin Surcharge Summary.xlsx</v>
      </c>
    </row>
    <row r="3" spans="1:6" ht="15" x14ac:dyDescent="0.25">
      <c r="C3" s="99" t="s">
        <v>60</v>
      </c>
      <c r="D3" s="99"/>
      <c r="E3" s="99"/>
    </row>
    <row r="4" spans="1:6" ht="15" x14ac:dyDescent="0.25">
      <c r="B4" s="99" t="s">
        <v>61</v>
      </c>
      <c r="C4" s="99"/>
      <c r="D4" s="99"/>
      <c r="E4" s="99"/>
      <c r="F4" s="99"/>
    </row>
    <row r="6" spans="1:6" ht="15" thickBot="1" x14ac:dyDescent="0.25">
      <c r="E6" s="100" t="s">
        <v>62</v>
      </c>
    </row>
    <row r="7" spans="1:6" x14ac:dyDescent="0.2">
      <c r="B7" t="s">
        <v>63</v>
      </c>
    </row>
    <row r="8" spans="1:6" x14ac:dyDescent="0.2">
      <c r="B8" t="s">
        <v>64</v>
      </c>
      <c r="E8" s="101">
        <f>'A - 05-31-22'!G33</f>
        <v>46742.190000000061</v>
      </c>
      <c r="F8" s="102" t="str">
        <f>IF(E8&gt;0,"Under-Recovery","Over-Recovery")</f>
        <v>Under-Recovery</v>
      </c>
    </row>
    <row r="9" spans="1:6" x14ac:dyDescent="0.2">
      <c r="B9" t="s">
        <v>65</v>
      </c>
      <c r="E9" s="101">
        <f>'B - 11-30-22'!G35</f>
        <v>147988.00999999989</v>
      </c>
      <c r="F9" s="102" t="str">
        <f t="shared" ref="F9:F13" si="0">IF(E9&gt;0,"Under-Recovery","Over-Recovery")</f>
        <v>Under-Recovery</v>
      </c>
    </row>
    <row r="10" spans="1:6" x14ac:dyDescent="0.2">
      <c r="B10" t="s">
        <v>66</v>
      </c>
      <c r="E10" s="101">
        <f>'C - 05-31-23'!G37</f>
        <v>-260024.37000000011</v>
      </c>
      <c r="F10" s="102" t="str">
        <f t="shared" si="0"/>
        <v>Over-Recovery</v>
      </c>
    </row>
    <row r="11" spans="1:6" x14ac:dyDescent="0.2">
      <c r="B11" t="s">
        <v>67</v>
      </c>
      <c r="E11" s="101">
        <f>'D - 11-30-23'!G39</f>
        <v>-130794.10999999987</v>
      </c>
      <c r="F11" s="102" t="str">
        <f t="shared" si="0"/>
        <v>Over-Recovery</v>
      </c>
    </row>
    <row r="12" spans="1:6" x14ac:dyDescent="0.2">
      <c r="B12" t="s">
        <v>68</v>
      </c>
      <c r="E12" s="101">
        <f>'E - 05-31-24'!G41</f>
        <v>169357.34999999998</v>
      </c>
      <c r="F12" s="102" t="str">
        <f t="shared" si="0"/>
        <v>Under-Recovery</v>
      </c>
    </row>
    <row r="13" spans="1:6" x14ac:dyDescent="0.2">
      <c r="B13" t="s">
        <v>69</v>
      </c>
      <c r="E13" s="101">
        <f>'F - 11-30-24'!G43</f>
        <v>-370663.30000000005</v>
      </c>
      <c r="F13" s="102" t="str">
        <f t="shared" si="0"/>
        <v>Over-Recovery</v>
      </c>
    </row>
    <row r="14" spans="1:6" x14ac:dyDescent="0.2">
      <c r="E14" s="101"/>
    </row>
    <row r="15" spans="1:6" ht="15" thickBot="1" x14ac:dyDescent="0.25">
      <c r="B15" t="s">
        <v>70</v>
      </c>
      <c r="E15" s="103">
        <f>SUM(E8:E13)</f>
        <v>-397394.2300000001</v>
      </c>
      <c r="F15" s="102" t="str">
        <f>IF(E15&gt;0,"Under-Recovery","Over-Recovery")</f>
        <v>Over-Recovery</v>
      </c>
    </row>
    <row r="16" spans="1:6" ht="15" thickTop="1" x14ac:dyDescent="0.2"/>
    <row r="20" spans="2:6" ht="15" x14ac:dyDescent="0.25">
      <c r="B20" s="99" t="s">
        <v>71</v>
      </c>
      <c r="C20" s="99"/>
      <c r="D20" s="99"/>
      <c r="E20" s="99"/>
      <c r="F20" s="99"/>
    </row>
    <row r="22" spans="2:6" x14ac:dyDescent="0.2">
      <c r="B22" t="s">
        <v>72</v>
      </c>
      <c r="E22" s="101">
        <f>ROUND(E15/6,0)</f>
        <v>-66232</v>
      </c>
    </row>
    <row r="23" spans="2:6" x14ac:dyDescent="0.2">
      <c r="E23" s="101"/>
    </row>
    <row r="24" spans="2:6" x14ac:dyDescent="0.2">
      <c r="B24" t="s">
        <v>73</v>
      </c>
      <c r="E24" s="101">
        <f>ROUND(E15/12,0)</f>
        <v>-33116</v>
      </c>
    </row>
    <row r="25" spans="2:6" x14ac:dyDescent="0.2">
      <c r="E25" s="101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6C27-20CA-451F-A36A-56EBD8DACDB8}">
  <dimension ref="A1:M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58" t="s">
        <v>50</v>
      </c>
      <c r="J8" s="57"/>
      <c r="K8" s="57"/>
      <c r="L8" s="57"/>
      <c r="M8" s="57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7"/>
      <c r="J9" s="57"/>
      <c r="K9" s="57"/>
      <c r="L9" s="57"/>
      <c r="M9" s="57"/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9"/>
      <c r="J10" s="59"/>
      <c r="K10" s="60" t="s">
        <v>0</v>
      </c>
      <c r="L10" s="59"/>
      <c r="M10" s="59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61"/>
      <c r="J11" s="62" t="s">
        <v>1</v>
      </c>
      <c r="K11" s="62" t="s">
        <v>2</v>
      </c>
      <c r="L11" s="61"/>
      <c r="M11" s="61"/>
    </row>
    <row r="12" spans="1:13" x14ac:dyDescent="0.2">
      <c r="B12" s="2">
        <v>1</v>
      </c>
      <c r="C12" s="90" t="s">
        <v>15</v>
      </c>
      <c r="D12" s="91"/>
      <c r="E12" s="91"/>
      <c r="F12" s="91"/>
      <c r="G12" s="92"/>
      <c r="I12" s="61"/>
      <c r="J12" s="62" t="s">
        <v>3</v>
      </c>
      <c r="K12" s="62" t="s">
        <v>4</v>
      </c>
      <c r="L12" s="62" t="s">
        <v>5</v>
      </c>
      <c r="M12" s="62" t="s">
        <v>6</v>
      </c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744990</v>
      </c>
      <c r="I13" s="63"/>
      <c r="J13" s="63" t="s">
        <v>7</v>
      </c>
      <c r="K13" s="63" t="s">
        <v>7</v>
      </c>
      <c r="L13" s="63" t="s">
        <v>8</v>
      </c>
      <c r="M13" s="63" t="s">
        <v>8</v>
      </c>
    </row>
    <row r="14" spans="1:13" x14ac:dyDescent="0.2">
      <c r="B14" s="5" t="s">
        <v>17</v>
      </c>
      <c r="C14" s="8" t="s">
        <v>18</v>
      </c>
      <c r="D14" s="8"/>
      <c r="E14" s="8"/>
      <c r="F14" s="11"/>
      <c r="G14" s="12">
        <f>G13</f>
        <v>744990</v>
      </c>
      <c r="I14" s="64" t="s">
        <v>10</v>
      </c>
      <c r="J14" s="65" t="s">
        <v>51</v>
      </c>
      <c r="K14" s="65" t="s">
        <v>11</v>
      </c>
      <c r="L14" s="65" t="s">
        <v>12</v>
      </c>
      <c r="M14" s="65" t="s">
        <v>13</v>
      </c>
    </row>
    <row r="15" spans="1:13" x14ac:dyDescent="0.2">
      <c r="B15" s="4">
        <v>2</v>
      </c>
      <c r="C15" s="13">
        <v>44562</v>
      </c>
      <c r="D15" s="51">
        <f>736157-110</f>
        <v>736047</v>
      </c>
      <c r="E15" s="52">
        <v>678900.63</v>
      </c>
      <c r="F15" s="14">
        <f t="shared" ref="F15:F22" si="0">D15-E15</f>
        <v>57146.369999999995</v>
      </c>
      <c r="G15" s="12">
        <f t="shared" ref="G15:G22" si="1">G14+F15</f>
        <v>802136.37</v>
      </c>
      <c r="I15" s="110">
        <v>44562</v>
      </c>
      <c r="J15" s="67">
        <f>8560+67902</f>
        <v>76462</v>
      </c>
      <c r="K15" s="68">
        <v>76462</v>
      </c>
      <c r="L15" s="69">
        <f>J15-K15</f>
        <v>0</v>
      </c>
      <c r="M15" s="70">
        <f>L15</f>
        <v>0</v>
      </c>
    </row>
    <row r="16" spans="1:13" x14ac:dyDescent="0.2">
      <c r="B16" s="4">
        <v>3</v>
      </c>
      <c r="C16" s="15">
        <v>44593</v>
      </c>
      <c r="D16" s="53">
        <f>606993-111</f>
        <v>606882</v>
      </c>
      <c r="E16" s="54">
        <v>560114.14999999991</v>
      </c>
      <c r="F16" s="16">
        <f t="shared" si="0"/>
        <v>46767.850000000093</v>
      </c>
      <c r="G16" s="17">
        <f t="shared" si="1"/>
        <v>848904.22000000009</v>
      </c>
      <c r="I16" s="111">
        <v>44593</v>
      </c>
      <c r="J16" s="67">
        <f>8017+63732</f>
        <v>71749</v>
      </c>
      <c r="K16" s="68">
        <v>71749</v>
      </c>
      <c r="L16" s="70">
        <f>J16-K16</f>
        <v>0</v>
      </c>
      <c r="M16" s="70">
        <f>M15+L16</f>
        <v>0</v>
      </c>
    </row>
    <row r="17" spans="2:13" x14ac:dyDescent="0.2">
      <c r="B17" s="4">
        <v>4</v>
      </c>
      <c r="C17" s="15">
        <v>44621</v>
      </c>
      <c r="D17" s="53">
        <f>386106-91</f>
        <v>386015</v>
      </c>
      <c r="E17" s="54">
        <v>323518.65000000002</v>
      </c>
      <c r="F17" s="16">
        <f t="shared" si="0"/>
        <v>62496.349999999977</v>
      </c>
      <c r="G17" s="17">
        <f t="shared" si="1"/>
        <v>911400.57000000007</v>
      </c>
      <c r="I17" s="111">
        <v>44621</v>
      </c>
      <c r="J17" s="67">
        <f>6620+56320</f>
        <v>62940</v>
      </c>
      <c r="K17" s="67">
        <v>62940</v>
      </c>
      <c r="L17" s="70">
        <f t="shared" ref="L17:L20" si="2">J17-K17</f>
        <v>0</v>
      </c>
      <c r="M17" s="70">
        <f t="shared" ref="M17:M20" si="3">M16+L17</f>
        <v>0</v>
      </c>
    </row>
    <row r="18" spans="2:13" x14ac:dyDescent="0.2">
      <c r="B18" s="4">
        <v>5</v>
      </c>
      <c r="C18" s="15">
        <v>44652</v>
      </c>
      <c r="D18" s="53">
        <f>459566-139</f>
        <v>459427</v>
      </c>
      <c r="E18" s="54">
        <v>521766.94</v>
      </c>
      <c r="F18" s="16">
        <f t="shared" si="0"/>
        <v>-62339.94</v>
      </c>
      <c r="G18" s="17">
        <f t="shared" si="1"/>
        <v>849060.63000000012</v>
      </c>
      <c r="I18" s="111">
        <v>44652</v>
      </c>
      <c r="J18" s="67">
        <f>8924+76498</f>
        <v>85422</v>
      </c>
      <c r="K18" s="67">
        <v>85422</v>
      </c>
      <c r="L18" s="70">
        <f t="shared" si="2"/>
        <v>0</v>
      </c>
      <c r="M18" s="70">
        <f t="shared" si="3"/>
        <v>0</v>
      </c>
    </row>
    <row r="19" spans="2:13" x14ac:dyDescent="0.2">
      <c r="B19" s="4">
        <v>6</v>
      </c>
      <c r="C19" s="15">
        <v>44682</v>
      </c>
      <c r="D19" s="53">
        <f>523830-152</f>
        <v>523678</v>
      </c>
      <c r="E19" s="54">
        <v>552244.56000000006</v>
      </c>
      <c r="F19" s="16">
        <f t="shared" si="0"/>
        <v>-28566.560000000056</v>
      </c>
      <c r="G19" s="17">
        <f t="shared" si="1"/>
        <v>820494.07000000007</v>
      </c>
      <c r="I19" s="111">
        <v>44682</v>
      </c>
      <c r="J19" s="67">
        <f>9392+79921</f>
        <v>89313</v>
      </c>
      <c r="K19" s="112">
        <v>89313</v>
      </c>
      <c r="L19" s="70">
        <f t="shared" si="2"/>
        <v>0</v>
      </c>
      <c r="M19" s="70">
        <f t="shared" si="3"/>
        <v>0</v>
      </c>
    </row>
    <row r="20" spans="2:13" x14ac:dyDescent="0.2">
      <c r="B20" s="4">
        <v>7</v>
      </c>
      <c r="C20" s="15">
        <v>44713</v>
      </c>
      <c r="D20" s="53">
        <f>731915-178</f>
        <v>731737</v>
      </c>
      <c r="E20" s="54">
        <v>760498.88</v>
      </c>
      <c r="F20" s="18">
        <f t="shared" si="0"/>
        <v>-28761.880000000005</v>
      </c>
      <c r="G20" s="19">
        <f t="shared" si="1"/>
        <v>791732.19000000006</v>
      </c>
      <c r="I20" s="113">
        <v>44713</v>
      </c>
      <c r="J20" s="112">
        <f>11088+91327</f>
        <v>102415</v>
      </c>
      <c r="K20" s="114">
        <v>102415</v>
      </c>
      <c r="L20" s="72">
        <f t="shared" si="2"/>
        <v>0</v>
      </c>
      <c r="M20" s="72">
        <f t="shared" si="3"/>
        <v>0</v>
      </c>
    </row>
    <row r="21" spans="2:13" x14ac:dyDescent="0.2">
      <c r="B21" s="20" t="s">
        <v>19</v>
      </c>
      <c r="C21" s="13">
        <v>44743</v>
      </c>
      <c r="D21" s="51">
        <f>855956-174</f>
        <v>855782</v>
      </c>
      <c r="E21" s="52">
        <v>766431.12</v>
      </c>
      <c r="F21" s="14">
        <f t="shared" si="0"/>
        <v>89350.88</v>
      </c>
      <c r="G21" s="12">
        <f t="shared" si="1"/>
        <v>881083.07000000007</v>
      </c>
      <c r="I21" s="111">
        <v>44743</v>
      </c>
      <c r="J21" s="115">
        <f>12347+100122</f>
        <v>112469</v>
      </c>
      <c r="K21" s="115">
        <v>112469</v>
      </c>
      <c r="L21" s="70">
        <f>J21-K21</f>
        <v>0</v>
      </c>
      <c r="M21" s="70">
        <f>M20+L21</f>
        <v>0</v>
      </c>
    </row>
    <row r="22" spans="2:13" x14ac:dyDescent="0.2">
      <c r="B22" s="21" t="s">
        <v>20</v>
      </c>
      <c r="C22" s="22">
        <v>44774</v>
      </c>
      <c r="D22" s="82">
        <f>638434-147</f>
        <v>638287</v>
      </c>
      <c r="E22" s="83">
        <v>577489.27</v>
      </c>
      <c r="F22" s="18">
        <f t="shared" si="0"/>
        <v>60797.729999999981</v>
      </c>
      <c r="G22" s="19">
        <f t="shared" si="1"/>
        <v>941880.8</v>
      </c>
      <c r="I22" s="113">
        <v>44774</v>
      </c>
      <c r="J22" s="114">
        <f>9943+83544</f>
        <v>93487</v>
      </c>
      <c r="K22" s="116">
        <v>93487</v>
      </c>
      <c r="L22" s="72">
        <f>J22-K22</f>
        <v>0</v>
      </c>
      <c r="M22" s="72">
        <f>M21+L22</f>
        <v>0</v>
      </c>
    </row>
    <row r="23" spans="2:13" x14ac:dyDescent="0.2">
      <c r="B23" s="5"/>
      <c r="C23" s="23" t="s">
        <v>75</v>
      </c>
      <c r="D23" s="24"/>
      <c r="E23" s="24"/>
      <c r="F23" s="24"/>
      <c r="G23" s="25"/>
      <c r="I23" s="73"/>
      <c r="J23" s="73"/>
      <c r="K23" s="73"/>
      <c r="L23" s="73"/>
      <c r="M23" s="73"/>
    </row>
    <row r="24" spans="2:13" x14ac:dyDescent="0.2">
      <c r="B24" s="2"/>
      <c r="C24" s="1"/>
      <c r="D24" s="1"/>
      <c r="E24" s="1"/>
      <c r="F24" s="1"/>
      <c r="G24" s="12"/>
      <c r="I24" s="74" t="s">
        <v>52</v>
      </c>
      <c r="J24" s="75"/>
      <c r="K24" s="75"/>
      <c r="L24" s="76"/>
      <c r="M24" s="77">
        <f>M20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73"/>
      <c r="J25" s="73"/>
      <c r="K25" s="73"/>
      <c r="L25" s="73"/>
      <c r="M25" s="78"/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74" t="s">
        <v>53</v>
      </c>
      <c r="J26" s="75"/>
      <c r="K26" s="75"/>
      <c r="L26" s="76"/>
      <c r="M26" s="77">
        <f>M24/6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13" x14ac:dyDescent="0.2">
      <c r="B30" s="2" t="s">
        <v>34</v>
      </c>
      <c r="C30" s="55" t="s">
        <v>76</v>
      </c>
      <c r="D30" s="35">
        <f>-G13</f>
        <v>-744990</v>
      </c>
      <c r="E30" s="35">
        <f>D60</f>
        <v>0</v>
      </c>
      <c r="F30" s="55"/>
      <c r="G30" s="35">
        <f>D30+E30</f>
        <v>-744990</v>
      </c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-744990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46742.190000000061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77</v>
      </c>
      <c r="D35" s="8"/>
      <c r="E35" s="8"/>
      <c r="F35" s="9"/>
      <c r="G35" s="35">
        <f>G33/6</f>
        <v>7790.3650000000098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744990</v>
      </c>
    </row>
    <row r="40" spans="2:7" x14ac:dyDescent="0.2">
      <c r="B40" s="4">
        <v>12</v>
      </c>
      <c r="C40" t="s">
        <v>39</v>
      </c>
      <c r="G40" s="42">
        <f>G31</f>
        <v>-744990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46742.190000000061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46742.19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5.8207660913467407E-11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78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57BA-A228-4A09-8B83-7A18CCBF4AA8}">
  <dimension ref="A1:M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8" t="s">
        <v>50</v>
      </c>
      <c r="J9" s="57"/>
      <c r="K9" s="57"/>
      <c r="L9" s="57"/>
      <c r="M9" s="57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7"/>
      <c r="J10" s="57"/>
      <c r="K10" s="57"/>
      <c r="L10" s="57"/>
      <c r="M10" s="57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9"/>
      <c r="J11" s="59"/>
      <c r="K11" s="60" t="s">
        <v>0</v>
      </c>
      <c r="L11" s="59"/>
      <c r="M11" s="59"/>
    </row>
    <row r="12" spans="1:13" x14ac:dyDescent="0.2">
      <c r="B12" s="2">
        <v>1</v>
      </c>
      <c r="C12" s="90" t="s">
        <v>15</v>
      </c>
      <c r="D12" s="91"/>
      <c r="E12" s="91"/>
      <c r="F12" s="91"/>
      <c r="G12" s="92"/>
      <c r="I12" s="61"/>
      <c r="J12" s="62" t="s">
        <v>1</v>
      </c>
      <c r="K12" s="62" t="s">
        <v>2</v>
      </c>
      <c r="L12" s="61"/>
      <c r="M12" s="61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744990</v>
      </c>
      <c r="I13" s="61"/>
      <c r="J13" s="62" t="s">
        <v>3</v>
      </c>
      <c r="K13" s="62" t="s">
        <v>4</v>
      </c>
      <c r="L13" s="62" t="s">
        <v>5</v>
      </c>
      <c r="M13" s="62" t="s">
        <v>6</v>
      </c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7">
        <f>'A - 05-31-22'!G33</f>
        <v>46742.190000000061</v>
      </c>
      <c r="I14" s="63"/>
      <c r="J14" s="63" t="s">
        <v>7</v>
      </c>
      <c r="K14" s="63" t="s">
        <v>7</v>
      </c>
      <c r="L14" s="63" t="s">
        <v>8</v>
      </c>
      <c r="M14" s="63" t="s">
        <v>8</v>
      </c>
    </row>
    <row r="15" spans="1:13" x14ac:dyDescent="0.2">
      <c r="B15" s="5" t="s">
        <v>80</v>
      </c>
      <c r="C15" s="8" t="s">
        <v>18</v>
      </c>
      <c r="D15" s="8"/>
      <c r="E15" s="8"/>
      <c r="F15" s="11"/>
      <c r="G15" s="12">
        <f>G13+G14</f>
        <v>791732.19000000006</v>
      </c>
      <c r="I15" s="64" t="s">
        <v>10</v>
      </c>
      <c r="J15" s="65" t="s">
        <v>51</v>
      </c>
      <c r="K15" s="65" t="s">
        <v>11</v>
      </c>
      <c r="L15" s="65" t="s">
        <v>12</v>
      </c>
      <c r="M15" s="65" t="s">
        <v>13</v>
      </c>
    </row>
    <row r="16" spans="1:13" x14ac:dyDescent="0.2">
      <c r="B16" s="4">
        <v>2</v>
      </c>
      <c r="C16" s="13">
        <v>44743</v>
      </c>
      <c r="D16" s="51">
        <f>855956-174</f>
        <v>855782</v>
      </c>
      <c r="E16" s="52">
        <v>766431.12</v>
      </c>
      <c r="F16" s="14">
        <f t="shared" ref="F16:F23" si="0">D16-E16</f>
        <v>89350.88</v>
      </c>
      <c r="G16" s="12">
        <f t="shared" ref="G16:G23" si="1">G15+F16</f>
        <v>881083.07000000007</v>
      </c>
      <c r="I16" s="110">
        <v>44743</v>
      </c>
      <c r="J16" s="67">
        <f>12347+100122</f>
        <v>112469</v>
      </c>
      <c r="K16" s="68">
        <v>112469</v>
      </c>
      <c r="L16" s="69">
        <f>J16-K16</f>
        <v>0</v>
      </c>
      <c r="M16" s="70">
        <f>L16</f>
        <v>0</v>
      </c>
    </row>
    <row r="17" spans="2:13" x14ac:dyDescent="0.2">
      <c r="B17" s="4">
        <v>3</v>
      </c>
      <c r="C17" s="15">
        <v>44774</v>
      </c>
      <c r="D17" s="53">
        <f>638434-147</f>
        <v>638287</v>
      </c>
      <c r="E17" s="54">
        <v>577489.27</v>
      </c>
      <c r="F17" s="16">
        <f t="shared" si="0"/>
        <v>60797.729999999981</v>
      </c>
      <c r="G17" s="17">
        <f t="shared" si="1"/>
        <v>941880.8</v>
      </c>
      <c r="I17" s="111">
        <v>44774</v>
      </c>
      <c r="J17" s="67">
        <f>9943+83544</f>
        <v>93487</v>
      </c>
      <c r="K17" s="68">
        <v>93487</v>
      </c>
      <c r="L17" s="70">
        <f>J17-K17</f>
        <v>0</v>
      </c>
      <c r="M17" s="70">
        <f>M16+L17</f>
        <v>0</v>
      </c>
    </row>
    <row r="18" spans="2:13" x14ac:dyDescent="0.2">
      <c r="B18" s="4">
        <v>4</v>
      </c>
      <c r="C18" s="15">
        <v>44805</v>
      </c>
      <c r="D18" s="53">
        <f>444980-0</f>
        <v>444980</v>
      </c>
      <c r="E18" s="54">
        <v>380217.58</v>
      </c>
      <c r="F18" s="16">
        <f t="shared" si="0"/>
        <v>64762.419999999984</v>
      </c>
      <c r="G18" s="17">
        <f t="shared" si="1"/>
        <v>1006643.22</v>
      </c>
      <c r="I18" s="15">
        <v>44805</v>
      </c>
      <c r="J18" s="53">
        <f>8231+69184</f>
        <v>77415</v>
      </c>
      <c r="K18" s="54">
        <v>77415</v>
      </c>
      <c r="L18" s="70">
        <f t="shared" ref="L18:L21" si="2">J18-K18</f>
        <v>0</v>
      </c>
      <c r="M18" s="70">
        <f t="shared" ref="M18:M21" si="3">M17+L18</f>
        <v>0</v>
      </c>
    </row>
    <row r="19" spans="2:13" x14ac:dyDescent="0.2">
      <c r="B19" s="4">
        <v>5</v>
      </c>
      <c r="C19" s="15">
        <v>44835</v>
      </c>
      <c r="D19" s="53">
        <f>456780-140</f>
        <v>456640</v>
      </c>
      <c r="E19" s="54">
        <v>488487.08</v>
      </c>
      <c r="F19" s="16">
        <f t="shared" si="0"/>
        <v>-31847.080000000016</v>
      </c>
      <c r="G19" s="17">
        <f t="shared" si="1"/>
        <v>974796.1399999999</v>
      </c>
      <c r="I19" s="15">
        <v>44835</v>
      </c>
      <c r="J19" s="53">
        <f>10249+86793</f>
        <v>97042</v>
      </c>
      <c r="K19" s="54">
        <v>97042</v>
      </c>
      <c r="L19" s="70">
        <f t="shared" si="2"/>
        <v>0</v>
      </c>
      <c r="M19" s="70">
        <f t="shared" si="3"/>
        <v>0</v>
      </c>
    </row>
    <row r="20" spans="2:13" x14ac:dyDescent="0.2">
      <c r="B20" s="4">
        <v>6</v>
      </c>
      <c r="C20" s="15">
        <v>44866</v>
      </c>
      <c r="D20" s="53">
        <f>604356-160</f>
        <v>604196</v>
      </c>
      <c r="E20" s="54">
        <v>707677.71</v>
      </c>
      <c r="F20" s="16">
        <f t="shared" si="0"/>
        <v>-103481.70999999996</v>
      </c>
      <c r="G20" s="17">
        <f t="shared" si="1"/>
        <v>871314.42999999993</v>
      </c>
      <c r="I20" s="15">
        <v>44866</v>
      </c>
      <c r="J20" s="53">
        <f>10347+80703</f>
        <v>91050</v>
      </c>
      <c r="K20" s="54">
        <v>91050</v>
      </c>
      <c r="L20" s="70">
        <f t="shared" si="2"/>
        <v>0</v>
      </c>
      <c r="M20" s="70">
        <f t="shared" si="3"/>
        <v>0</v>
      </c>
    </row>
    <row r="21" spans="2:13" x14ac:dyDescent="0.2">
      <c r="B21" s="4">
        <v>7</v>
      </c>
      <c r="C21" s="15">
        <v>44896</v>
      </c>
      <c r="D21" s="53">
        <f>927904-166</f>
        <v>927738</v>
      </c>
      <c r="E21" s="54">
        <v>859332.23</v>
      </c>
      <c r="F21" s="18">
        <f t="shared" si="0"/>
        <v>68405.770000000019</v>
      </c>
      <c r="G21" s="19">
        <f t="shared" si="1"/>
        <v>939720.2</v>
      </c>
      <c r="I21" s="15">
        <v>44896</v>
      </c>
      <c r="J21" s="53">
        <f>11049+85944</f>
        <v>96993</v>
      </c>
      <c r="K21" s="54">
        <v>96993</v>
      </c>
      <c r="L21" s="72">
        <f t="shared" si="2"/>
        <v>0</v>
      </c>
      <c r="M21" s="72">
        <f t="shared" si="3"/>
        <v>0</v>
      </c>
    </row>
    <row r="22" spans="2:13" x14ac:dyDescent="0.2">
      <c r="B22" s="20" t="s">
        <v>19</v>
      </c>
      <c r="C22" s="13">
        <v>44927</v>
      </c>
      <c r="D22" s="51">
        <f>698096-135</f>
        <v>697961</v>
      </c>
      <c r="E22" s="52">
        <v>645986.12</v>
      </c>
      <c r="F22" s="14">
        <f t="shared" si="0"/>
        <v>51974.880000000005</v>
      </c>
      <c r="G22" s="12">
        <f t="shared" si="1"/>
        <v>991695.08</v>
      </c>
      <c r="I22" s="13">
        <v>44927</v>
      </c>
      <c r="J22" s="51">
        <f>10804+87765</f>
        <v>98569</v>
      </c>
      <c r="K22" s="52">
        <v>98569</v>
      </c>
      <c r="L22" s="70">
        <f>J22-K22</f>
        <v>0</v>
      </c>
      <c r="M22" s="70">
        <f>M21+L22</f>
        <v>0</v>
      </c>
    </row>
    <row r="23" spans="2:13" x14ac:dyDescent="0.2">
      <c r="B23" s="21" t="s">
        <v>20</v>
      </c>
      <c r="C23" s="22">
        <v>44958</v>
      </c>
      <c r="D23" s="82">
        <f>357927-93</f>
        <v>357834</v>
      </c>
      <c r="E23" s="83">
        <v>343889.2</v>
      </c>
      <c r="F23" s="18">
        <f t="shared" si="0"/>
        <v>13944.799999999988</v>
      </c>
      <c r="G23" s="19">
        <f t="shared" si="1"/>
        <v>1005639.8799999999</v>
      </c>
      <c r="I23" s="22">
        <v>44958</v>
      </c>
      <c r="J23" s="82">
        <f>5683+44747</f>
        <v>50430</v>
      </c>
      <c r="K23" s="83">
        <v>50430</v>
      </c>
      <c r="L23" s="72">
        <f>J23-K23</f>
        <v>0</v>
      </c>
      <c r="M23" s="72">
        <f>M22+L23</f>
        <v>0</v>
      </c>
    </row>
    <row r="24" spans="2:13" x14ac:dyDescent="0.2">
      <c r="B24" s="5"/>
      <c r="C24" s="23" t="s">
        <v>81</v>
      </c>
      <c r="D24" s="24"/>
      <c r="E24" s="24"/>
      <c r="F24" s="24"/>
      <c r="G24" s="25"/>
      <c r="I24" s="73"/>
      <c r="J24" s="73"/>
      <c r="K24" s="73"/>
      <c r="L24" s="73"/>
      <c r="M24" s="73"/>
    </row>
    <row r="25" spans="2:13" x14ac:dyDescent="0.2">
      <c r="B25" s="2"/>
      <c r="C25" s="1"/>
      <c r="D25" s="1"/>
      <c r="E25" s="1"/>
      <c r="F25" s="1"/>
      <c r="G25" s="12"/>
      <c r="I25" s="74" t="s">
        <v>52</v>
      </c>
      <c r="J25" s="75"/>
      <c r="K25" s="75"/>
      <c r="L25" s="76"/>
      <c r="M25" s="77">
        <f>M21</f>
        <v>0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7"/>
      <c r="I26" s="73"/>
      <c r="J26" s="73"/>
      <c r="K26" s="73"/>
      <c r="L26" s="73"/>
      <c r="M26" s="78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74" t="s">
        <v>53</v>
      </c>
      <c r="J27" s="75"/>
      <c r="K27" s="75"/>
      <c r="L27" s="76"/>
      <c r="M27" s="77">
        <f>M25/6</f>
        <v>0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13" x14ac:dyDescent="0.2">
      <c r="B31" s="20" t="s">
        <v>34</v>
      </c>
      <c r="C31" s="1" t="s">
        <v>76</v>
      </c>
      <c r="D31" s="12">
        <f>-G13</f>
        <v>-744990</v>
      </c>
      <c r="E31" s="12">
        <f>D62</f>
        <v>0</v>
      </c>
      <c r="F31" s="1"/>
      <c r="G31" s="12">
        <f>D31+E31</f>
        <v>-744990</v>
      </c>
    </row>
    <row r="32" spans="2:13" x14ac:dyDescent="0.2">
      <c r="B32" s="27" t="s">
        <v>35</v>
      </c>
      <c r="C32" s="28" t="s">
        <v>82</v>
      </c>
      <c r="D32" s="19">
        <f>-G14</f>
        <v>-46742.190000000061</v>
      </c>
      <c r="E32" s="19">
        <v>0</v>
      </c>
      <c r="F32" s="28"/>
      <c r="G32" s="19">
        <f>D32+E32</f>
        <v>-46742.190000000061</v>
      </c>
    </row>
    <row r="33" spans="2:7" x14ac:dyDescent="0.2">
      <c r="B33" s="5" t="s">
        <v>83</v>
      </c>
      <c r="C33" s="29"/>
      <c r="D33" s="30"/>
      <c r="E33" s="30"/>
      <c r="F33" s="31" t="s">
        <v>36</v>
      </c>
      <c r="G33" s="19">
        <f>G31+G32</f>
        <v>-791732.19000000006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84</v>
      </c>
      <c r="D35" s="8"/>
      <c r="E35" s="8"/>
      <c r="F35" s="9"/>
      <c r="G35" s="35">
        <f>G21+G33</f>
        <v>147988.00999999989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77</v>
      </c>
      <c r="D37" s="8"/>
      <c r="E37" s="8"/>
      <c r="F37" s="9"/>
      <c r="G37" s="35">
        <f>G35/6</f>
        <v>24664.668333333317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791732.19000000006</v>
      </c>
    </row>
    <row r="42" spans="2:7" x14ac:dyDescent="0.2">
      <c r="B42" s="4">
        <v>12</v>
      </c>
      <c r="C42" t="s">
        <v>39</v>
      </c>
      <c r="G42" s="42">
        <f>G33</f>
        <v>-791732.19000000006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147988.00999999989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147988.01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78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1270-6405-4A14-8BCF-ACFFFDFF7005}">
  <dimension ref="A1:M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8" t="s">
        <v>50</v>
      </c>
      <c r="J10" s="57"/>
      <c r="K10" s="57"/>
      <c r="L10" s="57"/>
      <c r="M10" s="57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7"/>
      <c r="J11" s="57"/>
      <c r="K11" s="57"/>
      <c r="L11" s="57"/>
      <c r="M11" s="57"/>
    </row>
    <row r="12" spans="1:13" x14ac:dyDescent="0.2">
      <c r="B12" s="2">
        <v>1</v>
      </c>
      <c r="C12" s="90" t="s">
        <v>15</v>
      </c>
      <c r="D12" s="91"/>
      <c r="E12" s="91"/>
      <c r="F12" s="91"/>
      <c r="G12" s="92"/>
      <c r="I12" s="59"/>
      <c r="J12" s="59"/>
      <c r="K12" s="60" t="s">
        <v>0</v>
      </c>
      <c r="L12" s="59"/>
      <c r="M12" s="59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744990</v>
      </c>
      <c r="I13" s="61"/>
      <c r="J13" s="62" t="s">
        <v>1</v>
      </c>
      <c r="K13" s="62" t="s">
        <v>2</v>
      </c>
      <c r="L13" s="61"/>
      <c r="M13" s="61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7">
        <f>'A - 05-31-22'!G33</f>
        <v>46742.190000000061</v>
      </c>
      <c r="I14" s="61"/>
      <c r="J14" s="62" t="s">
        <v>3</v>
      </c>
      <c r="K14" s="62" t="s">
        <v>4</v>
      </c>
      <c r="L14" s="62" t="s">
        <v>5</v>
      </c>
      <c r="M14" s="62" t="s">
        <v>6</v>
      </c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7">
        <f>'B - 11-30-22'!G35</f>
        <v>147988.00999999989</v>
      </c>
      <c r="I15" s="63"/>
      <c r="J15" s="63" t="s">
        <v>7</v>
      </c>
      <c r="K15" s="63" t="s">
        <v>7</v>
      </c>
      <c r="L15" s="63" t="s">
        <v>8</v>
      </c>
      <c r="M15" s="63" t="s">
        <v>8</v>
      </c>
    </row>
    <row r="16" spans="1:13" x14ac:dyDescent="0.2">
      <c r="B16" s="5" t="s">
        <v>86</v>
      </c>
      <c r="C16" s="8" t="s">
        <v>18</v>
      </c>
      <c r="D16" s="8"/>
      <c r="E16" s="8"/>
      <c r="F16" s="11"/>
      <c r="G16" s="12">
        <f>G13+G14+G15</f>
        <v>939720.2</v>
      </c>
      <c r="I16" s="64" t="s">
        <v>10</v>
      </c>
      <c r="J16" s="65" t="s">
        <v>51</v>
      </c>
      <c r="K16" s="65" t="s">
        <v>11</v>
      </c>
      <c r="L16" s="65" t="s">
        <v>12</v>
      </c>
      <c r="M16" s="65" t="s">
        <v>13</v>
      </c>
    </row>
    <row r="17" spans="2:13" x14ac:dyDescent="0.2">
      <c r="B17" s="4">
        <v>2</v>
      </c>
      <c r="C17" s="13">
        <v>44927</v>
      </c>
      <c r="D17" s="51">
        <f>698096-135</f>
        <v>697961</v>
      </c>
      <c r="E17" s="52">
        <v>645986.12</v>
      </c>
      <c r="F17" s="14">
        <f t="shared" ref="F17:F24" si="0">D17-E17</f>
        <v>51974.880000000005</v>
      </c>
      <c r="G17" s="12">
        <f t="shared" ref="G17:G24" si="1">G16+F17</f>
        <v>991695.08</v>
      </c>
      <c r="I17" s="110">
        <v>44927</v>
      </c>
      <c r="J17" s="67">
        <f>10804+87765</f>
        <v>98569</v>
      </c>
      <c r="K17" s="68">
        <v>98569</v>
      </c>
      <c r="L17" s="69">
        <f>J17-K17</f>
        <v>0</v>
      </c>
      <c r="M17" s="70">
        <f>L17</f>
        <v>0</v>
      </c>
    </row>
    <row r="18" spans="2:13" x14ac:dyDescent="0.2">
      <c r="B18" s="4">
        <v>3</v>
      </c>
      <c r="C18" s="15">
        <v>44958</v>
      </c>
      <c r="D18" s="53">
        <f>357927-93</f>
        <v>357834</v>
      </c>
      <c r="E18" s="54">
        <v>343889.2</v>
      </c>
      <c r="F18" s="16">
        <f t="shared" si="0"/>
        <v>13944.799999999988</v>
      </c>
      <c r="G18" s="17">
        <f t="shared" si="1"/>
        <v>1005639.8799999999</v>
      </c>
      <c r="I18" s="111">
        <v>44958</v>
      </c>
      <c r="J18" s="67">
        <f>5683+44747</f>
        <v>50430</v>
      </c>
      <c r="K18" s="68">
        <v>50430</v>
      </c>
      <c r="L18" s="70">
        <f>J18-K18</f>
        <v>0</v>
      </c>
      <c r="M18" s="70">
        <f>M17+L18</f>
        <v>0</v>
      </c>
    </row>
    <row r="19" spans="2:13" x14ac:dyDescent="0.2">
      <c r="B19" s="4">
        <v>4</v>
      </c>
      <c r="C19" s="15">
        <v>44986</v>
      </c>
      <c r="D19" s="53">
        <f>450369-124</f>
        <v>450245</v>
      </c>
      <c r="E19" s="54">
        <v>478530.24</v>
      </c>
      <c r="F19" s="16">
        <f t="shared" si="0"/>
        <v>-28285.239999999991</v>
      </c>
      <c r="G19" s="17">
        <f t="shared" si="1"/>
        <v>977354.6399999999</v>
      </c>
      <c r="I19" s="15">
        <v>44986</v>
      </c>
      <c r="J19" s="53">
        <f>7512+59937</f>
        <v>67449</v>
      </c>
      <c r="K19" s="54">
        <v>67449</v>
      </c>
      <c r="L19" s="70">
        <f t="shared" ref="L19:L22" si="2">J19-K19</f>
        <v>0</v>
      </c>
      <c r="M19" s="70">
        <f t="shared" ref="M19:M22" si="3">M18+L19</f>
        <v>0</v>
      </c>
    </row>
    <row r="20" spans="2:13" x14ac:dyDescent="0.2">
      <c r="B20" s="4">
        <v>5</v>
      </c>
      <c r="C20" s="15">
        <v>45017</v>
      </c>
      <c r="D20" s="53">
        <f>468622-176</f>
        <v>468446</v>
      </c>
      <c r="E20" s="54">
        <f>558333.56</f>
        <v>558333.56000000006</v>
      </c>
      <c r="F20" s="16">
        <f t="shared" si="0"/>
        <v>-89887.560000000056</v>
      </c>
      <c r="G20" s="17">
        <f t="shared" si="1"/>
        <v>887467.07999999984</v>
      </c>
      <c r="I20" s="15">
        <v>45017</v>
      </c>
      <c r="J20" s="53">
        <f>9505+81351</f>
        <v>90856</v>
      </c>
      <c r="K20" s="54">
        <v>90856</v>
      </c>
      <c r="L20" s="70">
        <f t="shared" si="2"/>
        <v>0</v>
      </c>
      <c r="M20" s="70">
        <f t="shared" si="3"/>
        <v>0</v>
      </c>
    </row>
    <row r="21" spans="2:13" x14ac:dyDescent="0.2">
      <c r="B21" s="4">
        <v>6</v>
      </c>
      <c r="C21" s="15">
        <v>45047</v>
      </c>
      <c r="D21" s="53">
        <f>492333-179</f>
        <v>492154</v>
      </c>
      <c r="E21" s="54">
        <v>537830.53</v>
      </c>
      <c r="F21" s="16">
        <f t="shared" si="0"/>
        <v>-45676.530000000028</v>
      </c>
      <c r="G21" s="17">
        <f t="shared" si="1"/>
        <v>841790.54999999981</v>
      </c>
      <c r="I21" s="15">
        <v>45047</v>
      </c>
      <c r="J21" s="53">
        <f>9931+87094</f>
        <v>97025</v>
      </c>
      <c r="K21" s="54">
        <v>97025</v>
      </c>
      <c r="L21" s="70">
        <f t="shared" si="2"/>
        <v>0</v>
      </c>
      <c r="M21" s="70">
        <f t="shared" si="3"/>
        <v>0</v>
      </c>
    </row>
    <row r="22" spans="2:13" x14ac:dyDescent="0.2">
      <c r="B22" s="4">
        <v>7</v>
      </c>
      <c r="C22" s="15">
        <v>45078</v>
      </c>
      <c r="D22" s="53">
        <f>588889-216</f>
        <v>588673</v>
      </c>
      <c r="E22" s="54">
        <v>750767.72</v>
      </c>
      <c r="F22" s="18">
        <f t="shared" si="0"/>
        <v>-162094.71999999997</v>
      </c>
      <c r="G22" s="19">
        <f t="shared" si="1"/>
        <v>679695.82999999984</v>
      </c>
      <c r="I22" s="15">
        <v>45078</v>
      </c>
      <c r="J22" s="53">
        <f>10053+89863</f>
        <v>99916</v>
      </c>
      <c r="K22" s="54">
        <v>99916</v>
      </c>
      <c r="L22" s="72">
        <f t="shared" si="2"/>
        <v>0</v>
      </c>
      <c r="M22" s="72">
        <f t="shared" si="3"/>
        <v>0</v>
      </c>
    </row>
    <row r="23" spans="2:13" x14ac:dyDescent="0.2">
      <c r="B23" s="20" t="s">
        <v>19</v>
      </c>
      <c r="C23" s="13">
        <v>45108</v>
      </c>
      <c r="D23" s="51">
        <f>796000-231</f>
        <v>795769</v>
      </c>
      <c r="E23" s="52">
        <v>803658.82</v>
      </c>
      <c r="F23" s="14">
        <f t="shared" si="0"/>
        <v>-7889.8199999999488</v>
      </c>
      <c r="G23" s="12">
        <f t="shared" si="1"/>
        <v>671806.00999999989</v>
      </c>
      <c r="I23" s="13">
        <v>45108</v>
      </c>
      <c r="J23" s="51">
        <f>10808+94738</f>
        <v>105546</v>
      </c>
      <c r="K23" s="52">
        <v>105546</v>
      </c>
      <c r="L23" s="70">
        <f>J23-K23</f>
        <v>0</v>
      </c>
      <c r="M23" s="70">
        <f>M22+L23</f>
        <v>0</v>
      </c>
    </row>
    <row r="24" spans="2:13" x14ac:dyDescent="0.2">
      <c r="B24" s="21" t="s">
        <v>20</v>
      </c>
      <c r="C24" s="22">
        <v>45139</v>
      </c>
      <c r="D24" s="82">
        <f>810026-0</f>
        <v>810026</v>
      </c>
      <c r="E24" s="83">
        <v>777105.6</v>
      </c>
      <c r="F24" s="18">
        <f t="shared" si="0"/>
        <v>32920.400000000023</v>
      </c>
      <c r="G24" s="19">
        <f t="shared" si="1"/>
        <v>704726.40999999992</v>
      </c>
      <c r="I24" s="22">
        <v>45139</v>
      </c>
      <c r="J24" s="82">
        <f>12048+108547</f>
        <v>120595</v>
      </c>
      <c r="K24" s="83">
        <v>120595</v>
      </c>
      <c r="L24" s="72">
        <f>J24-K24</f>
        <v>0</v>
      </c>
      <c r="M24" s="72">
        <f>M23+L24</f>
        <v>0</v>
      </c>
    </row>
    <row r="25" spans="2:13" x14ac:dyDescent="0.2">
      <c r="B25" s="5"/>
      <c r="C25" s="23" t="s">
        <v>87</v>
      </c>
      <c r="D25" s="24"/>
      <c r="E25" s="24"/>
      <c r="F25" s="24"/>
      <c r="G25" s="25"/>
      <c r="I25" s="73"/>
      <c r="J25" s="73"/>
      <c r="K25" s="73"/>
      <c r="L25" s="73"/>
      <c r="M25" s="73"/>
    </row>
    <row r="26" spans="2:13" x14ac:dyDescent="0.2">
      <c r="B26" s="2"/>
      <c r="C26" s="1"/>
      <c r="D26" s="1"/>
      <c r="E26" s="1"/>
      <c r="F26" s="1"/>
      <c r="G26" s="12"/>
      <c r="I26" s="74" t="s">
        <v>52</v>
      </c>
      <c r="J26" s="75"/>
      <c r="K26" s="75"/>
      <c r="L26" s="76"/>
      <c r="M26" s="77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7"/>
      <c r="I27" s="73"/>
      <c r="J27" s="73"/>
      <c r="K27" s="73"/>
      <c r="L27" s="73"/>
      <c r="M27" s="78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74" t="s">
        <v>53</v>
      </c>
      <c r="J28" s="75"/>
      <c r="K28" s="75"/>
      <c r="L28" s="76"/>
      <c r="M28" s="77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13" x14ac:dyDescent="0.2">
      <c r="B32" s="20" t="s">
        <v>34</v>
      </c>
      <c r="C32" s="1" t="s">
        <v>76</v>
      </c>
      <c r="D32" s="12">
        <f>-G13</f>
        <v>-744990</v>
      </c>
      <c r="E32" s="12">
        <f>D64</f>
        <v>0</v>
      </c>
      <c r="F32" s="1"/>
      <c r="G32" s="12">
        <f t="shared" ref="G32:G34" si="4">D32+E32</f>
        <v>-744990</v>
      </c>
    </row>
    <row r="33" spans="2:7" x14ac:dyDescent="0.2">
      <c r="B33" s="27" t="s">
        <v>35</v>
      </c>
      <c r="C33" s="118" t="s">
        <v>82</v>
      </c>
      <c r="D33" s="17">
        <f>-G14</f>
        <v>-46742.190000000061</v>
      </c>
      <c r="E33" s="17">
        <v>0</v>
      </c>
      <c r="F33" s="3"/>
      <c r="G33" s="17">
        <f t="shared" si="4"/>
        <v>-46742.190000000061</v>
      </c>
    </row>
    <row r="34" spans="2:7" x14ac:dyDescent="0.2">
      <c r="B34" s="27" t="s">
        <v>83</v>
      </c>
      <c r="C34" s="45" t="s">
        <v>88</v>
      </c>
      <c r="D34" s="19">
        <f>-G15</f>
        <v>-147988.00999999989</v>
      </c>
      <c r="E34" s="19">
        <v>0</v>
      </c>
      <c r="F34" s="28"/>
      <c r="G34" s="19">
        <f t="shared" si="4"/>
        <v>-147988.00999999989</v>
      </c>
    </row>
    <row r="35" spans="2:7" x14ac:dyDescent="0.2">
      <c r="B35" s="5" t="s">
        <v>89</v>
      </c>
      <c r="C35" s="29"/>
      <c r="D35" s="30"/>
      <c r="E35" s="30"/>
      <c r="F35" s="31" t="s">
        <v>36</v>
      </c>
      <c r="G35" s="19">
        <f>G32+G33+G34</f>
        <v>-939720.2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90</v>
      </c>
      <c r="D37" s="8"/>
      <c r="E37" s="8"/>
      <c r="F37" s="9"/>
      <c r="G37" s="35">
        <f>G22+G35</f>
        <v>-260024.37000000011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77</v>
      </c>
      <c r="D39" s="8"/>
      <c r="E39" s="8"/>
      <c r="F39" s="9"/>
      <c r="G39" s="35">
        <f>G37/6</f>
        <v>-43337.395000000019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939720.2</v>
      </c>
    </row>
    <row r="44" spans="2:7" x14ac:dyDescent="0.2">
      <c r="B44" s="4">
        <v>12</v>
      </c>
      <c r="C44" t="s">
        <v>39</v>
      </c>
      <c r="G44" s="42">
        <f>G35</f>
        <v>-939720.2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-260024.37000000011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-260024.37000000005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78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116A-C93A-4408-9DDF-F94815D2A1E2}">
  <dimension ref="A1:M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8" t="s">
        <v>50</v>
      </c>
      <c r="J11" s="57"/>
      <c r="K11" s="57"/>
      <c r="L11" s="57"/>
      <c r="M11" s="57"/>
    </row>
    <row r="12" spans="1:13" ht="15" x14ac:dyDescent="0.2">
      <c r="B12" s="2">
        <v>1</v>
      </c>
      <c r="C12" s="90" t="s">
        <v>15</v>
      </c>
      <c r="D12" s="91"/>
      <c r="E12" s="91"/>
      <c r="F12" s="91"/>
      <c r="G12" s="92"/>
      <c r="I12" s="57"/>
      <c r="J12" s="57"/>
      <c r="K12" s="57"/>
      <c r="L12" s="57"/>
      <c r="M12" s="57"/>
    </row>
    <row r="13" spans="1:13" x14ac:dyDescent="0.2">
      <c r="B13" s="2" t="s">
        <v>16</v>
      </c>
      <c r="C13" s="8" t="s">
        <v>74</v>
      </c>
      <c r="D13" s="8"/>
      <c r="E13" s="8"/>
      <c r="F13" s="9"/>
      <c r="G13" s="35">
        <v>744990</v>
      </c>
      <c r="I13" s="59"/>
      <c r="J13" s="59"/>
      <c r="K13" s="60" t="s">
        <v>0</v>
      </c>
      <c r="L13" s="59"/>
      <c r="M13" s="59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7">
        <f>'A - 05-31-22'!G33</f>
        <v>46742.190000000061</v>
      </c>
      <c r="I14" s="61"/>
      <c r="J14" s="62" t="s">
        <v>1</v>
      </c>
      <c r="K14" s="62" t="s">
        <v>2</v>
      </c>
      <c r="L14" s="61"/>
      <c r="M14" s="61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7">
        <f>'B - 11-30-22'!G35</f>
        <v>147988.00999999989</v>
      </c>
      <c r="I15" s="61"/>
      <c r="J15" s="62" t="s">
        <v>3</v>
      </c>
      <c r="K15" s="62" t="s">
        <v>4</v>
      </c>
      <c r="L15" s="62" t="s">
        <v>5</v>
      </c>
      <c r="M15" s="62" t="s">
        <v>6</v>
      </c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-260024.37000000011</v>
      </c>
      <c r="I16" s="63"/>
      <c r="J16" s="63" t="s">
        <v>7</v>
      </c>
      <c r="K16" s="63" t="s">
        <v>7</v>
      </c>
      <c r="L16" s="63" t="s">
        <v>8</v>
      </c>
      <c r="M16" s="63" t="s">
        <v>8</v>
      </c>
    </row>
    <row r="17" spans="2:13" x14ac:dyDescent="0.2">
      <c r="B17" s="5" t="s">
        <v>92</v>
      </c>
      <c r="C17" s="8" t="s">
        <v>18</v>
      </c>
      <c r="D17" s="8"/>
      <c r="E17" s="8"/>
      <c r="F17" s="11"/>
      <c r="G17" s="12">
        <f>G13+G14+G15+G16</f>
        <v>679695.82999999984</v>
      </c>
      <c r="I17" s="64" t="s">
        <v>10</v>
      </c>
      <c r="J17" s="65" t="s">
        <v>51</v>
      </c>
      <c r="K17" s="65" t="s">
        <v>11</v>
      </c>
      <c r="L17" s="65" t="s">
        <v>12</v>
      </c>
      <c r="M17" s="65" t="s">
        <v>13</v>
      </c>
    </row>
    <row r="18" spans="2:13" x14ac:dyDescent="0.2">
      <c r="B18" s="4">
        <v>2</v>
      </c>
      <c r="C18" s="13">
        <v>45108</v>
      </c>
      <c r="D18" s="51">
        <f>796000-231</f>
        <v>795769</v>
      </c>
      <c r="E18" s="52">
        <v>803658.82</v>
      </c>
      <c r="F18" s="14">
        <f t="shared" ref="F18:F25" si="0">D18-E18</f>
        <v>-7889.8199999999488</v>
      </c>
      <c r="G18" s="12">
        <f t="shared" ref="G18:G25" si="1">G17+F18</f>
        <v>671806.00999999989</v>
      </c>
      <c r="I18" s="110">
        <v>45108</v>
      </c>
      <c r="J18" s="67">
        <f>10808+94738</f>
        <v>105546</v>
      </c>
      <c r="K18" s="68">
        <v>105546</v>
      </c>
      <c r="L18" s="69">
        <f>J18-K18</f>
        <v>0</v>
      </c>
      <c r="M18" s="70">
        <f>L18</f>
        <v>0</v>
      </c>
    </row>
    <row r="19" spans="2:13" x14ac:dyDescent="0.2">
      <c r="B19" s="4">
        <v>3</v>
      </c>
      <c r="C19" s="15">
        <v>45139</v>
      </c>
      <c r="D19" s="53">
        <f>810026-0</f>
        <v>810026</v>
      </c>
      <c r="E19" s="54">
        <v>777105.6</v>
      </c>
      <c r="F19" s="16">
        <f t="shared" si="0"/>
        <v>32920.400000000023</v>
      </c>
      <c r="G19" s="17">
        <f t="shared" si="1"/>
        <v>704726.40999999992</v>
      </c>
      <c r="I19" s="111">
        <v>45139</v>
      </c>
      <c r="J19" s="67">
        <f>12048+108547</f>
        <v>120595</v>
      </c>
      <c r="K19" s="68">
        <v>120595</v>
      </c>
      <c r="L19" s="70">
        <f>J19-K19</f>
        <v>0</v>
      </c>
      <c r="M19" s="70">
        <f>M18+L19</f>
        <v>0</v>
      </c>
    </row>
    <row r="20" spans="2:13" x14ac:dyDescent="0.2">
      <c r="B20" s="4">
        <v>4</v>
      </c>
      <c r="C20" s="15">
        <v>45170</v>
      </c>
      <c r="D20" s="53">
        <f>529005-0</f>
        <v>529005</v>
      </c>
      <c r="E20" s="54">
        <v>494936.02</v>
      </c>
      <c r="F20" s="16">
        <f t="shared" si="0"/>
        <v>34068.979999999981</v>
      </c>
      <c r="G20" s="17">
        <f t="shared" si="1"/>
        <v>738795.3899999999</v>
      </c>
      <c r="I20" s="15">
        <v>45170</v>
      </c>
      <c r="J20" s="53">
        <f>9128+81117</f>
        <v>90245</v>
      </c>
      <c r="K20" s="54">
        <v>90245</v>
      </c>
      <c r="L20" s="70">
        <f t="shared" ref="L20:L23" si="2">J20-K20</f>
        <v>0</v>
      </c>
      <c r="M20" s="70">
        <f t="shared" ref="M20:M23" si="3">M19+L20</f>
        <v>0</v>
      </c>
    </row>
    <row r="21" spans="2:13" x14ac:dyDescent="0.2">
      <c r="B21" s="4">
        <v>5</v>
      </c>
      <c r="C21" s="15">
        <v>45200</v>
      </c>
      <c r="D21" s="53">
        <f>455549-185</f>
        <v>455364</v>
      </c>
      <c r="E21" s="54">
        <v>479416.91</v>
      </c>
      <c r="F21" s="16">
        <f t="shared" si="0"/>
        <v>-24052.909999999974</v>
      </c>
      <c r="G21" s="17">
        <f t="shared" si="1"/>
        <v>714742.48</v>
      </c>
      <c r="I21" s="15">
        <v>45200</v>
      </c>
      <c r="J21" s="53">
        <f>9242+84509</f>
        <v>93751</v>
      </c>
      <c r="K21" s="54">
        <v>93751</v>
      </c>
      <c r="L21" s="70">
        <f t="shared" si="2"/>
        <v>0</v>
      </c>
      <c r="M21" s="70">
        <f t="shared" si="3"/>
        <v>0</v>
      </c>
    </row>
    <row r="22" spans="2:13" x14ac:dyDescent="0.2">
      <c r="B22" s="4">
        <v>6</v>
      </c>
      <c r="C22" s="15">
        <v>45231</v>
      </c>
      <c r="D22" s="53">
        <f>619660-231</f>
        <v>619429</v>
      </c>
      <c r="E22" s="54">
        <v>688839.87</v>
      </c>
      <c r="F22" s="16">
        <f t="shared" si="0"/>
        <v>-69410.87</v>
      </c>
      <c r="G22" s="17">
        <f t="shared" si="1"/>
        <v>645331.61</v>
      </c>
      <c r="I22" s="15">
        <v>45231</v>
      </c>
      <c r="J22" s="53">
        <f>10009+91343</f>
        <v>101352</v>
      </c>
      <c r="K22" s="54">
        <v>101352</v>
      </c>
      <c r="L22" s="70">
        <f t="shared" si="2"/>
        <v>0</v>
      </c>
      <c r="M22" s="70">
        <f t="shared" si="3"/>
        <v>0</v>
      </c>
    </row>
    <row r="23" spans="2:13" x14ac:dyDescent="0.2">
      <c r="B23" s="4">
        <v>7</v>
      </c>
      <c r="C23" s="15">
        <v>45261</v>
      </c>
      <c r="D23" s="53">
        <f>722507-241</f>
        <v>722266</v>
      </c>
      <c r="E23" s="54">
        <v>818695.89</v>
      </c>
      <c r="F23" s="18">
        <f t="shared" si="0"/>
        <v>-96429.890000000014</v>
      </c>
      <c r="G23" s="19">
        <f t="shared" si="1"/>
        <v>548901.72</v>
      </c>
      <c r="I23" s="15">
        <v>45261</v>
      </c>
      <c r="J23" s="53">
        <f>10211+87211</f>
        <v>97422</v>
      </c>
      <c r="K23" s="54">
        <f>97422</f>
        <v>97422</v>
      </c>
      <c r="L23" s="72">
        <f t="shared" si="2"/>
        <v>0</v>
      </c>
      <c r="M23" s="72">
        <f t="shared" si="3"/>
        <v>0</v>
      </c>
    </row>
    <row r="24" spans="2:13" x14ac:dyDescent="0.2">
      <c r="B24" s="20" t="s">
        <v>19</v>
      </c>
      <c r="C24" s="13">
        <v>45292</v>
      </c>
      <c r="D24" s="51">
        <f>973857-228</f>
        <v>973629</v>
      </c>
      <c r="E24" s="52">
        <v>836080.88</v>
      </c>
      <c r="F24" s="14">
        <f t="shared" si="0"/>
        <v>137548.12</v>
      </c>
      <c r="G24" s="12">
        <f t="shared" si="1"/>
        <v>686449.84</v>
      </c>
      <c r="I24" s="13">
        <v>45292</v>
      </c>
      <c r="J24" s="51">
        <f>10254+85961</f>
        <v>96215</v>
      </c>
      <c r="K24" s="52">
        <v>96215</v>
      </c>
      <c r="L24" s="70">
        <f>J24-K24</f>
        <v>0</v>
      </c>
      <c r="M24" s="70">
        <f>M23+L24</f>
        <v>0</v>
      </c>
    </row>
    <row r="25" spans="2:13" x14ac:dyDescent="0.2">
      <c r="B25" s="21" t="s">
        <v>20</v>
      </c>
      <c r="C25" s="22">
        <v>45323</v>
      </c>
      <c r="D25" s="82">
        <f>651147-215</f>
        <v>650932</v>
      </c>
      <c r="E25" s="83">
        <v>578904.91</v>
      </c>
      <c r="F25" s="18">
        <f t="shared" si="0"/>
        <v>72027.089999999967</v>
      </c>
      <c r="G25" s="19">
        <f t="shared" si="1"/>
        <v>758476.92999999993</v>
      </c>
      <c r="I25" s="22">
        <v>45323</v>
      </c>
      <c r="J25" s="82">
        <f>9715+86409</f>
        <v>96124</v>
      </c>
      <c r="K25" s="83">
        <v>96124</v>
      </c>
      <c r="L25" s="72">
        <f>J25-K25</f>
        <v>0</v>
      </c>
      <c r="M25" s="72">
        <f>M24+L25</f>
        <v>0</v>
      </c>
    </row>
    <row r="26" spans="2:13" x14ac:dyDescent="0.2">
      <c r="B26" s="5"/>
      <c r="C26" s="23" t="s">
        <v>93</v>
      </c>
      <c r="D26" s="24"/>
      <c r="E26" s="24"/>
      <c r="F26" s="24"/>
      <c r="G26" s="25"/>
      <c r="I26" s="73"/>
      <c r="J26" s="73"/>
      <c r="K26" s="73"/>
      <c r="L26" s="73"/>
      <c r="M26" s="73"/>
    </row>
    <row r="27" spans="2:13" x14ac:dyDescent="0.2">
      <c r="B27" s="2"/>
      <c r="C27" s="1"/>
      <c r="D27" s="1"/>
      <c r="E27" s="1"/>
      <c r="F27" s="1"/>
      <c r="G27" s="12"/>
      <c r="I27" s="74" t="s">
        <v>52</v>
      </c>
      <c r="J27" s="75"/>
      <c r="K27" s="75"/>
      <c r="L27" s="76"/>
      <c r="M27" s="77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7"/>
      <c r="I28" s="73"/>
      <c r="J28" s="73"/>
      <c r="K28" s="73"/>
      <c r="L28" s="73"/>
      <c r="M28" s="78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74" t="s">
        <v>53</v>
      </c>
      <c r="J29" s="75"/>
      <c r="K29" s="75"/>
      <c r="L29" s="76"/>
      <c r="M29" s="77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119" t="s">
        <v>94</v>
      </c>
      <c r="D33" s="120">
        <f>-G13</f>
        <v>-744990</v>
      </c>
      <c r="E33" s="120">
        <f>D66</f>
        <v>0</v>
      </c>
      <c r="F33" s="39"/>
      <c r="G33" s="121">
        <f t="shared" ref="G33:G36" si="4">D33+E33</f>
        <v>-744990</v>
      </c>
    </row>
    <row r="34" spans="2:7" x14ac:dyDescent="0.2">
      <c r="B34" s="27" t="s">
        <v>35</v>
      </c>
      <c r="C34" s="122" t="s">
        <v>82</v>
      </c>
      <c r="D34" s="33">
        <f>-G14</f>
        <v>-46742.190000000061</v>
      </c>
      <c r="E34" s="33">
        <v>0</v>
      </c>
      <c r="G34" s="41">
        <f t="shared" si="4"/>
        <v>-46742.190000000061</v>
      </c>
    </row>
    <row r="35" spans="2:7" x14ac:dyDescent="0.2">
      <c r="B35" s="27" t="s">
        <v>83</v>
      </c>
      <c r="C35" s="122" t="s">
        <v>88</v>
      </c>
      <c r="D35" s="33">
        <f>-G15</f>
        <v>-147988.00999999989</v>
      </c>
      <c r="E35" s="33">
        <v>0</v>
      </c>
      <c r="G35" s="41">
        <f t="shared" si="4"/>
        <v>-147988.00999999989</v>
      </c>
    </row>
    <row r="36" spans="2:7" x14ac:dyDescent="0.2">
      <c r="B36" s="27" t="s">
        <v>89</v>
      </c>
      <c r="C36" s="123" t="s">
        <v>95</v>
      </c>
      <c r="D36" s="124">
        <f>-G16</f>
        <v>260024.37000000011</v>
      </c>
      <c r="E36" s="124">
        <v>0</v>
      </c>
      <c r="F36" s="44"/>
      <c r="G36" s="42">
        <f t="shared" si="4"/>
        <v>260024.37000000011</v>
      </c>
    </row>
    <row r="37" spans="2:7" x14ac:dyDescent="0.2">
      <c r="B37" s="5" t="s">
        <v>96</v>
      </c>
      <c r="C37" s="29"/>
      <c r="D37" s="30"/>
      <c r="E37" s="30"/>
      <c r="F37" s="31" t="s">
        <v>36</v>
      </c>
      <c r="G37" s="19">
        <f>G33+G34+G35+G36</f>
        <v>-679695.82999999984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97</v>
      </c>
      <c r="D39" s="8"/>
      <c r="E39" s="8"/>
      <c r="F39" s="9"/>
      <c r="G39" s="35">
        <f>G23+G37</f>
        <v>-130794.10999999987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77</v>
      </c>
      <c r="D41" s="8"/>
      <c r="E41" s="8"/>
      <c r="F41" s="9"/>
      <c r="G41" s="35">
        <f>G39/6</f>
        <v>-21799.018333333312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679695.82999999984</v>
      </c>
    </row>
    <row r="46" spans="2:7" x14ac:dyDescent="0.2">
      <c r="B46" s="4">
        <v>12</v>
      </c>
      <c r="C46" t="s">
        <v>39</v>
      </c>
      <c r="G46" s="42">
        <f>G37</f>
        <v>-679695.82999999984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-130794.10999999987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-130794.10999999993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78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0CC1-A290-4CAF-9DBF-53D5C7AD60F2}">
  <dimension ref="A1:M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0" t="s">
        <v>15</v>
      </c>
      <c r="D12" s="91"/>
      <c r="E12" s="91"/>
      <c r="F12" s="91"/>
      <c r="G12" s="92"/>
      <c r="I12" s="58" t="s">
        <v>50</v>
      </c>
      <c r="J12" s="57"/>
      <c r="K12" s="57"/>
      <c r="L12" s="57"/>
      <c r="M12" s="57"/>
    </row>
    <row r="13" spans="1:13" ht="15" x14ac:dyDescent="0.2">
      <c r="B13" s="2" t="s">
        <v>16</v>
      </c>
      <c r="C13" s="8" t="s">
        <v>74</v>
      </c>
      <c r="D13" s="8"/>
      <c r="E13" s="8"/>
      <c r="F13" s="9"/>
      <c r="G13" s="35">
        <v>744990</v>
      </c>
      <c r="I13" s="57"/>
      <c r="J13" s="57"/>
      <c r="K13" s="57"/>
      <c r="L13" s="57"/>
      <c r="M13" s="57"/>
    </row>
    <row r="14" spans="1:13" x14ac:dyDescent="0.2">
      <c r="B14" s="4" t="s">
        <v>17</v>
      </c>
      <c r="C14" s="8" t="s">
        <v>79</v>
      </c>
      <c r="D14" s="8"/>
      <c r="E14" s="8"/>
      <c r="F14" s="9"/>
      <c r="G14" s="117">
        <f>'A - 05-31-22'!G33</f>
        <v>46742.190000000061</v>
      </c>
      <c r="I14" s="59"/>
      <c r="J14" s="59"/>
      <c r="K14" s="60" t="s">
        <v>0</v>
      </c>
      <c r="L14" s="59"/>
      <c r="M14" s="59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7">
        <f>'B - 11-30-22'!G35</f>
        <v>147988.00999999989</v>
      </c>
      <c r="I15" s="61"/>
      <c r="J15" s="62" t="s">
        <v>1</v>
      </c>
      <c r="K15" s="62" t="s">
        <v>2</v>
      </c>
      <c r="L15" s="61"/>
      <c r="M15" s="61"/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-260024.37000000011</v>
      </c>
      <c r="I16" s="61"/>
      <c r="J16" s="62" t="s">
        <v>3</v>
      </c>
      <c r="K16" s="62" t="s">
        <v>4</v>
      </c>
      <c r="L16" s="62" t="s">
        <v>5</v>
      </c>
      <c r="M16" s="62" t="s">
        <v>6</v>
      </c>
    </row>
    <row r="17" spans="2:13" x14ac:dyDescent="0.2">
      <c r="B17" s="4" t="s">
        <v>92</v>
      </c>
      <c r="C17" s="8" t="s">
        <v>98</v>
      </c>
      <c r="D17" s="8"/>
      <c r="E17" s="8"/>
      <c r="F17" s="11"/>
      <c r="G17" s="51">
        <f>'D - 11-30-23'!G39</f>
        <v>-130794.10999999987</v>
      </c>
      <c r="I17" s="63"/>
      <c r="J17" s="63" t="s">
        <v>7</v>
      </c>
      <c r="K17" s="63" t="s">
        <v>7</v>
      </c>
      <c r="L17" s="63" t="s">
        <v>8</v>
      </c>
      <c r="M17" s="63" t="s">
        <v>8</v>
      </c>
    </row>
    <row r="18" spans="2:13" x14ac:dyDescent="0.2">
      <c r="B18" s="5" t="s">
        <v>99</v>
      </c>
      <c r="C18" s="8" t="s">
        <v>18</v>
      </c>
      <c r="D18" s="8"/>
      <c r="E18" s="8"/>
      <c r="F18" s="11"/>
      <c r="G18" s="12">
        <f>G13+G14+G15+G16+G17</f>
        <v>548901.72</v>
      </c>
      <c r="I18" s="64" t="s">
        <v>10</v>
      </c>
      <c r="J18" s="65" t="s">
        <v>51</v>
      </c>
      <c r="K18" s="65" t="s">
        <v>11</v>
      </c>
      <c r="L18" s="65" t="s">
        <v>12</v>
      </c>
      <c r="M18" s="65" t="s">
        <v>13</v>
      </c>
    </row>
    <row r="19" spans="2:13" x14ac:dyDescent="0.2">
      <c r="B19" s="4">
        <v>2</v>
      </c>
      <c r="C19" s="13">
        <v>45292</v>
      </c>
      <c r="D19" s="51">
        <f>973857-228</f>
        <v>973629</v>
      </c>
      <c r="E19" s="52">
        <v>836080.88</v>
      </c>
      <c r="F19" s="14">
        <f t="shared" ref="F19:F26" si="0">D19-E19</f>
        <v>137548.12</v>
      </c>
      <c r="G19" s="12">
        <f t="shared" ref="G19:G26" si="1">G18+F19</f>
        <v>686449.84</v>
      </c>
      <c r="I19" s="110">
        <v>45292</v>
      </c>
      <c r="J19" s="67">
        <f>10254+85961</f>
        <v>96215</v>
      </c>
      <c r="K19" s="68">
        <v>96215</v>
      </c>
      <c r="L19" s="69">
        <f>J19-K19</f>
        <v>0</v>
      </c>
      <c r="M19" s="70">
        <f>L19</f>
        <v>0</v>
      </c>
    </row>
    <row r="20" spans="2:13" x14ac:dyDescent="0.2">
      <c r="B20" s="4">
        <v>3</v>
      </c>
      <c r="C20" s="15">
        <v>45323</v>
      </c>
      <c r="D20" s="53">
        <f>651147-215</f>
        <v>650932</v>
      </c>
      <c r="E20" s="54">
        <v>578904.91</v>
      </c>
      <c r="F20" s="16">
        <f t="shared" si="0"/>
        <v>72027.089999999967</v>
      </c>
      <c r="G20" s="17">
        <f t="shared" si="1"/>
        <v>758476.92999999993</v>
      </c>
      <c r="I20" s="111">
        <v>45323</v>
      </c>
      <c r="J20" s="67">
        <f>9715+86409</f>
        <v>96124</v>
      </c>
      <c r="K20" s="68">
        <v>96124</v>
      </c>
      <c r="L20" s="70">
        <f>J20-K20</f>
        <v>0</v>
      </c>
      <c r="M20" s="70">
        <f>M19+L20</f>
        <v>0</v>
      </c>
    </row>
    <row r="21" spans="2:13" x14ac:dyDescent="0.2">
      <c r="B21" s="4">
        <v>4</v>
      </c>
      <c r="C21" s="15">
        <v>45352</v>
      </c>
      <c r="D21" s="53">
        <f>383998-155</f>
        <v>383843</v>
      </c>
      <c r="E21" s="54">
        <v>362309.99</v>
      </c>
      <c r="F21" s="16">
        <f t="shared" si="0"/>
        <v>21533.010000000009</v>
      </c>
      <c r="G21" s="17">
        <f t="shared" si="1"/>
        <v>780009.94</v>
      </c>
      <c r="I21" s="15">
        <v>45352</v>
      </c>
      <c r="J21" s="53">
        <f>6511+59823</f>
        <v>66334</v>
      </c>
      <c r="K21" s="54">
        <v>66334</v>
      </c>
      <c r="L21" s="70">
        <f t="shared" ref="L21:L24" si="2">J21-K21</f>
        <v>0</v>
      </c>
      <c r="M21" s="70">
        <f t="shared" ref="M21:M24" si="3">M20+L21</f>
        <v>0</v>
      </c>
    </row>
    <row r="22" spans="2:13" x14ac:dyDescent="0.2">
      <c r="B22" s="4">
        <v>5</v>
      </c>
      <c r="C22" s="15">
        <v>45383</v>
      </c>
      <c r="D22" s="53">
        <f>400036-214</f>
        <v>399822</v>
      </c>
      <c r="E22" s="54">
        <v>622545.35</v>
      </c>
      <c r="F22" s="16">
        <f t="shared" si="0"/>
        <v>-222723.34999999998</v>
      </c>
      <c r="G22" s="17">
        <f t="shared" si="1"/>
        <v>557286.59</v>
      </c>
      <c r="I22" s="15">
        <v>45383</v>
      </c>
      <c r="J22" s="53">
        <f>7624+69095</f>
        <v>76719</v>
      </c>
      <c r="K22" s="54">
        <v>76719</v>
      </c>
      <c r="L22" s="70">
        <f t="shared" si="2"/>
        <v>0</v>
      </c>
      <c r="M22" s="70">
        <f t="shared" si="3"/>
        <v>0</v>
      </c>
    </row>
    <row r="23" spans="2:13" x14ac:dyDescent="0.2">
      <c r="B23" s="4">
        <v>6</v>
      </c>
      <c r="C23" s="15">
        <v>45413</v>
      </c>
      <c r="D23" s="53">
        <f>591287-273</f>
        <v>591014</v>
      </c>
      <c r="E23" s="54">
        <v>708531.24</v>
      </c>
      <c r="F23" s="16">
        <f t="shared" si="0"/>
        <v>-117517.23999999999</v>
      </c>
      <c r="G23" s="17">
        <f t="shared" si="1"/>
        <v>439769.35</v>
      </c>
      <c r="I23" s="15">
        <v>45413</v>
      </c>
      <c r="J23" s="53">
        <f>10144+97625</f>
        <v>107769</v>
      </c>
      <c r="K23" s="54">
        <v>107769</v>
      </c>
      <c r="L23" s="70">
        <f t="shared" si="2"/>
        <v>0</v>
      </c>
      <c r="M23" s="70">
        <f t="shared" si="3"/>
        <v>0</v>
      </c>
    </row>
    <row r="24" spans="2:13" x14ac:dyDescent="0.2">
      <c r="B24" s="4">
        <v>7</v>
      </c>
      <c r="C24" s="15">
        <v>45444</v>
      </c>
      <c r="D24" s="53">
        <f>845180-332</f>
        <v>844848</v>
      </c>
      <c r="E24" s="54">
        <v>1063018.28</v>
      </c>
      <c r="F24" s="18">
        <f t="shared" si="0"/>
        <v>-218170.28000000003</v>
      </c>
      <c r="G24" s="19">
        <f t="shared" si="1"/>
        <v>221599.06999999995</v>
      </c>
      <c r="I24" s="15">
        <v>45444</v>
      </c>
      <c r="J24" s="53">
        <f>12182+110913</f>
        <v>123095</v>
      </c>
      <c r="K24" s="54">
        <v>123095</v>
      </c>
      <c r="L24" s="72">
        <f t="shared" si="2"/>
        <v>0</v>
      </c>
      <c r="M24" s="72">
        <f t="shared" si="3"/>
        <v>0</v>
      </c>
    </row>
    <row r="25" spans="2:13" x14ac:dyDescent="0.2">
      <c r="B25" s="20" t="s">
        <v>19</v>
      </c>
      <c r="C25" s="13">
        <v>45474</v>
      </c>
      <c r="D25" s="51">
        <f>815724-0</f>
        <v>815724</v>
      </c>
      <c r="E25" s="52">
        <v>981591.65</v>
      </c>
      <c r="F25" s="14">
        <f t="shared" si="0"/>
        <v>-165867.65000000002</v>
      </c>
      <c r="G25" s="12">
        <f t="shared" si="1"/>
        <v>55731.419999999925</v>
      </c>
      <c r="I25" s="13">
        <v>45474</v>
      </c>
      <c r="J25" s="51">
        <f>10959+96627</f>
        <v>107586</v>
      </c>
      <c r="K25" s="52">
        <v>107586</v>
      </c>
      <c r="L25" s="70">
        <f>J25-K25</f>
        <v>0</v>
      </c>
      <c r="M25" s="70">
        <f>M24+L25</f>
        <v>0</v>
      </c>
    </row>
    <row r="26" spans="2:13" x14ac:dyDescent="0.2">
      <c r="B26" s="21" t="s">
        <v>20</v>
      </c>
      <c r="C26" s="22">
        <v>45505</v>
      </c>
      <c r="D26" s="82">
        <f>732721-0</f>
        <v>732721</v>
      </c>
      <c r="E26" s="83">
        <f>922791.36-92125.65</f>
        <v>830665.71</v>
      </c>
      <c r="F26" s="18">
        <f t="shared" si="0"/>
        <v>-97944.709999999963</v>
      </c>
      <c r="G26" s="19">
        <f t="shared" si="1"/>
        <v>-42213.290000000037</v>
      </c>
      <c r="I26" s="22">
        <v>45505</v>
      </c>
      <c r="J26" s="82">
        <f>10187+93974</f>
        <v>104161</v>
      </c>
      <c r="K26" s="83">
        <v>104161</v>
      </c>
      <c r="L26" s="72">
        <f>J26-K26</f>
        <v>0</v>
      </c>
      <c r="M26" s="72">
        <f>M25+L26</f>
        <v>0</v>
      </c>
    </row>
    <row r="27" spans="2:13" x14ac:dyDescent="0.2">
      <c r="B27" s="5"/>
      <c r="C27" s="23" t="s">
        <v>100</v>
      </c>
      <c r="D27" s="24"/>
      <c r="E27" s="24"/>
      <c r="F27" s="24"/>
      <c r="G27" s="25"/>
      <c r="I27" s="73"/>
      <c r="J27" s="73"/>
      <c r="K27" s="73"/>
      <c r="L27" s="73"/>
      <c r="M27" s="73"/>
    </row>
    <row r="28" spans="2:13" x14ac:dyDescent="0.2">
      <c r="B28" s="2"/>
      <c r="C28" s="1"/>
      <c r="D28" s="1"/>
      <c r="E28" s="1"/>
      <c r="F28" s="1"/>
      <c r="G28" s="12"/>
      <c r="I28" s="74" t="s">
        <v>52</v>
      </c>
      <c r="J28" s="75"/>
      <c r="K28" s="75"/>
      <c r="L28" s="76"/>
      <c r="M28" s="77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7"/>
      <c r="I29" s="73"/>
      <c r="J29" s="73"/>
      <c r="K29" s="73"/>
      <c r="L29" s="73"/>
      <c r="M29" s="78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74" t="s">
        <v>53</v>
      </c>
      <c r="J30" s="75"/>
      <c r="K30" s="75"/>
      <c r="L30" s="76"/>
      <c r="M30" s="77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94</v>
      </c>
      <c r="D34" s="12">
        <f>-G13</f>
        <v>-744990</v>
      </c>
      <c r="E34" s="12">
        <f>D68</f>
        <v>496660</v>
      </c>
      <c r="F34" s="1"/>
      <c r="G34" s="12">
        <f t="shared" ref="G34:G38" si="4">D34+E34</f>
        <v>-248330</v>
      </c>
    </row>
    <row r="35" spans="2:7" x14ac:dyDescent="0.2">
      <c r="B35" s="27" t="s">
        <v>35</v>
      </c>
      <c r="C35" s="3" t="s">
        <v>82</v>
      </c>
      <c r="D35" s="17">
        <f>-G14</f>
        <v>-46742.190000000061</v>
      </c>
      <c r="E35" s="17">
        <v>0</v>
      </c>
      <c r="F35" s="3"/>
      <c r="G35" s="17">
        <f t="shared" si="4"/>
        <v>-46742.190000000061</v>
      </c>
    </row>
    <row r="36" spans="2:7" x14ac:dyDescent="0.2">
      <c r="B36" s="27" t="s">
        <v>83</v>
      </c>
      <c r="C36" s="3" t="s">
        <v>88</v>
      </c>
      <c r="D36" s="17">
        <f>-G15</f>
        <v>-147988.00999999989</v>
      </c>
      <c r="E36" s="17">
        <v>0</v>
      </c>
      <c r="F36" s="3"/>
      <c r="G36" s="17">
        <f t="shared" si="4"/>
        <v>-147988.00999999989</v>
      </c>
    </row>
    <row r="37" spans="2:7" x14ac:dyDescent="0.2">
      <c r="B37" s="27" t="s">
        <v>89</v>
      </c>
      <c r="C37" s="3" t="s">
        <v>95</v>
      </c>
      <c r="D37" s="17">
        <f>-G16</f>
        <v>260024.37000000011</v>
      </c>
      <c r="E37" s="17">
        <v>0</v>
      </c>
      <c r="F37" s="3"/>
      <c r="G37" s="17">
        <f t="shared" si="4"/>
        <v>260024.37000000011</v>
      </c>
    </row>
    <row r="38" spans="2:7" x14ac:dyDescent="0.2">
      <c r="B38" s="27" t="s">
        <v>96</v>
      </c>
      <c r="C38" s="28" t="s">
        <v>101</v>
      </c>
      <c r="D38" s="19">
        <f>-G17</f>
        <v>130794.10999999987</v>
      </c>
      <c r="E38" s="19">
        <v>0</v>
      </c>
      <c r="F38" s="28"/>
      <c r="G38" s="19">
        <f t="shared" si="4"/>
        <v>130794.10999999987</v>
      </c>
    </row>
    <row r="39" spans="2:7" x14ac:dyDescent="0.2">
      <c r="B39" s="5" t="s">
        <v>102</v>
      </c>
      <c r="C39" s="29"/>
      <c r="D39" s="30"/>
      <c r="E39" s="30"/>
      <c r="F39" s="31" t="s">
        <v>36</v>
      </c>
      <c r="G39" s="19">
        <f>G34+G35+G36+G37+G38</f>
        <v>-52241.719999999972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103</v>
      </c>
      <c r="D41" s="8"/>
      <c r="E41" s="8"/>
      <c r="F41" s="9"/>
      <c r="G41" s="35">
        <f>G24+G39</f>
        <v>169357.34999999998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77</v>
      </c>
      <c r="D43" s="8"/>
      <c r="E43" s="8"/>
      <c r="F43" s="9"/>
      <c r="G43" s="35">
        <f>G41/6</f>
        <v>28226.224999999995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548901.72</v>
      </c>
    </row>
    <row r="48" spans="2:7" x14ac:dyDescent="0.2">
      <c r="B48" s="4">
        <v>12</v>
      </c>
      <c r="C48" t="s">
        <v>39</v>
      </c>
      <c r="G48" s="42">
        <f>G39</f>
        <v>-52241.719999999972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496660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169357.34999999998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-327302.65000000002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496660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78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124165</v>
      </c>
      <c r="E64" s="16"/>
      <c r="F64" s="33"/>
      <c r="G64" s="33"/>
    </row>
    <row r="65" spans="3:7" x14ac:dyDescent="0.2">
      <c r="C65" s="15">
        <v>45383</v>
      </c>
      <c r="D65" s="17">
        <v>124165</v>
      </c>
      <c r="E65" s="16"/>
      <c r="F65" s="33"/>
      <c r="G65" s="33"/>
    </row>
    <row r="66" spans="3:7" x14ac:dyDescent="0.2">
      <c r="C66" s="15">
        <v>45413</v>
      </c>
      <c r="D66" s="17">
        <v>124165</v>
      </c>
      <c r="E66" s="16"/>
      <c r="F66" s="33"/>
      <c r="G66" s="33"/>
    </row>
    <row r="67" spans="3:7" x14ac:dyDescent="0.2">
      <c r="C67" s="15">
        <v>45444</v>
      </c>
      <c r="D67" s="19">
        <v>124165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496660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F23A-F3FE-4260-BA37-82230789DFE6}">
  <dimension ref="A1:M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Nolin Surcharge Summary.xlsx</v>
      </c>
    </row>
    <row r="4" spans="1:13" ht="14.25" customHeight="1" x14ac:dyDescent="0.2">
      <c r="B4" s="104" t="s">
        <v>48</v>
      </c>
      <c r="C4" s="105"/>
      <c r="D4" s="105"/>
      <c r="E4" s="105"/>
      <c r="F4" s="105"/>
      <c r="G4" s="106"/>
      <c r="I4" s="93" t="s">
        <v>49</v>
      </c>
      <c r="J4" s="94"/>
      <c r="K4" s="94"/>
      <c r="L4" s="94"/>
      <c r="M4" s="95"/>
    </row>
    <row r="5" spans="1:13" ht="14.25" customHeight="1" x14ac:dyDescent="0.2">
      <c r="B5" s="107"/>
      <c r="C5" s="108"/>
      <c r="D5" s="108"/>
      <c r="E5" s="108"/>
      <c r="F5" s="108"/>
      <c r="G5" s="109"/>
      <c r="I5" s="96"/>
      <c r="J5" s="97"/>
      <c r="K5" s="97"/>
      <c r="L5" s="97"/>
      <c r="M5" s="98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0" t="s">
        <v>15</v>
      </c>
      <c r="D12" s="91"/>
      <c r="E12" s="91"/>
      <c r="F12" s="91"/>
      <c r="G12" s="92"/>
    </row>
    <row r="13" spans="1:13" ht="15.75" x14ac:dyDescent="0.25">
      <c r="B13" s="2" t="s">
        <v>16</v>
      </c>
      <c r="C13" s="8" t="s">
        <v>74</v>
      </c>
      <c r="D13" s="8"/>
      <c r="E13" s="8"/>
      <c r="F13" s="9"/>
      <c r="G13" s="35">
        <v>248330</v>
      </c>
      <c r="I13" s="58" t="s">
        <v>50</v>
      </c>
      <c r="J13" s="57"/>
      <c r="K13" s="57"/>
      <c r="L13" s="57"/>
      <c r="M13" s="57"/>
    </row>
    <row r="14" spans="1:13" ht="15" x14ac:dyDescent="0.2">
      <c r="B14" s="4" t="s">
        <v>17</v>
      </c>
      <c r="C14" s="8" t="s">
        <v>79</v>
      </c>
      <c r="D14" s="8"/>
      <c r="E14" s="8"/>
      <c r="F14" s="9"/>
      <c r="G14" s="117">
        <f>'A - 05-31-22'!G33</f>
        <v>46742.190000000061</v>
      </c>
      <c r="I14" s="57"/>
      <c r="J14" s="57"/>
      <c r="K14" s="57"/>
      <c r="L14" s="57"/>
      <c r="M14" s="57"/>
    </row>
    <row r="15" spans="1:13" x14ac:dyDescent="0.2">
      <c r="B15" s="4" t="s">
        <v>80</v>
      </c>
      <c r="C15" s="8" t="s">
        <v>85</v>
      </c>
      <c r="D15" s="8"/>
      <c r="E15" s="8"/>
      <c r="F15" s="9"/>
      <c r="G15" s="117">
        <f>'B - 11-30-22'!G35</f>
        <v>147988.00999999989</v>
      </c>
      <c r="I15" s="59"/>
      <c r="J15" s="59"/>
      <c r="K15" s="60" t="s">
        <v>0</v>
      </c>
      <c r="L15" s="59"/>
      <c r="M15" s="59"/>
    </row>
    <row r="16" spans="1:13" x14ac:dyDescent="0.2">
      <c r="B16" s="4" t="s">
        <v>86</v>
      </c>
      <c r="C16" s="8" t="s">
        <v>91</v>
      </c>
      <c r="D16" s="8"/>
      <c r="E16" s="8"/>
      <c r="F16" s="11"/>
      <c r="G16" s="51">
        <f>'C - 05-31-23'!G37</f>
        <v>-260024.37000000011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 t="s">
        <v>92</v>
      </c>
      <c r="C17" s="8" t="s">
        <v>98</v>
      </c>
      <c r="D17" s="8"/>
      <c r="E17" s="8"/>
      <c r="F17" s="11"/>
      <c r="G17" s="51">
        <f>'D - 11-30-23'!G39</f>
        <v>-130794.10999999987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 t="s">
        <v>99</v>
      </c>
      <c r="C18" s="8" t="s">
        <v>104</v>
      </c>
      <c r="D18" s="8"/>
      <c r="E18" s="8"/>
      <c r="F18" s="11"/>
      <c r="G18" s="51">
        <f>'E - 05-31-24'!G41</f>
        <v>169357.34999999998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5" t="s">
        <v>105</v>
      </c>
      <c r="C19" s="8" t="s">
        <v>18</v>
      </c>
      <c r="D19" s="8"/>
      <c r="E19" s="8"/>
      <c r="F19" s="11"/>
      <c r="G19" s="12">
        <f>G13+G14+G15+G16+G17+G18</f>
        <v>221599.06999999995</v>
      </c>
      <c r="I19" s="64" t="s">
        <v>10</v>
      </c>
      <c r="J19" s="65" t="s">
        <v>51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2</v>
      </c>
      <c r="C20" s="13">
        <v>45474</v>
      </c>
      <c r="D20" s="51">
        <f>815724-0</f>
        <v>815724</v>
      </c>
      <c r="E20" s="52">
        <v>981591.65</v>
      </c>
      <c r="F20" s="14">
        <f t="shared" ref="F20:F27" si="0">D20-E20</f>
        <v>-165867.65000000002</v>
      </c>
      <c r="G20" s="12">
        <f t="shared" ref="G20:G27" si="1">G19+F20</f>
        <v>55731.419999999925</v>
      </c>
      <c r="I20" s="110">
        <v>45474</v>
      </c>
      <c r="J20" s="67">
        <f>10959+96627</f>
        <v>107586</v>
      </c>
      <c r="K20" s="68">
        <v>107586</v>
      </c>
      <c r="L20" s="69">
        <f>J20-K20</f>
        <v>0</v>
      </c>
      <c r="M20" s="70">
        <f>L20</f>
        <v>0</v>
      </c>
    </row>
    <row r="21" spans="2:13" x14ac:dyDescent="0.2">
      <c r="B21" s="4">
        <v>3</v>
      </c>
      <c r="C21" s="15">
        <v>45505</v>
      </c>
      <c r="D21" s="53">
        <f>732721-0</f>
        <v>732721</v>
      </c>
      <c r="E21" s="54">
        <f>922791.36-92125.65</f>
        <v>830665.71</v>
      </c>
      <c r="F21" s="16">
        <f t="shared" si="0"/>
        <v>-97944.709999999963</v>
      </c>
      <c r="G21" s="17">
        <f t="shared" si="1"/>
        <v>-42213.290000000037</v>
      </c>
      <c r="I21" s="111">
        <v>45505</v>
      </c>
      <c r="J21" s="67">
        <f>10187+93974</f>
        <v>104161</v>
      </c>
      <c r="K21" s="68">
        <v>104161</v>
      </c>
      <c r="L21" s="70">
        <f>J21-K21</f>
        <v>0</v>
      </c>
      <c r="M21" s="70">
        <f>M20+L21</f>
        <v>0</v>
      </c>
    </row>
    <row r="22" spans="2:13" x14ac:dyDescent="0.2">
      <c r="B22" s="4">
        <v>4</v>
      </c>
      <c r="C22" s="15">
        <v>45536</v>
      </c>
      <c r="D22" s="53">
        <f>707127-0</f>
        <v>707127</v>
      </c>
      <c r="E22" s="54">
        <v>797339.12</v>
      </c>
      <c r="F22" s="16">
        <f t="shared" si="0"/>
        <v>-90212.12</v>
      </c>
      <c r="G22" s="17">
        <f t="shared" si="1"/>
        <v>-132425.41000000003</v>
      </c>
      <c r="I22" s="15">
        <v>45536</v>
      </c>
      <c r="J22" s="53">
        <f>11898+114297</f>
        <v>126195</v>
      </c>
      <c r="K22" s="54">
        <v>126195</v>
      </c>
      <c r="L22" s="70">
        <f t="shared" ref="L22:L25" si="2">J22-K22</f>
        <v>0</v>
      </c>
      <c r="M22" s="70">
        <f t="shared" ref="M22:M25" si="3">M21+L22</f>
        <v>0</v>
      </c>
    </row>
    <row r="23" spans="2:13" x14ac:dyDescent="0.2">
      <c r="B23" s="4">
        <v>5</v>
      </c>
      <c r="C23" s="15">
        <v>45566</v>
      </c>
      <c r="D23" s="53">
        <f>533404-286</f>
        <v>533118</v>
      </c>
      <c r="E23" s="54">
        <v>593129.13</v>
      </c>
      <c r="F23" s="16">
        <f t="shared" si="0"/>
        <v>-60011.130000000005</v>
      </c>
      <c r="G23" s="17">
        <f t="shared" si="1"/>
        <v>-192436.54000000004</v>
      </c>
      <c r="I23" s="15">
        <v>45566</v>
      </c>
      <c r="J23" s="53">
        <f>10369+96363</f>
        <v>106732</v>
      </c>
      <c r="K23" s="54">
        <v>106732</v>
      </c>
      <c r="L23" s="70">
        <f t="shared" si="2"/>
        <v>0</v>
      </c>
      <c r="M23" s="70">
        <f t="shared" si="3"/>
        <v>0</v>
      </c>
    </row>
    <row r="24" spans="2:13" x14ac:dyDescent="0.2">
      <c r="B24" s="4">
        <v>6</v>
      </c>
      <c r="C24" s="15">
        <v>45597</v>
      </c>
      <c r="D24" s="53">
        <f>630079-304</f>
        <v>629775</v>
      </c>
      <c r="E24" s="54">
        <v>737726.16</v>
      </c>
      <c r="F24" s="16">
        <f t="shared" si="0"/>
        <v>-107951.16000000003</v>
      </c>
      <c r="G24" s="17">
        <f t="shared" si="1"/>
        <v>-300387.70000000007</v>
      </c>
      <c r="I24" s="15">
        <v>45597</v>
      </c>
      <c r="J24" s="53">
        <f>10519+94980</f>
        <v>105499</v>
      </c>
      <c r="K24" s="54">
        <v>105499</v>
      </c>
      <c r="L24" s="70">
        <f t="shared" si="2"/>
        <v>0</v>
      </c>
      <c r="M24" s="70">
        <f t="shared" si="3"/>
        <v>0</v>
      </c>
    </row>
    <row r="25" spans="2:13" x14ac:dyDescent="0.2">
      <c r="B25" s="4">
        <v>7</v>
      </c>
      <c r="C25" s="15">
        <v>45627</v>
      </c>
      <c r="D25" s="53">
        <f>1016264-357</f>
        <v>1015907</v>
      </c>
      <c r="E25" s="54">
        <v>1112913.53</v>
      </c>
      <c r="F25" s="18">
        <f t="shared" si="0"/>
        <v>-97006.530000000028</v>
      </c>
      <c r="G25" s="19">
        <f t="shared" si="1"/>
        <v>-397394.2300000001</v>
      </c>
      <c r="I25" s="15">
        <v>45627</v>
      </c>
      <c r="J25" s="53">
        <f>12230+105864</f>
        <v>118094</v>
      </c>
      <c r="K25" s="54">
        <v>118094</v>
      </c>
      <c r="L25" s="72">
        <f t="shared" si="2"/>
        <v>0</v>
      </c>
      <c r="M25" s="72">
        <f t="shared" si="3"/>
        <v>0</v>
      </c>
    </row>
    <row r="26" spans="2:13" x14ac:dyDescent="0.2">
      <c r="B26" s="20" t="s">
        <v>19</v>
      </c>
      <c r="C26" s="13">
        <v>45658</v>
      </c>
      <c r="D26" s="51">
        <f>1352666-330</f>
        <v>1352336</v>
      </c>
      <c r="E26" s="52">
        <f>1154435.66</f>
        <v>1154435.6599999999</v>
      </c>
      <c r="F26" s="14">
        <f t="shared" si="0"/>
        <v>197900.34000000008</v>
      </c>
      <c r="G26" s="12">
        <f t="shared" si="1"/>
        <v>-199493.89</v>
      </c>
      <c r="I26" s="13">
        <v>45658</v>
      </c>
      <c r="J26" s="51">
        <f>11668+103105</f>
        <v>114773</v>
      </c>
      <c r="K26" s="52">
        <f>114773</f>
        <v>114773</v>
      </c>
      <c r="L26" s="70">
        <f>J26-K26</f>
        <v>0</v>
      </c>
      <c r="M26" s="70">
        <f>M25+L26</f>
        <v>0</v>
      </c>
    </row>
    <row r="27" spans="2:13" x14ac:dyDescent="0.2">
      <c r="B27" s="21" t="s">
        <v>20</v>
      </c>
      <c r="C27" s="22">
        <v>45689</v>
      </c>
      <c r="D27" s="82">
        <f>957727-249</f>
        <v>957478</v>
      </c>
      <c r="E27" s="18">
        <v>0</v>
      </c>
      <c r="F27" s="18">
        <f t="shared" si="0"/>
        <v>957478</v>
      </c>
      <c r="G27" s="19">
        <f t="shared" si="1"/>
        <v>757984.11</v>
      </c>
      <c r="I27" s="22">
        <v>45689</v>
      </c>
      <c r="J27" s="82">
        <f>10359+99981</f>
        <v>110340</v>
      </c>
      <c r="K27" s="18">
        <v>0</v>
      </c>
      <c r="L27" s="72">
        <f>J27-K27</f>
        <v>110340</v>
      </c>
      <c r="M27" s="72">
        <f>M26+L27</f>
        <v>110340</v>
      </c>
    </row>
    <row r="28" spans="2:13" x14ac:dyDescent="0.2">
      <c r="B28" s="5"/>
      <c r="C28" s="23" t="s">
        <v>106</v>
      </c>
      <c r="D28" s="24"/>
      <c r="E28" s="24"/>
      <c r="F28" s="24"/>
      <c r="G28" s="25"/>
      <c r="I28" s="73"/>
      <c r="J28" s="73"/>
      <c r="K28" s="73"/>
      <c r="L28" s="73"/>
      <c r="M28" s="73"/>
    </row>
    <row r="29" spans="2:13" x14ac:dyDescent="0.2">
      <c r="B29" s="2"/>
      <c r="C29" s="1"/>
      <c r="D29" s="1"/>
      <c r="E29" s="1"/>
      <c r="F29" s="1"/>
      <c r="G29" s="12"/>
      <c r="I29" s="74" t="s">
        <v>52</v>
      </c>
      <c r="J29" s="75"/>
      <c r="K29" s="75"/>
      <c r="L29" s="76"/>
      <c r="M29" s="77">
        <f>M25</f>
        <v>0</v>
      </c>
    </row>
    <row r="30" spans="2:13" x14ac:dyDescent="0.2">
      <c r="B30" s="4"/>
      <c r="C30" s="3"/>
      <c r="D30" s="4" t="s">
        <v>21</v>
      </c>
      <c r="E30" s="4" t="s">
        <v>22</v>
      </c>
      <c r="F30" s="3"/>
      <c r="G30" s="17"/>
      <c r="I30" s="73"/>
      <c r="J30" s="73"/>
      <c r="K30" s="73"/>
      <c r="L30" s="73"/>
      <c r="M30" s="78"/>
    </row>
    <row r="31" spans="2:13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74" t="s">
        <v>53</v>
      </c>
      <c r="J31" s="75"/>
      <c r="K31" s="75"/>
      <c r="L31" s="76"/>
      <c r="M31" s="77">
        <f>M29/6</f>
        <v>0</v>
      </c>
    </row>
    <row r="32" spans="2:13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94</v>
      </c>
      <c r="D35" s="12">
        <f t="shared" ref="D35:D40" si="4">-G13</f>
        <v>-248330</v>
      </c>
      <c r="E35" s="12">
        <f>D70</f>
        <v>248330</v>
      </c>
      <c r="F35" s="1"/>
      <c r="G35" s="12">
        <f t="shared" ref="G35:G40" si="5">D35+E35</f>
        <v>0</v>
      </c>
    </row>
    <row r="36" spans="2:7" x14ac:dyDescent="0.2">
      <c r="B36" s="27" t="s">
        <v>35</v>
      </c>
      <c r="C36" s="3" t="s">
        <v>82</v>
      </c>
      <c r="D36" s="17">
        <f t="shared" si="4"/>
        <v>-46742.190000000061</v>
      </c>
      <c r="E36" s="17">
        <v>0</v>
      </c>
      <c r="F36" s="3"/>
      <c r="G36" s="17">
        <f t="shared" si="5"/>
        <v>-46742.190000000061</v>
      </c>
    </row>
    <row r="37" spans="2:7" x14ac:dyDescent="0.2">
      <c r="B37" s="27" t="s">
        <v>83</v>
      </c>
      <c r="C37" s="3" t="s">
        <v>88</v>
      </c>
      <c r="D37" s="17">
        <f t="shared" si="4"/>
        <v>-147988.00999999989</v>
      </c>
      <c r="E37" s="17">
        <v>0</v>
      </c>
      <c r="F37" s="3"/>
      <c r="G37" s="17">
        <f t="shared" si="5"/>
        <v>-147988.00999999989</v>
      </c>
    </row>
    <row r="38" spans="2:7" x14ac:dyDescent="0.2">
      <c r="B38" s="27" t="s">
        <v>89</v>
      </c>
      <c r="C38" s="3" t="s">
        <v>95</v>
      </c>
      <c r="D38" s="17">
        <f t="shared" si="4"/>
        <v>260024.37000000011</v>
      </c>
      <c r="E38" s="17">
        <v>0</v>
      </c>
      <c r="F38" s="3"/>
      <c r="G38" s="17">
        <f t="shared" si="5"/>
        <v>260024.37000000011</v>
      </c>
    </row>
    <row r="39" spans="2:7" x14ac:dyDescent="0.2">
      <c r="B39" s="27" t="s">
        <v>96</v>
      </c>
      <c r="C39" s="3" t="s">
        <v>101</v>
      </c>
      <c r="D39" s="17">
        <f t="shared" si="4"/>
        <v>130794.10999999987</v>
      </c>
      <c r="E39" s="17">
        <v>0</v>
      </c>
      <c r="F39" s="3"/>
      <c r="G39" s="17">
        <f t="shared" si="5"/>
        <v>130794.10999999987</v>
      </c>
    </row>
    <row r="40" spans="2:7" x14ac:dyDescent="0.2">
      <c r="B40" s="27" t="s">
        <v>102</v>
      </c>
      <c r="C40" s="28" t="s">
        <v>107</v>
      </c>
      <c r="D40" s="19">
        <f t="shared" si="4"/>
        <v>-169357.34999999998</v>
      </c>
      <c r="E40" s="19">
        <v>0</v>
      </c>
      <c r="F40" s="28"/>
      <c r="G40" s="19">
        <f t="shared" si="5"/>
        <v>-169357.34999999998</v>
      </c>
    </row>
    <row r="41" spans="2:7" x14ac:dyDescent="0.2">
      <c r="B41" s="5" t="s">
        <v>108</v>
      </c>
      <c r="C41" s="29"/>
      <c r="D41" s="30"/>
      <c r="E41" s="30"/>
      <c r="F41" s="31" t="s">
        <v>36</v>
      </c>
      <c r="G41" s="19">
        <f>G35+G36+G37+G38+G39+G40</f>
        <v>26730.930000000051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109</v>
      </c>
      <c r="D43" s="8"/>
      <c r="E43" s="8"/>
      <c r="F43" s="9"/>
      <c r="G43" s="35">
        <f>G25+G41</f>
        <v>-370663.30000000005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77</v>
      </c>
      <c r="D45" s="8"/>
      <c r="E45" s="8"/>
      <c r="F45" s="9"/>
      <c r="G45" s="35">
        <f>G43/6</f>
        <v>-61777.216666666674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221599.06999999995</v>
      </c>
    </row>
    <row r="50" spans="2:7" x14ac:dyDescent="0.2">
      <c r="B50" s="4">
        <v>12</v>
      </c>
      <c r="C50" t="s">
        <v>39</v>
      </c>
      <c r="G50" s="42">
        <f>G41</f>
        <v>26730.930000000051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248330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-370663.30000000005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-618993.30000000005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248330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78</v>
      </c>
      <c r="E63" s="27"/>
      <c r="F63" s="32"/>
      <c r="G63" s="32"/>
    </row>
    <row r="64" spans="2:7" x14ac:dyDescent="0.2">
      <c r="C64" s="13">
        <v>45474</v>
      </c>
      <c r="D64" s="12">
        <v>124165</v>
      </c>
      <c r="E64" s="16"/>
      <c r="F64" s="33"/>
      <c r="G64" s="33"/>
    </row>
    <row r="65" spans="3:7" x14ac:dyDescent="0.2">
      <c r="C65" s="15">
        <v>45505</v>
      </c>
      <c r="D65" s="17">
        <v>124165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248330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2025-10-15T15:48:51Z</dcterms:modified>
</cp:coreProperties>
</file>