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47686672-726F-4335-91D8-02AE64678D96}" xr6:coauthVersionLast="47" xr6:coauthVersionMax="47" xr10:uidLastSave="{00000000-0000-0000-0000-000000000000}"/>
  <bookViews>
    <workbookView xWindow="4200" yWindow="4200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 s="1"/>
  <c r="D35" i="15"/>
  <c r="G35" i="15" s="1"/>
  <c r="F27" i="15"/>
  <c r="D27" i="15"/>
  <c r="E26" i="15"/>
  <c r="D26" i="15"/>
  <c r="F26" i="15" s="1"/>
  <c r="E25" i="15"/>
  <c r="D25" i="15"/>
  <c r="F25" i="15" s="1"/>
  <c r="D24" i="15"/>
  <c r="F24" i="15" s="1"/>
  <c r="D23" i="15"/>
  <c r="F23" i="15" s="1"/>
  <c r="D22" i="15"/>
  <c r="F22" i="15" s="1"/>
  <c r="D21" i="15"/>
  <c r="F21" i="15" s="1"/>
  <c r="D20" i="15"/>
  <c r="F20" i="15" s="1"/>
  <c r="D68" i="14"/>
  <c r="E34" i="14" s="1"/>
  <c r="D34" i="14"/>
  <c r="G34" i="14" s="1"/>
  <c r="D26" i="14"/>
  <c r="F26" i="14" s="1"/>
  <c r="D25" i="14"/>
  <c r="F25" i="14" s="1"/>
  <c r="D24" i="14"/>
  <c r="F24" i="14" s="1"/>
  <c r="D23" i="14"/>
  <c r="F23" i="14" s="1"/>
  <c r="D22" i="14"/>
  <c r="F22" i="14" s="1"/>
  <c r="D21" i="14"/>
  <c r="F21" i="14" s="1"/>
  <c r="E20" i="14"/>
  <c r="D20" i="14"/>
  <c r="F20" i="14" s="1"/>
  <c r="E19" i="14"/>
  <c r="D19" i="14"/>
  <c r="F19" i="14" s="1"/>
  <c r="D66" i="13"/>
  <c r="E33" i="13"/>
  <c r="D33" i="13"/>
  <c r="G33" i="13" s="1"/>
  <c r="E25" i="13"/>
  <c r="D25" i="13"/>
  <c r="F25" i="13" s="1"/>
  <c r="E24" i="13"/>
  <c r="D24" i="13"/>
  <c r="F24" i="13" s="1"/>
  <c r="D23" i="13"/>
  <c r="F23" i="13" s="1"/>
  <c r="D22" i="13"/>
  <c r="F22" i="13" s="1"/>
  <c r="D21" i="13"/>
  <c r="F21" i="13" s="1"/>
  <c r="F20" i="13"/>
  <c r="E20" i="13"/>
  <c r="D20" i="13"/>
  <c r="D19" i="13"/>
  <c r="F19" i="13" s="1"/>
  <c r="D18" i="13"/>
  <c r="F18" i="13" s="1"/>
  <c r="D64" i="12"/>
  <c r="E32" i="12"/>
  <c r="D32" i="12"/>
  <c r="G32" i="12" s="1"/>
  <c r="D24" i="12"/>
  <c r="F24" i="12" s="1"/>
  <c r="F23" i="12"/>
  <c r="D23" i="12"/>
  <c r="F22" i="12"/>
  <c r="D22" i="12"/>
  <c r="D21" i="12"/>
  <c r="F21" i="12" s="1"/>
  <c r="D20" i="12"/>
  <c r="F20" i="12" s="1"/>
  <c r="F19" i="12"/>
  <c r="D19" i="12"/>
  <c r="F18" i="12"/>
  <c r="D18" i="12"/>
  <c r="D17" i="12"/>
  <c r="F17" i="12" s="1"/>
  <c r="G50" i="12" s="1"/>
  <c r="D62" i="11"/>
  <c r="E31" i="11"/>
  <c r="G31" i="11" s="1"/>
  <c r="D31" i="11"/>
  <c r="F23" i="11"/>
  <c r="F22" i="11"/>
  <c r="F21" i="11"/>
  <c r="F20" i="11"/>
  <c r="F19" i="11"/>
  <c r="F18" i="11"/>
  <c r="F17" i="11"/>
  <c r="F16" i="11"/>
  <c r="G48" i="11" s="1"/>
  <c r="D60" i="10"/>
  <c r="E30" i="10" s="1"/>
  <c r="D30" i="10"/>
  <c r="D22" i="10"/>
  <c r="F22" i="10" s="1"/>
  <c r="D21" i="10"/>
  <c r="F21" i="10" s="1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G46" i="10" s="1"/>
  <c r="G14" i="10"/>
  <c r="G39" i="10" s="1"/>
  <c r="G54" i="14" l="1"/>
  <c r="G56" i="15"/>
  <c r="G52" i="13"/>
  <c r="G30" i="10"/>
  <c r="G31" i="10" s="1"/>
  <c r="G40" i="10" s="1"/>
  <c r="G42" i="10" s="1"/>
  <c r="G15" i="10"/>
  <c r="G16" i="10" s="1"/>
  <c r="G17" i="10" s="1"/>
  <c r="G18" i="10" s="1"/>
  <c r="G19" i="10" s="1"/>
  <c r="G20" i="10" s="1"/>
  <c r="G33" i="10" l="1"/>
  <c r="G21" i="10"/>
  <c r="G22" i="10" s="1"/>
  <c r="G35" i="10" l="1"/>
  <c r="E8" i="9"/>
  <c r="G14" i="13"/>
  <c r="G14" i="11"/>
  <c r="G14" i="15"/>
  <c r="G14" i="12"/>
  <c r="G14" i="14"/>
  <c r="G44" i="10"/>
  <c r="G48" i="10" s="1"/>
  <c r="D36" i="15" l="1"/>
  <c r="G36" i="15" s="1"/>
  <c r="D34" i="13"/>
  <c r="G34" i="13" s="1"/>
  <c r="D35" i="14"/>
  <c r="G35" i="14" s="1"/>
  <c r="D33" i="12"/>
  <c r="G33" i="12" s="1"/>
  <c r="D32" i="11"/>
  <c r="G32" i="11" s="1"/>
  <c r="G33" i="11" s="1"/>
  <c r="G42" i="11" s="1"/>
  <c r="G15" i="11"/>
  <c r="F8" i="9"/>
  <c r="G16" i="11" l="1"/>
  <c r="G17" i="11" s="1"/>
  <c r="G18" i="11" s="1"/>
  <c r="G19" i="11" s="1"/>
  <c r="G20" i="11" s="1"/>
  <c r="G21" i="11" s="1"/>
  <c r="G41" i="11"/>
  <c r="G44" i="11" s="1"/>
  <c r="G35" i="11" l="1"/>
  <c r="G22" i="11"/>
  <c r="G23" i="11" s="1"/>
  <c r="G37" i="11" l="1"/>
  <c r="G15" i="15"/>
  <c r="G15" i="14"/>
  <c r="G15" i="13"/>
  <c r="G46" i="11"/>
  <c r="G50" i="11" s="1"/>
  <c r="G15" i="12"/>
  <c r="E9" i="9"/>
  <c r="F9" i="9" l="1"/>
  <c r="D34" i="12"/>
  <c r="G34" i="12" s="1"/>
  <c r="G35" i="12" s="1"/>
  <c r="G44" i="12" s="1"/>
  <c r="G16" i="12"/>
  <c r="D35" i="13"/>
  <c r="G35" i="13" s="1"/>
  <c r="D36" i="14"/>
  <c r="G36" i="14" s="1"/>
  <c r="D37" i="15"/>
  <c r="G37" i="15" s="1"/>
  <c r="G17" i="12" l="1"/>
  <c r="G18" i="12" s="1"/>
  <c r="G19" i="12" s="1"/>
  <c r="G20" i="12" s="1"/>
  <c r="G21" i="12" s="1"/>
  <c r="G22" i="12" s="1"/>
  <c r="G43" i="12"/>
  <c r="G46" i="12" s="1"/>
  <c r="G37" i="12" l="1"/>
  <c r="G23" i="12"/>
  <c r="G24" i="12" s="1"/>
  <c r="G39" i="12" l="1"/>
  <c r="G16" i="15"/>
  <c r="G48" i="12"/>
  <c r="G52" i="12" s="1"/>
  <c r="E10" i="9"/>
  <c r="G16" i="14"/>
  <c r="G16" i="13"/>
  <c r="D36" i="13" l="1"/>
  <c r="G36" i="13" s="1"/>
  <c r="G37" i="13" s="1"/>
  <c r="G46" i="13" s="1"/>
  <c r="G17" i="13"/>
  <c r="D37" i="14"/>
  <c r="G37" i="14" s="1"/>
  <c r="F10" i="9"/>
  <c r="D38" i="15"/>
  <c r="G38" i="15" s="1"/>
  <c r="G18" i="13" l="1"/>
  <c r="G19" i="13" s="1"/>
  <c r="G20" i="13" s="1"/>
  <c r="G21" i="13" s="1"/>
  <c r="G22" i="13" s="1"/>
  <c r="G23" i="13" s="1"/>
  <c r="G45" i="13"/>
  <c r="G48" i="13" s="1"/>
  <c r="G39" i="13" l="1"/>
  <c r="G24" i="13"/>
  <c r="G25" i="13" s="1"/>
  <c r="G50" i="13" l="1"/>
  <c r="G54" i="13" s="1"/>
  <c r="G17" i="15"/>
  <c r="E11" i="9"/>
  <c r="G41" i="13"/>
  <c r="G17" i="14"/>
  <c r="F11" i="9" l="1"/>
  <c r="D38" i="14"/>
  <c r="G38" i="14" s="1"/>
  <c r="G39" i="14" s="1"/>
  <c r="G48" i="14" s="1"/>
  <c r="G18" i="14"/>
  <c r="D39" i="15"/>
  <c r="G39" i="15" s="1"/>
  <c r="G47" i="14" l="1"/>
  <c r="G50" i="14" s="1"/>
  <c r="G19" i="14"/>
  <c r="G20" i="14" s="1"/>
  <c r="G21" i="14" s="1"/>
  <c r="G22" i="14" s="1"/>
  <c r="G23" i="14" s="1"/>
  <c r="G24" i="14" s="1"/>
  <c r="G41" i="14" l="1"/>
  <c r="G25" i="14"/>
  <c r="G26" i="14" s="1"/>
  <c r="G18" i="15" l="1"/>
  <c r="G43" i="14"/>
  <c r="E12" i="9"/>
  <c r="G52" i="14"/>
  <c r="G56" i="14" s="1"/>
  <c r="F12" i="9" l="1"/>
  <c r="D40" i="15"/>
  <c r="G40" i="15" s="1"/>
  <c r="G41" i="15" s="1"/>
  <c r="G50" i="15" s="1"/>
  <c r="G19" i="15"/>
  <c r="G49" i="15" l="1"/>
  <c r="G52" i="15" s="1"/>
  <c r="G20" i="15"/>
  <c r="G21" i="15" s="1"/>
  <c r="G22" i="15" s="1"/>
  <c r="G23" i="15" s="1"/>
  <c r="G24" i="15" s="1"/>
  <c r="G25" i="15" s="1"/>
  <c r="G26" i="15" l="1"/>
  <c r="G27" i="15" s="1"/>
  <c r="G43" i="15"/>
  <c r="E13" i="9" l="1"/>
  <c r="G54" i="15"/>
  <c r="G58" i="15" s="1"/>
  <c r="G45" i="15"/>
  <c r="F13" i="9" l="1"/>
  <c r="E15" i="9"/>
  <c r="E24" i="9" l="1"/>
  <c r="E22" i="9"/>
  <c r="F15" i="9"/>
  <c r="E21" i="8" l="1"/>
  <c r="D22" i="8"/>
  <c r="D21" i="8"/>
  <c r="D20" i="8"/>
  <c r="D19" i="8"/>
  <c r="D18" i="8"/>
  <c r="D17" i="8"/>
  <c r="D16" i="8"/>
  <c r="E15" i="8"/>
  <c r="D15" i="8"/>
  <c r="G14" i="8"/>
  <c r="D60" i="8" l="1"/>
  <c r="E30" i="8" s="1"/>
  <c r="D30" i="8" l="1"/>
  <c r="F22" i="8"/>
  <c r="F21" i="8"/>
  <c r="F20" i="8"/>
  <c r="F19" i="8"/>
  <c r="F18" i="8"/>
  <c r="F17" i="8"/>
  <c r="F16" i="8"/>
  <c r="F15" i="8"/>
  <c r="G30" i="8" l="1"/>
  <c r="G31" i="8" s="1"/>
  <c r="G46" i="8"/>
  <c r="G40" i="8" l="1"/>
  <c r="G39" i="8" l="1"/>
  <c r="G42" i="8" s="1"/>
  <c r="G15" i="8"/>
  <c r="G16" i="8" s="1"/>
  <c r="G17" i="8" s="1"/>
  <c r="G18" i="8" s="1"/>
  <c r="G19" i="8" s="1"/>
  <c r="G20" i="8" s="1"/>
  <c r="G21" i="8" l="1"/>
  <c r="G22" i="8" s="1"/>
  <c r="G33" i="8"/>
  <c r="G35" i="8" l="1"/>
  <c r="G44" i="8"/>
  <c r="G48" i="8" s="1"/>
</calcChain>
</file>

<file path=xl/sharedStrings.xml><?xml version="1.0" encoding="utf-8"?>
<sst xmlns="http://schemas.openxmlformats.org/spreadsheetml/2006/main" count="481" uniqueCount="105">
  <si>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</si>
  <si>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</si>
  <si>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</si>
  <si>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</si>
  <si>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</si>
  <si>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</si>
  <si>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</si>
  <si>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</si>
  <si>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</si>
  <si>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</si>
  <si>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</si>
  <si>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</si>
  <si>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</si>
  <si>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</si>
  <si>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</si>
  <si>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</si>
  <si>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</si>
  <si>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</si>
  <si>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</si>
  <si>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</si>
  <si>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</si>
  <si>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</si>
  <si>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</si>
  <si>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</si>
  <si>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</si>
  <si>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</si>
  <si>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</si>
  <si>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</si>
  <si>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</si>
  <si>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</si>
  <si>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</si>
  <si>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</si>
  <si>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</si>
  <si>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</si>
  <si>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</si>
  <si>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</si>
  <si>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</si>
  <si>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</si>
  <si>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</si>
  <si>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</si>
  <si>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</si>
  <si>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</si>
  <si>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</si>
  <si>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</si>
  <si>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</si>
  <si>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</si>
  <si>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</si>
  <si>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Licking Valley - Calculation of (Over)/Under Recovery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</si>
  <si>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</si>
  <si>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</si>
  <si>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</si>
  <si>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Cumulative six month (Over)/Under-Recovery [Cumulative net of remaining Case amortizations (Ln 7&amp;8b)]</t>
  </si>
  <si>
    <t>Monthly recovery (per month for six months)</t>
  </si>
  <si>
    <t>2025-00013</t>
  </si>
  <si>
    <t>Staff DR1 Response2 - Licking Valley Surcharge Summary.xlsx</t>
  </si>
  <si>
    <t>Licking Valley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</si>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</sst>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5" fontId="0" fillId="0" borderId="0" xfId="0" applyNumberFormat="1" applyBorder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4" fillId="0" borderId="0" xfId="0" applyFont="1" applyAlignment="1">
      <alignment horizontal="center"/>
    </xf>
    <xf numFmtId="0" fontId="0" fillId="0" borderId="10" xfId="0" applyBorder="1"/>
    <xf numFmtId="5" fontId="0" fillId="3" borderId="9" xfId="0" applyNumberFormat="1" applyFill="1" applyBorder="1"/>
    <xf numFmtId="5" fontId="0" fillId="3" borderId="5" xfId="0" applyNumberForma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tabSelected="1"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8" x14ac:dyDescent="0.2">
      <c r="A1" t="s">
        <v>54</v>
      </c>
    </row>
    <row r="4" spans="1:8" ht="14.25" customHeight="1" x14ac:dyDescent="0.2">
      <c r="B4" s="62" t="s">
        <v>47</v>
      </c>
      <c r="C4" s="63"/>
      <c r="D4" s="63"/>
      <c r="E4" s="63"/>
      <c r="F4" s="63"/>
      <c r="G4" s="64"/>
    </row>
    <row r="5" spans="1:8" ht="14.25" customHeight="1" x14ac:dyDescent="0.2">
      <c r="B5" s="65"/>
      <c r="C5" s="66"/>
      <c r="D5" s="66"/>
      <c r="E5" s="66"/>
      <c r="F5" s="66"/>
      <c r="G5" s="67"/>
    </row>
    <row r="7" spans="1:8" x14ac:dyDescent="0.2">
      <c r="B7" s="1"/>
      <c r="C7" s="1"/>
      <c r="D7" s="1"/>
      <c r="E7" s="2" t="s">
        <v>0</v>
      </c>
      <c r="F7" s="1"/>
      <c r="G7" s="1"/>
    </row>
    <row r="8" spans="1:8" x14ac:dyDescent="0.2">
      <c r="B8" s="3"/>
      <c r="C8" s="3"/>
      <c r="D8" s="4" t="s">
        <v>1</v>
      </c>
      <c r="E8" s="4" t="s">
        <v>2</v>
      </c>
      <c r="F8" s="3"/>
      <c r="G8" s="3"/>
    </row>
    <row r="9" spans="1:8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8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8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8" x14ac:dyDescent="0.2">
      <c r="A12" s="58"/>
      <c r="B12" s="2">
        <v>1</v>
      </c>
      <c r="C12" s="68" t="s">
        <v>15</v>
      </c>
      <c r="D12" s="69"/>
      <c r="E12" s="69"/>
      <c r="F12" s="69"/>
      <c r="G12" s="70"/>
      <c r="H12" s="58"/>
    </row>
    <row r="13" spans="1:8" x14ac:dyDescent="0.2">
      <c r="A13" s="32"/>
      <c r="B13" s="2" t="s">
        <v>16</v>
      </c>
      <c r="C13" s="8" t="s">
        <v>48</v>
      </c>
      <c r="D13" s="8"/>
      <c r="E13" s="8"/>
      <c r="F13" s="9"/>
      <c r="G13" s="10">
        <v>-641389</v>
      </c>
      <c r="H13" s="32"/>
    </row>
    <row r="14" spans="1:8" x14ac:dyDescent="0.2">
      <c r="B14" s="5" t="s">
        <v>17</v>
      </c>
      <c r="C14" s="8" t="s">
        <v>18</v>
      </c>
      <c r="D14" s="8"/>
      <c r="E14" s="8"/>
      <c r="F14" s="11"/>
      <c r="G14" s="12">
        <f>G13</f>
        <v>-641389</v>
      </c>
    </row>
    <row r="15" spans="1:8" x14ac:dyDescent="0.2">
      <c r="B15" s="4">
        <v>2</v>
      </c>
      <c r="C15" s="13">
        <v>45658</v>
      </c>
      <c r="D15" s="51">
        <f>582010-61</f>
        <v>581949</v>
      </c>
      <c r="E15" s="52">
        <f>484135.86</f>
        <v>484135.86</v>
      </c>
      <c r="F15" s="14">
        <f t="shared" ref="F15:F22" si="0">D15-E15</f>
        <v>97813.140000000014</v>
      </c>
      <c r="G15" s="12">
        <f t="shared" ref="G15:G22" si="1">G14+F15</f>
        <v>-543575.86</v>
      </c>
    </row>
    <row r="16" spans="1:8" x14ac:dyDescent="0.2">
      <c r="B16" s="4">
        <v>3</v>
      </c>
      <c r="C16" s="15">
        <v>45689</v>
      </c>
      <c r="D16" s="53">
        <f>408407-46</f>
        <v>408361</v>
      </c>
      <c r="E16" s="54">
        <v>364742.57</v>
      </c>
      <c r="F16" s="16">
        <f t="shared" si="0"/>
        <v>43618.429999999993</v>
      </c>
      <c r="G16" s="17">
        <f t="shared" si="1"/>
        <v>-499957.43</v>
      </c>
    </row>
    <row r="17" spans="2:7" x14ac:dyDescent="0.2">
      <c r="B17" s="4">
        <v>4</v>
      </c>
      <c r="C17" s="15">
        <v>45717</v>
      </c>
      <c r="D17" s="53">
        <f>193493-26</f>
        <v>193467</v>
      </c>
      <c r="E17" s="54">
        <v>170055.84</v>
      </c>
      <c r="F17" s="16">
        <f t="shared" si="0"/>
        <v>23411.160000000003</v>
      </c>
      <c r="G17" s="17">
        <f t="shared" si="1"/>
        <v>-476546.27</v>
      </c>
    </row>
    <row r="18" spans="2:7" x14ac:dyDescent="0.2">
      <c r="B18" s="4">
        <v>5</v>
      </c>
      <c r="C18" s="15">
        <v>45748</v>
      </c>
      <c r="D18" s="53">
        <f>205420-36</f>
        <v>205384</v>
      </c>
      <c r="E18" s="54">
        <v>227152.52</v>
      </c>
      <c r="F18" s="16">
        <f t="shared" si="0"/>
        <v>-21768.51999999999</v>
      </c>
      <c r="G18" s="17">
        <f t="shared" si="1"/>
        <v>-498314.79000000004</v>
      </c>
    </row>
    <row r="19" spans="2:7" x14ac:dyDescent="0.2">
      <c r="B19" s="4">
        <v>6</v>
      </c>
      <c r="C19" s="15">
        <v>45778</v>
      </c>
      <c r="D19" s="53">
        <f>267300-54</f>
        <v>267246</v>
      </c>
      <c r="E19" s="54">
        <v>348361.14</v>
      </c>
      <c r="F19" s="16">
        <f t="shared" si="0"/>
        <v>-81115.140000000014</v>
      </c>
      <c r="G19" s="17">
        <f t="shared" si="1"/>
        <v>-579429.93000000005</v>
      </c>
    </row>
    <row r="20" spans="2:7" x14ac:dyDescent="0.2">
      <c r="B20" s="4">
        <v>7</v>
      </c>
      <c r="C20" s="15">
        <v>45809</v>
      </c>
      <c r="D20" s="53">
        <f>384435-65</f>
        <v>384370</v>
      </c>
      <c r="E20" s="54">
        <v>452751.2</v>
      </c>
      <c r="F20" s="18">
        <f t="shared" si="0"/>
        <v>-68381.200000000012</v>
      </c>
      <c r="G20" s="19">
        <f t="shared" si="1"/>
        <v>-647811.13000000012</v>
      </c>
    </row>
    <row r="21" spans="2:7" x14ac:dyDescent="0.2">
      <c r="B21" s="20" t="s">
        <v>19</v>
      </c>
      <c r="C21" s="13">
        <v>45839</v>
      </c>
      <c r="D21" s="51">
        <f>488482-0</f>
        <v>488482</v>
      </c>
      <c r="E21" s="52">
        <f>511100.86</f>
        <v>511100.86</v>
      </c>
      <c r="F21" s="14">
        <f t="shared" si="0"/>
        <v>-22618.859999999986</v>
      </c>
      <c r="G21" s="12">
        <f t="shared" si="1"/>
        <v>-670429.99000000011</v>
      </c>
    </row>
    <row r="22" spans="2:7" x14ac:dyDescent="0.2">
      <c r="B22" s="21" t="s">
        <v>20</v>
      </c>
      <c r="C22" s="22">
        <v>45870</v>
      </c>
      <c r="D22" s="60">
        <f>390911-0</f>
        <v>390911</v>
      </c>
      <c r="E22" s="61">
        <v>302057.78999999998</v>
      </c>
      <c r="F22" s="18">
        <f t="shared" si="0"/>
        <v>88853.210000000021</v>
      </c>
      <c r="G22" s="19">
        <f t="shared" si="1"/>
        <v>-581576.78</v>
      </c>
    </row>
    <row r="23" spans="2:7" x14ac:dyDescent="0.2">
      <c r="B23" s="5"/>
      <c r="C23" s="23" t="s">
        <v>49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0" t="s">
        <v>34</v>
      </c>
      <c r="C30" s="59" t="s">
        <v>50</v>
      </c>
      <c r="D30" s="35">
        <f>-G13</f>
        <v>641389</v>
      </c>
      <c r="E30" s="35">
        <f>D60</f>
        <v>0</v>
      </c>
      <c r="F30" s="59"/>
      <c r="G30" s="35">
        <f t="shared" ref="G30" si="2">D30+E30</f>
        <v>641389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641389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51</v>
      </c>
      <c r="D33" s="8"/>
      <c r="E33" s="8"/>
      <c r="F33" s="9"/>
      <c r="G33" s="35">
        <f>G20+G31</f>
        <v>-6422.1300000001211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52</v>
      </c>
      <c r="D35" s="8"/>
      <c r="E35" s="8"/>
      <c r="F35" s="9"/>
      <c r="G35" s="35">
        <f>G33/6</f>
        <v>-1070.3550000000203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-641389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641389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-6422.1300000001211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-6422.1300000000047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-1.1641532182693481E-10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56"/>
      <c r="G52" s="56"/>
    </row>
    <row r="53" spans="2:7" x14ac:dyDescent="0.2">
      <c r="B53" s="32"/>
      <c r="C53" s="5" t="s">
        <v>10</v>
      </c>
      <c r="D53" s="5" t="s">
        <v>53</v>
      </c>
      <c r="E53" s="27"/>
      <c r="F53" s="56"/>
      <c r="G53" s="56"/>
    </row>
    <row r="54" spans="2:7" x14ac:dyDescent="0.2">
      <c r="C54" s="13">
        <v>45658</v>
      </c>
      <c r="D54" s="46">
        <v>0</v>
      </c>
      <c r="E54" s="57"/>
      <c r="F54" s="55"/>
      <c r="G54" s="55"/>
    </row>
    <row r="55" spans="2:7" x14ac:dyDescent="0.2">
      <c r="C55" s="15">
        <v>45689</v>
      </c>
      <c r="D55" s="47">
        <v>0</v>
      </c>
      <c r="E55" s="57"/>
      <c r="F55" s="55"/>
      <c r="G55" s="55"/>
    </row>
    <row r="56" spans="2:7" x14ac:dyDescent="0.2">
      <c r="C56" s="15">
        <v>45717</v>
      </c>
      <c r="D56" s="47">
        <v>0</v>
      </c>
      <c r="E56" s="57"/>
      <c r="F56" s="55"/>
      <c r="G56" s="55"/>
    </row>
    <row r="57" spans="2:7" x14ac:dyDescent="0.2">
      <c r="C57" s="15">
        <v>45748</v>
      </c>
      <c r="D57" s="47">
        <v>0</v>
      </c>
      <c r="E57" s="57"/>
      <c r="F57" s="55"/>
      <c r="G57" s="55"/>
    </row>
    <row r="58" spans="2:7" x14ac:dyDescent="0.2">
      <c r="C58" s="15">
        <v>45778</v>
      </c>
      <c r="D58" s="47">
        <v>0</v>
      </c>
      <c r="E58" s="57"/>
      <c r="F58" s="55"/>
      <c r="G58" s="55"/>
    </row>
    <row r="59" spans="2:7" x14ac:dyDescent="0.2">
      <c r="C59" s="15">
        <v>45809</v>
      </c>
      <c r="D59" s="48">
        <v>0</v>
      </c>
      <c r="E59" s="57"/>
      <c r="F59" s="55"/>
      <c r="G59" s="55"/>
    </row>
    <row r="60" spans="2:7" x14ac:dyDescent="0.2">
      <c r="C60" s="49" t="s">
        <v>46</v>
      </c>
      <c r="D60" s="35">
        <f>SUM(D54:D59)</f>
        <v>0</v>
      </c>
      <c r="E60" s="16"/>
      <c r="F60" s="55"/>
      <c r="G60" s="55"/>
    </row>
  </sheetData>
  <mergeCells count="2">
    <mergeCell ref="B4:G5"/>
    <mergeCell ref="C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74F8-BE9F-4DCA-87D5-354BBA02C176}">
  <dimension ref="A1:F25"/>
  <sheetViews>
    <sheetView workbookViewId="0">
      <selection activeCell="A2" sqref="A2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Response2 - Licking Valley Surcharge Summary.xlsx</v>
      </c>
    </row>
    <row r="3" spans="1:6" ht="15" x14ac:dyDescent="0.25">
      <c r="C3" s="71" t="s">
        <v>55</v>
      </c>
      <c r="D3" s="71"/>
      <c r="E3" s="71"/>
    </row>
    <row r="4" spans="1:6" ht="15" x14ac:dyDescent="0.25">
      <c r="B4" s="71" t="s">
        <v>56</v>
      </c>
      <c r="C4" s="71"/>
      <c r="D4" s="71"/>
      <c r="E4" s="71"/>
      <c r="F4" s="71"/>
    </row>
    <row r="6" spans="1:6" ht="15" thickBot="1" x14ac:dyDescent="0.25">
      <c r="E6" s="72" t="s">
        <v>57</v>
      </c>
    </row>
    <row r="7" spans="1:6" x14ac:dyDescent="0.2">
      <c r="B7" t="s">
        <v>58</v>
      </c>
    </row>
    <row r="8" spans="1:6" x14ac:dyDescent="0.2">
      <c r="B8" t="s">
        <v>59</v>
      </c>
      <c r="E8" s="73">
        <f>'A - 05-31-22'!G33</f>
        <v>24917.820000000007</v>
      </c>
      <c r="F8" s="74" t="str">
        <f>IF(E8&gt;0,"Under-Recovery","Over-Recovery")</f>
        <v>Under-Recovery</v>
      </c>
    </row>
    <row r="9" spans="1:6" x14ac:dyDescent="0.2">
      <c r="B9" t="s">
        <v>60</v>
      </c>
      <c r="E9" s="73">
        <f>'B - 11-30-22'!G35</f>
        <v>129772.79000000001</v>
      </c>
      <c r="F9" s="74" t="str">
        <f t="shared" ref="F9:F13" si="0">IF(E9&gt;0,"Under-Recovery","Over-Recovery")</f>
        <v>Under-Recovery</v>
      </c>
    </row>
    <row r="10" spans="1:6" x14ac:dyDescent="0.2">
      <c r="B10" t="s">
        <v>61</v>
      </c>
      <c r="E10" s="73">
        <f>'C - 05-31-23'!G37</f>
        <v>-68242.749999999971</v>
      </c>
      <c r="F10" s="74" t="str">
        <f t="shared" si="0"/>
        <v>Over-Recovery</v>
      </c>
    </row>
    <row r="11" spans="1:6" x14ac:dyDescent="0.2">
      <c r="B11" t="s">
        <v>62</v>
      </c>
      <c r="E11" s="73">
        <f>'D - 11-30-23'!G39</f>
        <v>-170919.55999999997</v>
      </c>
      <c r="F11" s="74" t="str">
        <f t="shared" si="0"/>
        <v>Over-Recovery</v>
      </c>
    </row>
    <row r="12" spans="1:6" x14ac:dyDescent="0.2">
      <c r="B12" t="s">
        <v>63</v>
      </c>
      <c r="E12" s="73">
        <f>'E - 05-31-24'!G41</f>
        <v>-208967.38999999993</v>
      </c>
      <c r="F12" s="74" t="str">
        <f t="shared" si="0"/>
        <v>Over-Recovery</v>
      </c>
    </row>
    <row r="13" spans="1:6" x14ac:dyDescent="0.2">
      <c r="B13" t="s">
        <v>64</v>
      </c>
      <c r="E13" s="73">
        <f>'F - 11-30-24'!G43</f>
        <v>-347950.28</v>
      </c>
      <c r="F13" s="74" t="str">
        <f t="shared" si="0"/>
        <v>Over-Recovery</v>
      </c>
    </row>
    <row r="14" spans="1:6" x14ac:dyDescent="0.2">
      <c r="E14" s="73"/>
    </row>
    <row r="15" spans="1:6" ht="15" thickBot="1" x14ac:dyDescent="0.25">
      <c r="B15" t="s">
        <v>65</v>
      </c>
      <c r="E15" s="75">
        <f>SUM(E8:E13)</f>
        <v>-641389.36999999988</v>
      </c>
      <c r="F15" s="74" t="str">
        <f>IF(E15&gt;0,"Under-Recovery","Over-Recovery")</f>
        <v>Over-Recovery</v>
      </c>
    </row>
    <row r="16" spans="1:6" ht="15" thickTop="1" x14ac:dyDescent="0.2"/>
    <row r="20" spans="2:6" ht="15" x14ac:dyDescent="0.25">
      <c r="B20" s="71" t="s">
        <v>66</v>
      </c>
      <c r="C20" s="71"/>
      <c r="D20" s="71"/>
      <c r="E20" s="71"/>
      <c r="F20" s="71"/>
    </row>
    <row r="22" spans="2:6" x14ac:dyDescent="0.2">
      <c r="B22" t="s">
        <v>67</v>
      </c>
      <c r="E22" s="73">
        <f>ROUND(E15/6,0)</f>
        <v>-106898</v>
      </c>
    </row>
    <row r="23" spans="2:6" x14ac:dyDescent="0.2">
      <c r="E23" s="73"/>
    </row>
    <row r="24" spans="2:6" x14ac:dyDescent="0.2">
      <c r="B24" t="s">
        <v>68</v>
      </c>
      <c r="E24" s="73">
        <f>ROUND(E15/12,0)</f>
        <v>-53449</v>
      </c>
    </row>
    <row r="25" spans="2:6" x14ac:dyDescent="0.2">
      <c r="E25" s="73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FF65-706D-491D-9C0C-6F4420F0413B}">
  <dimension ref="A1:G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Response2 - Licking Valley Surcharge Summary.xlsx</v>
      </c>
    </row>
    <row r="4" spans="1:7" ht="14.25" customHeight="1" x14ac:dyDescent="0.2">
      <c r="B4" s="76" t="s">
        <v>47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-62743</v>
      </c>
    </row>
    <row r="14" spans="1:7" x14ac:dyDescent="0.2">
      <c r="B14" s="5" t="s">
        <v>17</v>
      </c>
      <c r="C14" s="8" t="s">
        <v>18</v>
      </c>
      <c r="D14" s="8"/>
      <c r="E14" s="8"/>
      <c r="F14" s="11"/>
      <c r="G14" s="12">
        <f>G13</f>
        <v>-62743</v>
      </c>
    </row>
    <row r="15" spans="1:7" x14ac:dyDescent="0.2">
      <c r="B15" s="4">
        <v>2</v>
      </c>
      <c r="C15" s="13">
        <v>44562</v>
      </c>
      <c r="D15" s="51">
        <f>307247-20</f>
        <v>307227</v>
      </c>
      <c r="E15" s="52">
        <v>316255.46000000002</v>
      </c>
      <c r="F15" s="14">
        <f t="shared" ref="F15:F22" si="0">D15-E15</f>
        <v>-9028.460000000021</v>
      </c>
      <c r="G15" s="12">
        <f t="shared" ref="G15:G22" si="1">G14+F15</f>
        <v>-71771.460000000021</v>
      </c>
    </row>
    <row r="16" spans="1:7" x14ac:dyDescent="0.2">
      <c r="B16" s="4">
        <v>3</v>
      </c>
      <c r="C16" s="15">
        <v>44593</v>
      </c>
      <c r="D16" s="53">
        <f>243942-20</f>
        <v>243922</v>
      </c>
      <c r="E16" s="54">
        <v>208294.31</v>
      </c>
      <c r="F16" s="16">
        <f t="shared" si="0"/>
        <v>35627.69</v>
      </c>
      <c r="G16" s="17">
        <f t="shared" si="1"/>
        <v>-36143.770000000019</v>
      </c>
    </row>
    <row r="17" spans="2:7" x14ac:dyDescent="0.2">
      <c r="B17" s="4">
        <v>4</v>
      </c>
      <c r="C17" s="15">
        <v>44621</v>
      </c>
      <c r="D17" s="53">
        <f>167221-16</f>
        <v>167205</v>
      </c>
      <c r="E17" s="54">
        <v>150046.07999999999</v>
      </c>
      <c r="F17" s="16">
        <f t="shared" si="0"/>
        <v>17158.920000000013</v>
      </c>
      <c r="G17" s="17">
        <f t="shared" si="1"/>
        <v>-18984.850000000006</v>
      </c>
    </row>
    <row r="18" spans="2:7" x14ac:dyDescent="0.2">
      <c r="B18" s="4">
        <v>5</v>
      </c>
      <c r="C18" s="15">
        <v>44652</v>
      </c>
      <c r="D18" s="53">
        <f>191132-25</f>
        <v>191107</v>
      </c>
      <c r="E18" s="54">
        <v>192426.88</v>
      </c>
      <c r="F18" s="16">
        <f t="shared" si="0"/>
        <v>-1319.8800000000047</v>
      </c>
      <c r="G18" s="17">
        <f t="shared" si="1"/>
        <v>-20304.73000000001</v>
      </c>
    </row>
    <row r="19" spans="2:7" x14ac:dyDescent="0.2">
      <c r="B19" s="4">
        <v>6</v>
      </c>
      <c r="C19" s="15">
        <v>44682</v>
      </c>
      <c r="D19" s="53">
        <f>203167-28</f>
        <v>203139</v>
      </c>
      <c r="E19" s="54">
        <v>212905.02</v>
      </c>
      <c r="F19" s="16">
        <f t="shared" si="0"/>
        <v>-9766.0199999999895</v>
      </c>
      <c r="G19" s="17">
        <f t="shared" si="1"/>
        <v>-30070.75</v>
      </c>
    </row>
    <row r="20" spans="2:7" x14ac:dyDescent="0.2">
      <c r="B20" s="4">
        <v>7</v>
      </c>
      <c r="C20" s="15">
        <v>44713</v>
      </c>
      <c r="D20" s="53">
        <f>278395-33</f>
        <v>278362</v>
      </c>
      <c r="E20" s="54">
        <v>286116.43</v>
      </c>
      <c r="F20" s="18">
        <f t="shared" si="0"/>
        <v>-7754.429999999993</v>
      </c>
      <c r="G20" s="19">
        <f t="shared" si="1"/>
        <v>-37825.179999999993</v>
      </c>
    </row>
    <row r="21" spans="2:7" x14ac:dyDescent="0.2">
      <c r="B21" s="20" t="s">
        <v>19</v>
      </c>
      <c r="C21" s="13">
        <v>44743</v>
      </c>
      <c r="D21" s="51">
        <f>317919-33</f>
        <v>317886</v>
      </c>
      <c r="E21" s="52">
        <v>209481.85</v>
      </c>
      <c r="F21" s="14">
        <f t="shared" si="0"/>
        <v>108404.15</v>
      </c>
      <c r="G21" s="12">
        <f t="shared" si="1"/>
        <v>70578.97</v>
      </c>
    </row>
    <row r="22" spans="2:7" x14ac:dyDescent="0.2">
      <c r="B22" s="21" t="s">
        <v>20</v>
      </c>
      <c r="C22" s="22">
        <v>44774</v>
      </c>
      <c r="D22" s="60">
        <f>247868-28</f>
        <v>247840</v>
      </c>
      <c r="E22" s="61">
        <v>225393.66</v>
      </c>
      <c r="F22" s="18">
        <f t="shared" si="0"/>
        <v>22446.339999999997</v>
      </c>
      <c r="G22" s="19">
        <f t="shared" si="1"/>
        <v>93025.31</v>
      </c>
    </row>
    <row r="23" spans="2:7" x14ac:dyDescent="0.2">
      <c r="B23" s="5"/>
      <c r="C23" s="23" t="s">
        <v>70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" t="s">
        <v>34</v>
      </c>
      <c r="C30" s="59" t="s">
        <v>71</v>
      </c>
      <c r="D30" s="35">
        <f>-G13</f>
        <v>62743</v>
      </c>
      <c r="E30" s="35">
        <f>D60</f>
        <v>0</v>
      </c>
      <c r="F30" s="59"/>
      <c r="G30" s="35">
        <f>D30+E30</f>
        <v>62743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62743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51</v>
      </c>
      <c r="D33" s="8"/>
      <c r="E33" s="8"/>
      <c r="F33" s="9"/>
      <c r="G33" s="35">
        <f>G20+G31</f>
        <v>24917.820000000007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72</v>
      </c>
      <c r="D35" s="8"/>
      <c r="E35" s="8"/>
      <c r="F35" s="9"/>
      <c r="G35" s="35">
        <f>G33/6</f>
        <v>4152.9700000000012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-62743</v>
      </c>
    </row>
    <row r="40" spans="2:7" x14ac:dyDescent="0.2">
      <c r="B40" s="4">
        <v>12</v>
      </c>
      <c r="C40" t="s">
        <v>39</v>
      </c>
      <c r="G40" s="42">
        <f>G31</f>
        <v>62743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24917.820000000007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24917.820000000007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73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C9D2-03F3-40C8-811B-C95F162EB2D1}">
  <dimension ref="A1:G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'Current 05-31-25'!$A$1</f>
        <v>Staff DR1 Response2 - Licking Valley Surcharge Summary.xlsx</v>
      </c>
    </row>
    <row r="4" spans="1:7" ht="14.25" customHeight="1" x14ac:dyDescent="0.2">
      <c r="B4" s="76" t="s">
        <v>47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-62743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24917.820000000007</v>
      </c>
    </row>
    <row r="15" spans="1:7" x14ac:dyDescent="0.2">
      <c r="B15" s="5" t="s">
        <v>75</v>
      </c>
      <c r="C15" s="8" t="s">
        <v>18</v>
      </c>
      <c r="D15" s="8"/>
      <c r="E15" s="8"/>
      <c r="F15" s="11"/>
      <c r="G15" s="12">
        <f>G13+G14</f>
        <v>-37825.179999999993</v>
      </c>
    </row>
    <row r="16" spans="1:7" x14ac:dyDescent="0.2">
      <c r="B16" s="4">
        <v>2</v>
      </c>
      <c r="C16" s="13">
        <v>44743</v>
      </c>
      <c r="D16" s="51">
        <v>317886</v>
      </c>
      <c r="E16" s="52">
        <v>209481.85</v>
      </c>
      <c r="F16" s="14">
        <f t="shared" ref="F16:F23" si="0">D16-E16</f>
        <v>108404.15</v>
      </c>
      <c r="G16" s="12">
        <f t="shared" ref="G16:G23" si="1">G15+F16</f>
        <v>70578.97</v>
      </c>
    </row>
    <row r="17" spans="2:7" x14ac:dyDescent="0.2">
      <c r="B17" s="4">
        <v>3</v>
      </c>
      <c r="C17" s="15">
        <v>44774</v>
      </c>
      <c r="D17" s="53">
        <v>247840</v>
      </c>
      <c r="E17" s="54">
        <v>225393.66</v>
      </c>
      <c r="F17" s="16">
        <f t="shared" si="0"/>
        <v>22446.339999999997</v>
      </c>
      <c r="G17" s="17">
        <f t="shared" si="1"/>
        <v>93025.31</v>
      </c>
    </row>
    <row r="18" spans="2:7" x14ac:dyDescent="0.2">
      <c r="B18" s="4">
        <v>4</v>
      </c>
      <c r="C18" s="15">
        <v>44805</v>
      </c>
      <c r="D18" s="53">
        <v>169982</v>
      </c>
      <c r="E18" s="54">
        <v>152257.16</v>
      </c>
      <c r="F18" s="16">
        <f t="shared" si="0"/>
        <v>17724.839999999997</v>
      </c>
      <c r="G18" s="17">
        <f t="shared" si="1"/>
        <v>110750.15</v>
      </c>
    </row>
    <row r="19" spans="2:7" x14ac:dyDescent="0.2">
      <c r="B19" s="4">
        <v>5</v>
      </c>
      <c r="C19" s="15">
        <v>44835</v>
      </c>
      <c r="D19" s="53">
        <v>210651</v>
      </c>
      <c r="E19" s="54">
        <v>205083.93</v>
      </c>
      <c r="F19" s="16">
        <f t="shared" si="0"/>
        <v>5567.070000000007</v>
      </c>
      <c r="G19" s="17">
        <f t="shared" si="1"/>
        <v>116317.22</v>
      </c>
    </row>
    <row r="20" spans="2:7" x14ac:dyDescent="0.2">
      <c r="B20" s="4">
        <v>6</v>
      </c>
      <c r="C20" s="15">
        <v>44866</v>
      </c>
      <c r="D20" s="53">
        <v>265031</v>
      </c>
      <c r="E20" s="54">
        <v>312026.09999999998</v>
      </c>
      <c r="F20" s="16">
        <f t="shared" si="0"/>
        <v>-46995.099999999977</v>
      </c>
      <c r="G20" s="17">
        <f t="shared" si="1"/>
        <v>69322.120000000024</v>
      </c>
    </row>
    <row r="21" spans="2:7" x14ac:dyDescent="0.2">
      <c r="B21" s="4">
        <v>7</v>
      </c>
      <c r="C21" s="15">
        <v>44896</v>
      </c>
      <c r="D21" s="53">
        <v>376758</v>
      </c>
      <c r="E21" s="54">
        <v>354132.51</v>
      </c>
      <c r="F21" s="18">
        <f t="shared" si="0"/>
        <v>22625.489999999991</v>
      </c>
      <c r="G21" s="19">
        <f t="shared" si="1"/>
        <v>91947.610000000015</v>
      </c>
    </row>
    <row r="22" spans="2:7" x14ac:dyDescent="0.2">
      <c r="B22" s="20" t="s">
        <v>19</v>
      </c>
      <c r="C22" s="13">
        <v>44927</v>
      </c>
      <c r="D22" s="51">
        <v>294510</v>
      </c>
      <c r="E22" s="52">
        <v>270416.78999999998</v>
      </c>
      <c r="F22" s="14">
        <f t="shared" si="0"/>
        <v>24093.210000000021</v>
      </c>
      <c r="G22" s="12">
        <f t="shared" si="1"/>
        <v>116040.82000000004</v>
      </c>
    </row>
    <row r="23" spans="2:7" x14ac:dyDescent="0.2">
      <c r="B23" s="21" t="s">
        <v>20</v>
      </c>
      <c r="C23" s="22">
        <v>44958</v>
      </c>
      <c r="D23" s="60">
        <v>150490</v>
      </c>
      <c r="E23" s="61">
        <v>144821.29999999999</v>
      </c>
      <c r="F23" s="18">
        <f t="shared" si="0"/>
        <v>5668.7000000000116</v>
      </c>
      <c r="G23" s="19">
        <f t="shared" si="1"/>
        <v>121709.52000000005</v>
      </c>
    </row>
    <row r="24" spans="2:7" x14ac:dyDescent="0.2">
      <c r="B24" s="5"/>
      <c r="C24" s="23" t="s">
        <v>76</v>
      </c>
      <c r="D24" s="24"/>
      <c r="E24" s="24"/>
      <c r="F24" s="24"/>
      <c r="G24" s="25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21</v>
      </c>
      <c r="E26" s="4" t="s">
        <v>22</v>
      </c>
      <c r="F26" s="3"/>
      <c r="G26" s="17"/>
    </row>
    <row r="27" spans="2:7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</row>
    <row r="28" spans="2:7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7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7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7" x14ac:dyDescent="0.2">
      <c r="B31" s="20" t="s">
        <v>34</v>
      </c>
      <c r="C31" s="1" t="s">
        <v>71</v>
      </c>
      <c r="D31" s="12">
        <f>-G13</f>
        <v>62743</v>
      </c>
      <c r="E31" s="12">
        <f>D62</f>
        <v>0</v>
      </c>
      <c r="F31" s="1"/>
      <c r="G31" s="12">
        <f>D31+E31</f>
        <v>62743</v>
      </c>
    </row>
    <row r="32" spans="2:7" x14ac:dyDescent="0.2">
      <c r="B32" s="27" t="s">
        <v>35</v>
      </c>
      <c r="C32" s="28" t="s">
        <v>77</v>
      </c>
      <c r="D32" s="19">
        <f>-G14</f>
        <v>-24917.820000000007</v>
      </c>
      <c r="E32" s="19">
        <v>0</v>
      </c>
      <c r="F32" s="28"/>
      <c r="G32" s="19">
        <f>D32+E32</f>
        <v>-24917.820000000007</v>
      </c>
    </row>
    <row r="33" spans="2:7" x14ac:dyDescent="0.2">
      <c r="B33" s="5" t="s">
        <v>78</v>
      </c>
      <c r="C33" s="29"/>
      <c r="D33" s="30"/>
      <c r="E33" s="30"/>
      <c r="F33" s="31" t="s">
        <v>36</v>
      </c>
      <c r="G33" s="19">
        <f>G31+G32</f>
        <v>37825.179999999993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79</v>
      </c>
      <c r="D35" s="8"/>
      <c r="E35" s="8"/>
      <c r="F35" s="9"/>
      <c r="G35" s="35">
        <f>G21+G33</f>
        <v>129772.79000000001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72</v>
      </c>
      <c r="D37" s="8"/>
      <c r="E37" s="8"/>
      <c r="F37" s="9"/>
      <c r="G37" s="35">
        <f>G35/6</f>
        <v>21628.798333333336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-37825.179999999993</v>
      </c>
    </row>
    <row r="42" spans="2:7" x14ac:dyDescent="0.2">
      <c r="B42" s="4">
        <v>12</v>
      </c>
      <c r="C42" t="s">
        <v>39</v>
      </c>
      <c r="G42" s="42">
        <f>G33</f>
        <v>37825.179999999993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129772.79000000001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129772.79000000001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73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78EE-4273-4F11-89BD-8060D9927CA4}">
  <dimension ref="A1:G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Response2 - Licking Valley Surcharge Summary.xlsx</v>
      </c>
    </row>
    <row r="4" spans="1:7" ht="14.25" customHeight="1" x14ac:dyDescent="0.2">
      <c r="B4" s="76" t="s">
        <v>47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-62743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24917.820000000007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2">
        <f>'B - 11-30-22'!G35</f>
        <v>129772.79000000001</v>
      </c>
    </row>
    <row r="16" spans="1:7" x14ac:dyDescent="0.2">
      <c r="B16" s="5" t="s">
        <v>81</v>
      </c>
      <c r="C16" s="8" t="s">
        <v>18</v>
      </c>
      <c r="D16" s="8"/>
      <c r="E16" s="8"/>
      <c r="F16" s="11"/>
      <c r="G16" s="12">
        <f>G13+G14+G15</f>
        <v>91947.610000000015</v>
      </c>
    </row>
    <row r="17" spans="2:7" x14ac:dyDescent="0.2">
      <c r="B17" s="4">
        <v>2</v>
      </c>
      <c r="C17" s="13">
        <v>44927</v>
      </c>
      <c r="D17" s="51">
        <f>294536-26</f>
        <v>294510</v>
      </c>
      <c r="E17" s="52">
        <v>270416.78999999998</v>
      </c>
      <c r="F17" s="14">
        <f t="shared" ref="F17:F24" si="0">D17-E17</f>
        <v>24093.210000000021</v>
      </c>
      <c r="G17" s="12">
        <f t="shared" ref="G17:G24" si="1">G16+F17</f>
        <v>116040.82000000004</v>
      </c>
    </row>
    <row r="18" spans="2:7" x14ac:dyDescent="0.2">
      <c r="B18" s="4">
        <v>3</v>
      </c>
      <c r="C18" s="15">
        <v>44958</v>
      </c>
      <c r="D18" s="53">
        <f>150508-18</f>
        <v>150490</v>
      </c>
      <c r="E18" s="54">
        <v>144821.29999999999</v>
      </c>
      <c r="F18" s="16">
        <f t="shared" si="0"/>
        <v>5668.7000000000116</v>
      </c>
      <c r="G18" s="17">
        <f t="shared" si="1"/>
        <v>121709.52000000005</v>
      </c>
    </row>
    <row r="19" spans="2:7" x14ac:dyDescent="0.2">
      <c r="B19" s="4">
        <v>4</v>
      </c>
      <c r="C19" s="15">
        <v>44986</v>
      </c>
      <c r="D19" s="53">
        <f>192449-24</f>
        <v>192425</v>
      </c>
      <c r="E19" s="54">
        <v>198162.23</v>
      </c>
      <c r="F19" s="16">
        <f t="shared" si="0"/>
        <v>-5737.2300000000105</v>
      </c>
      <c r="G19" s="17">
        <f t="shared" si="1"/>
        <v>115972.29000000004</v>
      </c>
    </row>
    <row r="20" spans="2:7" x14ac:dyDescent="0.2">
      <c r="B20" s="4">
        <v>5</v>
      </c>
      <c r="C20" s="15">
        <v>45017</v>
      </c>
      <c r="D20" s="53">
        <f>198026-34</f>
        <v>197992</v>
      </c>
      <c r="E20" s="54">
        <v>217558.49</v>
      </c>
      <c r="F20" s="16">
        <f t="shared" si="0"/>
        <v>-19566.489999999991</v>
      </c>
      <c r="G20" s="17">
        <f t="shared" si="1"/>
        <v>96405.800000000047</v>
      </c>
    </row>
    <row r="21" spans="2:7" x14ac:dyDescent="0.2">
      <c r="B21" s="4">
        <v>6</v>
      </c>
      <c r="C21" s="15">
        <v>45047</v>
      </c>
      <c r="D21" s="53">
        <f>192675-34</f>
        <v>192641</v>
      </c>
      <c r="E21" s="54">
        <v>205922.57</v>
      </c>
      <c r="F21" s="16">
        <f t="shared" si="0"/>
        <v>-13281.570000000007</v>
      </c>
      <c r="G21" s="17">
        <f t="shared" si="1"/>
        <v>83124.23000000004</v>
      </c>
    </row>
    <row r="22" spans="2:7" x14ac:dyDescent="0.2">
      <c r="B22" s="4">
        <v>7</v>
      </c>
      <c r="C22" s="15">
        <v>45078</v>
      </c>
      <c r="D22" s="53">
        <f>219895-42</f>
        <v>219853</v>
      </c>
      <c r="E22" s="54">
        <v>279272.37</v>
      </c>
      <c r="F22" s="18">
        <f t="shared" si="0"/>
        <v>-59419.369999999995</v>
      </c>
      <c r="G22" s="19">
        <f t="shared" si="1"/>
        <v>23704.860000000044</v>
      </c>
    </row>
    <row r="23" spans="2:7" x14ac:dyDescent="0.2">
      <c r="B23" s="20" t="s">
        <v>19</v>
      </c>
      <c r="C23" s="13">
        <v>45108</v>
      </c>
      <c r="D23" s="51">
        <f>301162-43</f>
        <v>301119</v>
      </c>
      <c r="E23" s="52">
        <v>302018.61</v>
      </c>
      <c r="F23" s="14">
        <f t="shared" si="0"/>
        <v>-899.60999999998603</v>
      </c>
      <c r="G23" s="12">
        <f t="shared" si="1"/>
        <v>22805.250000000058</v>
      </c>
    </row>
    <row r="24" spans="2:7" x14ac:dyDescent="0.2">
      <c r="B24" s="21" t="s">
        <v>20</v>
      </c>
      <c r="C24" s="22">
        <v>45139</v>
      </c>
      <c r="D24" s="60">
        <f>305694-0</f>
        <v>305694</v>
      </c>
      <c r="E24" s="61">
        <v>283143.06</v>
      </c>
      <c r="F24" s="18">
        <f t="shared" si="0"/>
        <v>22550.940000000002</v>
      </c>
      <c r="G24" s="19">
        <f t="shared" si="1"/>
        <v>45356.190000000061</v>
      </c>
    </row>
    <row r="25" spans="2:7" x14ac:dyDescent="0.2">
      <c r="B25" s="5"/>
      <c r="C25" s="23" t="s">
        <v>82</v>
      </c>
      <c r="D25" s="24"/>
      <c r="E25" s="24"/>
      <c r="F25" s="24"/>
      <c r="G25" s="25"/>
    </row>
    <row r="26" spans="2:7" x14ac:dyDescent="0.2">
      <c r="B26" s="2"/>
      <c r="C26" s="1"/>
      <c r="D26" s="1"/>
      <c r="E26" s="1"/>
      <c r="F26" s="1"/>
      <c r="G26" s="12"/>
    </row>
    <row r="27" spans="2:7" x14ac:dyDescent="0.2">
      <c r="B27" s="4"/>
      <c r="C27" s="3"/>
      <c r="D27" s="4" t="s">
        <v>21</v>
      </c>
      <c r="E27" s="4" t="s">
        <v>22</v>
      </c>
      <c r="F27" s="3"/>
      <c r="G27" s="17"/>
    </row>
    <row r="28" spans="2:7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</row>
    <row r="29" spans="2:7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7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7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7" x14ac:dyDescent="0.2">
      <c r="B32" s="20" t="s">
        <v>34</v>
      </c>
      <c r="C32" s="1" t="s">
        <v>71</v>
      </c>
      <c r="D32" s="12">
        <f>-G13</f>
        <v>62743</v>
      </c>
      <c r="E32" s="12">
        <f>D64</f>
        <v>0</v>
      </c>
      <c r="F32" s="1"/>
      <c r="G32" s="12">
        <f t="shared" ref="G32:G34" si="2">D32+E32</f>
        <v>62743</v>
      </c>
    </row>
    <row r="33" spans="2:7" x14ac:dyDescent="0.2">
      <c r="B33" s="27" t="s">
        <v>35</v>
      </c>
      <c r="C33" s="83" t="s">
        <v>77</v>
      </c>
      <c r="D33" s="17">
        <f>-G14</f>
        <v>-24917.820000000007</v>
      </c>
      <c r="E33" s="17">
        <v>0</v>
      </c>
      <c r="F33" s="3"/>
      <c r="G33" s="17">
        <f t="shared" si="2"/>
        <v>-24917.820000000007</v>
      </c>
    </row>
    <row r="34" spans="2:7" x14ac:dyDescent="0.2">
      <c r="B34" s="27" t="s">
        <v>78</v>
      </c>
      <c r="C34" s="45" t="s">
        <v>83</v>
      </c>
      <c r="D34" s="19">
        <f>-G15</f>
        <v>-129772.79000000001</v>
      </c>
      <c r="E34" s="19">
        <v>0</v>
      </c>
      <c r="F34" s="28"/>
      <c r="G34" s="19">
        <f t="shared" si="2"/>
        <v>-129772.79000000001</v>
      </c>
    </row>
    <row r="35" spans="2:7" x14ac:dyDescent="0.2">
      <c r="B35" s="5" t="s">
        <v>84</v>
      </c>
      <c r="C35" s="29"/>
      <c r="D35" s="30"/>
      <c r="E35" s="30"/>
      <c r="F35" s="31" t="s">
        <v>36</v>
      </c>
      <c r="G35" s="19">
        <f>G32+G33+G34</f>
        <v>-91947.610000000015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85</v>
      </c>
      <c r="D37" s="8"/>
      <c r="E37" s="8"/>
      <c r="F37" s="9"/>
      <c r="G37" s="35">
        <f>G22+G35</f>
        <v>-68242.749999999971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72</v>
      </c>
      <c r="D39" s="8"/>
      <c r="E39" s="8"/>
      <c r="F39" s="9"/>
      <c r="G39" s="35">
        <f>G37/6</f>
        <v>-11373.791666666662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91947.610000000015</v>
      </c>
    </row>
    <row r="44" spans="2:7" x14ac:dyDescent="0.2">
      <c r="B44" s="4">
        <v>12</v>
      </c>
      <c r="C44" t="s">
        <v>39</v>
      </c>
      <c r="G44" s="42">
        <f>G35</f>
        <v>-91947.610000000015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-68242.749999999971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-68242.749999999971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73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E0B4-A909-4365-B6CC-A58DE33D3151}">
  <dimension ref="A1:G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Response2 - Licking Valley Surcharge Summary.xlsx</v>
      </c>
    </row>
    <row r="4" spans="1:7" ht="14.25" customHeight="1" x14ac:dyDescent="0.2">
      <c r="B4" s="76" t="s">
        <v>47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-62743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24917.820000000007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2">
        <f>'B - 11-30-22'!G35</f>
        <v>129772.79000000001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-68242.749999999971</v>
      </c>
    </row>
    <row r="17" spans="2:7" x14ac:dyDescent="0.2">
      <c r="B17" s="5" t="s">
        <v>87</v>
      </c>
      <c r="C17" s="8" t="s">
        <v>18</v>
      </c>
      <c r="D17" s="8"/>
      <c r="E17" s="8"/>
      <c r="F17" s="11"/>
      <c r="G17" s="12">
        <f>G13+G14+G15+G16</f>
        <v>23704.860000000044</v>
      </c>
    </row>
    <row r="18" spans="2:7" x14ac:dyDescent="0.2">
      <c r="B18" s="4">
        <v>2</v>
      </c>
      <c r="C18" s="13">
        <v>45108</v>
      </c>
      <c r="D18" s="51">
        <f>301162-43</f>
        <v>301119</v>
      </c>
      <c r="E18" s="52">
        <v>302018.61</v>
      </c>
      <c r="F18" s="14">
        <f t="shared" ref="F18:F25" si="0">D18-E18</f>
        <v>-899.60999999998603</v>
      </c>
      <c r="G18" s="12">
        <f t="shared" ref="G18:G25" si="1">G17+F18</f>
        <v>22805.250000000058</v>
      </c>
    </row>
    <row r="19" spans="2:7" x14ac:dyDescent="0.2">
      <c r="B19" s="4">
        <v>3</v>
      </c>
      <c r="C19" s="15">
        <v>45139</v>
      </c>
      <c r="D19" s="53">
        <f>305694-0</f>
        <v>305694</v>
      </c>
      <c r="E19" s="54">
        <v>283143.06</v>
      </c>
      <c r="F19" s="16">
        <f t="shared" si="0"/>
        <v>22550.940000000002</v>
      </c>
      <c r="G19" s="17">
        <f t="shared" si="1"/>
        <v>45356.190000000061</v>
      </c>
    </row>
    <row r="20" spans="2:7" x14ac:dyDescent="0.2">
      <c r="B20" s="4">
        <v>4</v>
      </c>
      <c r="C20" s="15">
        <v>45170</v>
      </c>
      <c r="D20" s="53">
        <f>241147-0</f>
        <v>241147</v>
      </c>
      <c r="E20" s="54">
        <f>232322.4</f>
        <v>232322.4</v>
      </c>
      <c r="F20" s="16">
        <f t="shared" si="0"/>
        <v>8824.6000000000058</v>
      </c>
      <c r="G20" s="17">
        <f t="shared" si="1"/>
        <v>54180.790000000066</v>
      </c>
    </row>
    <row r="21" spans="2:7" x14ac:dyDescent="0.2">
      <c r="B21" s="4">
        <v>5</v>
      </c>
      <c r="C21" s="15">
        <v>45200</v>
      </c>
      <c r="D21" s="53">
        <f>242948-35</f>
        <v>242913</v>
      </c>
      <c r="E21" s="54">
        <v>273662.25</v>
      </c>
      <c r="F21" s="16">
        <f t="shared" si="0"/>
        <v>-30749.25</v>
      </c>
      <c r="G21" s="17">
        <f t="shared" si="1"/>
        <v>23431.540000000066</v>
      </c>
    </row>
    <row r="22" spans="2:7" x14ac:dyDescent="0.2">
      <c r="B22" s="4">
        <v>6</v>
      </c>
      <c r="C22" s="15">
        <v>45231</v>
      </c>
      <c r="D22" s="53">
        <f>346985-42</f>
        <v>346943</v>
      </c>
      <c r="E22" s="54">
        <v>381989.54</v>
      </c>
      <c r="F22" s="16">
        <f t="shared" si="0"/>
        <v>-35046.539999999979</v>
      </c>
      <c r="G22" s="17">
        <f t="shared" si="1"/>
        <v>-11614.999999999913</v>
      </c>
    </row>
    <row r="23" spans="2:7" x14ac:dyDescent="0.2">
      <c r="B23" s="4">
        <v>7</v>
      </c>
      <c r="C23" s="15">
        <v>45261</v>
      </c>
      <c r="D23" s="53">
        <f>376943-43</f>
        <v>376900</v>
      </c>
      <c r="E23" s="54">
        <v>512499.7</v>
      </c>
      <c r="F23" s="18">
        <f t="shared" si="0"/>
        <v>-135599.70000000001</v>
      </c>
      <c r="G23" s="19">
        <f t="shared" si="1"/>
        <v>-147214.69999999992</v>
      </c>
    </row>
    <row r="24" spans="2:7" x14ac:dyDescent="0.2">
      <c r="B24" s="20" t="s">
        <v>19</v>
      </c>
      <c r="C24" s="13">
        <v>45292</v>
      </c>
      <c r="D24" s="51">
        <f>433865-40</f>
        <v>433825</v>
      </c>
      <c r="E24" s="52">
        <f>406685.88</f>
        <v>406685.88</v>
      </c>
      <c r="F24" s="14">
        <f t="shared" si="0"/>
        <v>27139.119999999995</v>
      </c>
      <c r="G24" s="12">
        <f t="shared" si="1"/>
        <v>-120075.57999999993</v>
      </c>
    </row>
    <row r="25" spans="2:7" x14ac:dyDescent="0.2">
      <c r="B25" s="21" t="s">
        <v>20</v>
      </c>
      <c r="C25" s="22">
        <v>45323</v>
      </c>
      <c r="D25" s="60">
        <f>338691-38</f>
        <v>338653</v>
      </c>
      <c r="E25" s="61">
        <f>325655.79</f>
        <v>325655.78999999998</v>
      </c>
      <c r="F25" s="18">
        <f t="shared" si="0"/>
        <v>12997.210000000021</v>
      </c>
      <c r="G25" s="19">
        <f t="shared" si="1"/>
        <v>-107078.36999999991</v>
      </c>
    </row>
    <row r="26" spans="2:7" x14ac:dyDescent="0.2">
      <c r="B26" s="5"/>
      <c r="C26" s="23" t="s">
        <v>88</v>
      </c>
      <c r="D26" s="24"/>
      <c r="E26" s="24"/>
      <c r="F26" s="24"/>
      <c r="G26" s="25"/>
    </row>
    <row r="27" spans="2:7" x14ac:dyDescent="0.2">
      <c r="B27" s="2"/>
      <c r="C27" s="1"/>
      <c r="D27" s="1"/>
      <c r="E27" s="1"/>
      <c r="F27" s="1"/>
      <c r="G27" s="12"/>
    </row>
    <row r="28" spans="2:7" x14ac:dyDescent="0.2">
      <c r="B28" s="4"/>
      <c r="C28" s="3"/>
      <c r="D28" s="4" t="s">
        <v>21</v>
      </c>
      <c r="E28" s="4" t="s">
        <v>22</v>
      </c>
      <c r="F28" s="3"/>
      <c r="G28" s="17"/>
    </row>
    <row r="29" spans="2:7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</row>
    <row r="30" spans="2:7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7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7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84" t="s">
        <v>89</v>
      </c>
      <c r="D33" s="85">
        <f>-G13</f>
        <v>62743</v>
      </c>
      <c r="E33" s="85">
        <f>D66</f>
        <v>0</v>
      </c>
      <c r="F33" s="39"/>
      <c r="G33" s="86">
        <f t="shared" ref="G33:G36" si="2">D33+E33</f>
        <v>62743</v>
      </c>
    </row>
    <row r="34" spans="2:7" x14ac:dyDescent="0.2">
      <c r="B34" s="27" t="s">
        <v>35</v>
      </c>
      <c r="C34" s="87" t="s">
        <v>77</v>
      </c>
      <c r="D34" s="33">
        <f>-G14</f>
        <v>-24917.820000000007</v>
      </c>
      <c r="E34" s="33">
        <v>0</v>
      </c>
      <c r="G34" s="41">
        <f t="shared" si="2"/>
        <v>-24917.820000000007</v>
      </c>
    </row>
    <row r="35" spans="2:7" x14ac:dyDescent="0.2">
      <c r="B35" s="27" t="s">
        <v>78</v>
      </c>
      <c r="C35" s="87" t="s">
        <v>83</v>
      </c>
      <c r="D35" s="33">
        <f>-G15</f>
        <v>-129772.79000000001</v>
      </c>
      <c r="E35" s="33">
        <v>0</v>
      </c>
      <c r="G35" s="41">
        <f t="shared" si="2"/>
        <v>-129772.79000000001</v>
      </c>
    </row>
    <row r="36" spans="2:7" x14ac:dyDescent="0.2">
      <c r="B36" s="27" t="s">
        <v>84</v>
      </c>
      <c r="C36" s="88" t="s">
        <v>90</v>
      </c>
      <c r="D36" s="89">
        <f>-G16</f>
        <v>68242.749999999971</v>
      </c>
      <c r="E36" s="89">
        <v>0</v>
      </c>
      <c r="F36" s="44"/>
      <c r="G36" s="42">
        <f t="shared" si="2"/>
        <v>68242.749999999971</v>
      </c>
    </row>
    <row r="37" spans="2:7" x14ac:dyDescent="0.2">
      <c r="B37" s="5" t="s">
        <v>91</v>
      </c>
      <c r="C37" s="29"/>
      <c r="D37" s="30"/>
      <c r="E37" s="30"/>
      <c r="F37" s="31" t="s">
        <v>36</v>
      </c>
      <c r="G37" s="19">
        <f>G33+G34+G35+G36</f>
        <v>-23704.860000000044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92</v>
      </c>
      <c r="D39" s="8"/>
      <c r="E39" s="8"/>
      <c r="F39" s="9"/>
      <c r="G39" s="35">
        <f>G23+G37</f>
        <v>-170919.55999999997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72</v>
      </c>
      <c r="D41" s="8"/>
      <c r="E41" s="8"/>
      <c r="F41" s="9"/>
      <c r="G41" s="35">
        <f>G39/6</f>
        <v>-28486.593333333327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23704.860000000044</v>
      </c>
    </row>
    <row r="46" spans="2:7" x14ac:dyDescent="0.2">
      <c r="B46" s="4">
        <v>12</v>
      </c>
      <c r="C46" t="s">
        <v>39</v>
      </c>
      <c r="G46" s="42">
        <f>G37</f>
        <v>-23704.860000000044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-170919.55999999997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-170919.55999999997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73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1A7C-1D3C-461B-A79B-3DF633203DDA}">
  <dimension ref="A1:G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Response2 - Licking Valley Surcharge Summary.xlsx</v>
      </c>
    </row>
    <row r="4" spans="1:7" ht="14.25" customHeight="1" x14ac:dyDescent="0.2">
      <c r="B4" s="76" t="s">
        <v>47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-62743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24917.820000000007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2">
        <f>'B - 11-30-22'!G35</f>
        <v>129772.79000000001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-68242.749999999971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1">
        <f>'D - 11-30-23'!G39</f>
        <v>-170919.55999999997</v>
      </c>
    </row>
    <row r="18" spans="2:7" x14ac:dyDescent="0.2">
      <c r="B18" s="5" t="s">
        <v>94</v>
      </c>
      <c r="C18" s="8" t="s">
        <v>18</v>
      </c>
      <c r="D18" s="8"/>
      <c r="E18" s="8"/>
      <c r="F18" s="11"/>
      <c r="G18" s="12">
        <f>G13+G14+G15+G16+G17</f>
        <v>-147214.69999999992</v>
      </c>
    </row>
    <row r="19" spans="2:7" x14ac:dyDescent="0.2">
      <c r="B19" s="4">
        <v>2</v>
      </c>
      <c r="C19" s="13">
        <v>45292</v>
      </c>
      <c r="D19" s="51">
        <f>433865-40</f>
        <v>433825</v>
      </c>
      <c r="E19" s="52">
        <f>406685.88</f>
        <v>406685.88</v>
      </c>
      <c r="F19" s="14">
        <f t="shared" ref="F19:F26" si="0">D19-E19</f>
        <v>27139.119999999995</v>
      </c>
      <c r="G19" s="12">
        <f t="shared" ref="G19:G26" si="1">G18+F19</f>
        <v>-120075.57999999993</v>
      </c>
    </row>
    <row r="20" spans="2:7" x14ac:dyDescent="0.2">
      <c r="B20" s="4">
        <v>3</v>
      </c>
      <c r="C20" s="15">
        <v>45323</v>
      </c>
      <c r="D20" s="53">
        <f>338691-38</f>
        <v>338653</v>
      </c>
      <c r="E20" s="54">
        <f>325655.79</f>
        <v>325655.78999999998</v>
      </c>
      <c r="F20" s="16">
        <f t="shared" si="0"/>
        <v>12997.210000000021</v>
      </c>
      <c r="G20" s="17">
        <f t="shared" si="1"/>
        <v>-107078.36999999991</v>
      </c>
    </row>
    <row r="21" spans="2:7" x14ac:dyDescent="0.2">
      <c r="B21" s="4">
        <v>4</v>
      </c>
      <c r="C21" s="15">
        <v>45352</v>
      </c>
      <c r="D21" s="53">
        <f>205908-27</f>
        <v>205881</v>
      </c>
      <c r="E21" s="54">
        <v>230578.78</v>
      </c>
      <c r="F21" s="16">
        <f t="shared" si="0"/>
        <v>-24697.78</v>
      </c>
      <c r="G21" s="17">
        <f t="shared" si="1"/>
        <v>-131776.14999999991</v>
      </c>
    </row>
    <row r="22" spans="2:7" x14ac:dyDescent="0.2">
      <c r="B22" s="4">
        <v>5</v>
      </c>
      <c r="C22" s="15">
        <v>45383</v>
      </c>
      <c r="D22" s="53">
        <f>217145-38</f>
        <v>217107</v>
      </c>
      <c r="E22" s="54">
        <v>264945.46999999997</v>
      </c>
      <c r="F22" s="16">
        <f t="shared" si="0"/>
        <v>-47838.469999999972</v>
      </c>
      <c r="G22" s="17">
        <f t="shared" si="1"/>
        <v>-179614.61999999988</v>
      </c>
    </row>
    <row r="23" spans="2:7" x14ac:dyDescent="0.2">
      <c r="B23" s="4">
        <v>6</v>
      </c>
      <c r="C23" s="15">
        <v>45413</v>
      </c>
      <c r="D23" s="53">
        <f>297864-47</f>
        <v>297817</v>
      </c>
      <c r="E23" s="54">
        <v>334623.90999999997</v>
      </c>
      <c r="F23" s="16">
        <f t="shared" si="0"/>
        <v>-36806.909999999974</v>
      </c>
      <c r="G23" s="17">
        <f t="shared" si="1"/>
        <v>-216421.52999999985</v>
      </c>
    </row>
    <row r="24" spans="2:7" x14ac:dyDescent="0.2">
      <c r="B24" s="4">
        <v>7</v>
      </c>
      <c r="C24" s="15">
        <v>45444</v>
      </c>
      <c r="D24" s="53">
        <f>403074-57</f>
        <v>403017</v>
      </c>
      <c r="E24" s="54">
        <v>500949.56</v>
      </c>
      <c r="F24" s="18">
        <f t="shared" si="0"/>
        <v>-97932.56</v>
      </c>
      <c r="G24" s="19">
        <f t="shared" si="1"/>
        <v>-314354.08999999985</v>
      </c>
    </row>
    <row r="25" spans="2:7" x14ac:dyDescent="0.2">
      <c r="B25" s="20" t="s">
        <v>19</v>
      </c>
      <c r="C25" s="13">
        <v>45474</v>
      </c>
      <c r="D25" s="51">
        <f>383217-0</f>
        <v>383217</v>
      </c>
      <c r="E25" s="52">
        <v>454387.04</v>
      </c>
      <c r="F25" s="14">
        <f t="shared" si="0"/>
        <v>-71170.039999999979</v>
      </c>
      <c r="G25" s="12">
        <f t="shared" si="1"/>
        <v>-385524.12999999983</v>
      </c>
    </row>
    <row r="26" spans="2:7" x14ac:dyDescent="0.2">
      <c r="B26" s="21" t="s">
        <v>20</v>
      </c>
      <c r="C26" s="22">
        <v>45505</v>
      </c>
      <c r="D26" s="60">
        <f>323447-0</f>
        <v>323447</v>
      </c>
      <c r="E26" s="61">
        <v>351793.82</v>
      </c>
      <c r="F26" s="18">
        <f t="shared" si="0"/>
        <v>-28346.820000000007</v>
      </c>
      <c r="G26" s="19">
        <f t="shared" si="1"/>
        <v>-413870.94999999984</v>
      </c>
    </row>
    <row r="27" spans="2:7" x14ac:dyDescent="0.2">
      <c r="B27" s="5"/>
      <c r="C27" s="23" t="s">
        <v>95</v>
      </c>
      <c r="D27" s="24"/>
      <c r="E27" s="24"/>
      <c r="F27" s="24"/>
      <c r="G27" s="25"/>
    </row>
    <row r="28" spans="2:7" x14ac:dyDescent="0.2">
      <c r="B28" s="2"/>
      <c r="C28" s="1"/>
      <c r="D28" s="1"/>
      <c r="E28" s="1"/>
      <c r="F28" s="1"/>
      <c r="G28" s="12"/>
    </row>
    <row r="29" spans="2:7" x14ac:dyDescent="0.2">
      <c r="B29" s="4"/>
      <c r="C29" s="3"/>
      <c r="D29" s="4" t="s">
        <v>21</v>
      </c>
      <c r="E29" s="4" t="s">
        <v>22</v>
      </c>
      <c r="F29" s="3"/>
      <c r="G29" s="17"/>
    </row>
    <row r="30" spans="2:7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</row>
    <row r="31" spans="2:7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7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89</v>
      </c>
      <c r="D34" s="12">
        <f>-G13</f>
        <v>62743</v>
      </c>
      <c r="E34" s="12">
        <f>D68</f>
        <v>-41828</v>
      </c>
      <c r="F34" s="1"/>
      <c r="G34" s="12">
        <f t="shared" ref="G34:G38" si="2">D34+E34</f>
        <v>20915</v>
      </c>
    </row>
    <row r="35" spans="2:7" x14ac:dyDescent="0.2">
      <c r="B35" s="27" t="s">
        <v>35</v>
      </c>
      <c r="C35" s="3" t="s">
        <v>77</v>
      </c>
      <c r="D35" s="17">
        <f>-G14</f>
        <v>-24917.820000000007</v>
      </c>
      <c r="E35" s="17">
        <v>0</v>
      </c>
      <c r="F35" s="3"/>
      <c r="G35" s="17">
        <f t="shared" si="2"/>
        <v>-24917.820000000007</v>
      </c>
    </row>
    <row r="36" spans="2:7" x14ac:dyDescent="0.2">
      <c r="B36" s="27" t="s">
        <v>78</v>
      </c>
      <c r="C36" s="3" t="s">
        <v>83</v>
      </c>
      <c r="D36" s="17">
        <f>-G15</f>
        <v>-129772.79000000001</v>
      </c>
      <c r="E36" s="17">
        <v>0</v>
      </c>
      <c r="F36" s="3"/>
      <c r="G36" s="17">
        <f t="shared" si="2"/>
        <v>-129772.79000000001</v>
      </c>
    </row>
    <row r="37" spans="2:7" x14ac:dyDescent="0.2">
      <c r="B37" s="27" t="s">
        <v>84</v>
      </c>
      <c r="C37" s="3" t="s">
        <v>90</v>
      </c>
      <c r="D37" s="17">
        <f>-G16</f>
        <v>68242.749999999971</v>
      </c>
      <c r="E37" s="17">
        <v>0</v>
      </c>
      <c r="F37" s="3"/>
      <c r="G37" s="17">
        <f t="shared" si="2"/>
        <v>68242.749999999971</v>
      </c>
    </row>
    <row r="38" spans="2:7" x14ac:dyDescent="0.2">
      <c r="B38" s="27" t="s">
        <v>91</v>
      </c>
      <c r="C38" s="28" t="s">
        <v>96</v>
      </c>
      <c r="D38" s="19">
        <f>-G17</f>
        <v>170919.55999999997</v>
      </c>
      <c r="E38" s="19">
        <v>0</v>
      </c>
      <c r="F38" s="28"/>
      <c r="G38" s="19">
        <f t="shared" si="2"/>
        <v>170919.55999999997</v>
      </c>
    </row>
    <row r="39" spans="2:7" x14ac:dyDescent="0.2">
      <c r="B39" s="5" t="s">
        <v>97</v>
      </c>
      <c r="C39" s="29"/>
      <c r="D39" s="30"/>
      <c r="E39" s="30"/>
      <c r="F39" s="31" t="s">
        <v>36</v>
      </c>
      <c r="G39" s="19">
        <f>G34+G35+G36+G37+G38</f>
        <v>105386.69999999992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98</v>
      </c>
      <c r="D41" s="8"/>
      <c r="E41" s="8"/>
      <c r="F41" s="9"/>
      <c r="G41" s="35">
        <f>G24+G39</f>
        <v>-208967.38999999993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72</v>
      </c>
      <c r="D43" s="8"/>
      <c r="E43" s="8"/>
      <c r="F43" s="9"/>
      <c r="G43" s="35">
        <f>G41/6</f>
        <v>-34827.898333333324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-147214.69999999992</v>
      </c>
    </row>
    <row r="48" spans="2:7" x14ac:dyDescent="0.2">
      <c r="B48" s="4">
        <v>12</v>
      </c>
      <c r="C48" t="s">
        <v>39</v>
      </c>
      <c r="G48" s="42">
        <f>G39</f>
        <v>105386.69999999992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-41828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-208967.38999999993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-167139.38999999993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-41828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73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-10457</v>
      </c>
      <c r="E64" s="16"/>
      <c r="F64" s="33"/>
      <c r="G64" s="33"/>
    </row>
    <row r="65" spans="3:7" x14ac:dyDescent="0.2">
      <c r="C65" s="15">
        <v>45383</v>
      </c>
      <c r="D65" s="17">
        <v>-10457</v>
      </c>
      <c r="E65" s="16"/>
      <c r="F65" s="33"/>
      <c r="G65" s="33"/>
    </row>
    <row r="66" spans="3:7" x14ac:dyDescent="0.2">
      <c r="C66" s="15">
        <v>45413</v>
      </c>
      <c r="D66" s="17">
        <v>-10457</v>
      </c>
      <c r="E66" s="16"/>
      <c r="F66" s="33"/>
      <c r="G66" s="33"/>
    </row>
    <row r="67" spans="3:7" x14ac:dyDescent="0.2">
      <c r="C67" s="15">
        <v>45444</v>
      </c>
      <c r="D67" s="19">
        <v>-10457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-41828</v>
      </c>
      <c r="E68" s="16"/>
      <c r="F68" s="33"/>
      <c r="G68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871C-F699-4913-B2D3-ED17E98FEA10}">
  <dimension ref="A1:G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Response2 - Licking Valley Surcharge Summary.xlsx</v>
      </c>
    </row>
    <row r="4" spans="1:7" ht="14.25" customHeight="1" x14ac:dyDescent="0.2">
      <c r="B4" s="76" t="s">
        <v>47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8" t="s">
        <v>15</v>
      </c>
      <c r="D12" s="69"/>
      <c r="E12" s="69"/>
      <c r="F12" s="69"/>
      <c r="G12" s="70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-20915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2">
        <f>'A - 05-31-22'!G33</f>
        <v>24917.820000000007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2">
        <f>'B - 11-30-22'!G35</f>
        <v>129772.79000000001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-68242.749999999971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1">
        <f>'D - 11-30-23'!G39</f>
        <v>-170919.55999999997</v>
      </c>
    </row>
    <row r="18" spans="2:7" x14ac:dyDescent="0.2">
      <c r="B18" s="4" t="s">
        <v>94</v>
      </c>
      <c r="C18" s="8" t="s">
        <v>99</v>
      </c>
      <c r="D18" s="8"/>
      <c r="E18" s="8"/>
      <c r="F18" s="11"/>
      <c r="G18" s="51">
        <f>'E - 05-31-24'!G41</f>
        <v>-208967.38999999993</v>
      </c>
    </row>
    <row r="19" spans="2:7" x14ac:dyDescent="0.2">
      <c r="B19" s="5" t="s">
        <v>100</v>
      </c>
      <c r="C19" s="8" t="s">
        <v>18</v>
      </c>
      <c r="D19" s="8"/>
      <c r="E19" s="8"/>
      <c r="F19" s="11"/>
      <c r="G19" s="12">
        <f>G13+G14+G15+G16+G17+G18</f>
        <v>-314354.08999999985</v>
      </c>
    </row>
    <row r="20" spans="2:7" x14ac:dyDescent="0.2">
      <c r="B20" s="4">
        <v>2</v>
      </c>
      <c r="C20" s="13">
        <v>45474</v>
      </c>
      <c r="D20" s="51">
        <f>383217-0</f>
        <v>383217</v>
      </c>
      <c r="E20" s="52">
        <v>454387.04</v>
      </c>
      <c r="F20" s="14">
        <f t="shared" ref="F20:F27" si="0">D20-E20</f>
        <v>-71170.039999999979</v>
      </c>
      <c r="G20" s="12">
        <f t="shared" ref="G20:G27" si="1">G19+F20</f>
        <v>-385524.12999999983</v>
      </c>
    </row>
    <row r="21" spans="2:7" x14ac:dyDescent="0.2">
      <c r="B21" s="4">
        <v>3</v>
      </c>
      <c r="C21" s="15">
        <v>45505</v>
      </c>
      <c r="D21" s="53">
        <f>323447-0</f>
        <v>323447</v>
      </c>
      <c r="E21" s="54">
        <v>351793.82</v>
      </c>
      <c r="F21" s="16">
        <f t="shared" si="0"/>
        <v>-28346.820000000007</v>
      </c>
      <c r="G21" s="17">
        <f t="shared" si="1"/>
        <v>-413870.94999999984</v>
      </c>
    </row>
    <row r="22" spans="2:7" x14ac:dyDescent="0.2">
      <c r="B22" s="4">
        <v>4</v>
      </c>
      <c r="C22" s="15">
        <v>45536</v>
      </c>
      <c r="D22" s="53">
        <f>328149-0</f>
        <v>328149</v>
      </c>
      <c r="E22" s="54">
        <v>320891.71000000002</v>
      </c>
      <c r="F22" s="16">
        <f t="shared" si="0"/>
        <v>7257.289999999979</v>
      </c>
      <c r="G22" s="17">
        <f t="shared" si="1"/>
        <v>-406613.65999999986</v>
      </c>
    </row>
    <row r="23" spans="2:7" x14ac:dyDescent="0.2">
      <c r="B23" s="4">
        <v>5</v>
      </c>
      <c r="C23" s="15">
        <v>45566</v>
      </c>
      <c r="D23" s="53">
        <f>275822-51</f>
        <v>275771</v>
      </c>
      <c r="E23" s="54">
        <v>312134.14</v>
      </c>
      <c r="F23" s="16">
        <f t="shared" si="0"/>
        <v>-36363.140000000014</v>
      </c>
      <c r="G23" s="17">
        <f t="shared" si="1"/>
        <v>-442976.79999999987</v>
      </c>
    </row>
    <row r="24" spans="2:7" x14ac:dyDescent="0.2">
      <c r="B24" s="4">
        <v>6</v>
      </c>
      <c r="C24" s="15">
        <v>45597</v>
      </c>
      <c r="D24" s="53">
        <f>335221-55</f>
        <v>335166</v>
      </c>
      <c r="E24" s="54">
        <v>444532.57</v>
      </c>
      <c r="F24" s="16">
        <f t="shared" si="0"/>
        <v>-109366.57</v>
      </c>
      <c r="G24" s="17">
        <f t="shared" si="1"/>
        <v>-552343.36999999988</v>
      </c>
    </row>
    <row r="25" spans="2:7" x14ac:dyDescent="0.2">
      <c r="B25" s="4">
        <v>7</v>
      </c>
      <c r="C25" s="15">
        <v>45627</v>
      </c>
      <c r="D25" s="53">
        <f>493029-65</f>
        <v>492964</v>
      </c>
      <c r="E25" s="54">
        <f>582010</f>
        <v>582010</v>
      </c>
      <c r="F25" s="18">
        <f t="shared" si="0"/>
        <v>-89046</v>
      </c>
      <c r="G25" s="19">
        <f t="shared" si="1"/>
        <v>-641389.36999999988</v>
      </c>
    </row>
    <row r="26" spans="2:7" x14ac:dyDescent="0.2">
      <c r="B26" s="20" t="s">
        <v>19</v>
      </c>
      <c r="C26" s="13">
        <v>45658</v>
      </c>
      <c r="D26" s="51">
        <f>582010-61</f>
        <v>581949</v>
      </c>
      <c r="E26" s="52">
        <f>484135.86</f>
        <v>484135.86</v>
      </c>
      <c r="F26" s="14">
        <f t="shared" si="0"/>
        <v>97813.140000000014</v>
      </c>
      <c r="G26" s="12">
        <f t="shared" si="1"/>
        <v>-543576.22999999986</v>
      </c>
    </row>
    <row r="27" spans="2:7" x14ac:dyDescent="0.2">
      <c r="B27" s="21" t="s">
        <v>20</v>
      </c>
      <c r="C27" s="22">
        <v>45689</v>
      </c>
      <c r="D27" s="60">
        <f>408407-46</f>
        <v>408361</v>
      </c>
      <c r="E27" s="18">
        <v>0</v>
      </c>
      <c r="F27" s="18">
        <f t="shared" si="0"/>
        <v>408361</v>
      </c>
      <c r="G27" s="19">
        <f t="shared" si="1"/>
        <v>-135215.22999999986</v>
      </c>
    </row>
    <row r="28" spans="2:7" x14ac:dyDescent="0.2">
      <c r="B28" s="5"/>
      <c r="C28" s="23" t="s">
        <v>101</v>
      </c>
      <c r="D28" s="24"/>
      <c r="E28" s="24"/>
      <c r="F28" s="24"/>
      <c r="G28" s="25"/>
    </row>
    <row r="29" spans="2:7" x14ac:dyDescent="0.2">
      <c r="B29" s="2"/>
      <c r="C29" s="1"/>
      <c r="D29" s="1"/>
      <c r="E29" s="1"/>
      <c r="F29" s="1"/>
      <c r="G29" s="12"/>
    </row>
    <row r="30" spans="2:7" x14ac:dyDescent="0.2">
      <c r="B30" s="4"/>
      <c r="C30" s="3"/>
      <c r="D30" s="4" t="s">
        <v>21</v>
      </c>
      <c r="E30" s="4" t="s">
        <v>22</v>
      </c>
      <c r="F30" s="3"/>
      <c r="G30" s="17"/>
    </row>
    <row r="31" spans="2:7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</row>
    <row r="32" spans="2:7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89</v>
      </c>
      <c r="D35" s="12">
        <f t="shared" ref="D35:D40" si="2">-G13</f>
        <v>20915</v>
      </c>
      <c r="E35" s="12">
        <f>D70</f>
        <v>-20915</v>
      </c>
      <c r="F35" s="1"/>
      <c r="G35" s="12">
        <f t="shared" ref="G35:G40" si="3">D35+E35</f>
        <v>0</v>
      </c>
    </row>
    <row r="36" spans="2:7" x14ac:dyDescent="0.2">
      <c r="B36" s="27" t="s">
        <v>35</v>
      </c>
      <c r="C36" s="3" t="s">
        <v>77</v>
      </c>
      <c r="D36" s="17">
        <f t="shared" si="2"/>
        <v>-24917.820000000007</v>
      </c>
      <c r="E36" s="17">
        <v>0</v>
      </c>
      <c r="F36" s="3"/>
      <c r="G36" s="17">
        <f t="shared" si="3"/>
        <v>-24917.820000000007</v>
      </c>
    </row>
    <row r="37" spans="2:7" x14ac:dyDescent="0.2">
      <c r="B37" s="27" t="s">
        <v>78</v>
      </c>
      <c r="C37" s="3" t="s">
        <v>83</v>
      </c>
      <c r="D37" s="17">
        <f t="shared" si="2"/>
        <v>-129772.79000000001</v>
      </c>
      <c r="E37" s="17">
        <v>0</v>
      </c>
      <c r="F37" s="3"/>
      <c r="G37" s="17">
        <f t="shared" si="3"/>
        <v>-129772.79000000001</v>
      </c>
    </row>
    <row r="38" spans="2:7" x14ac:dyDescent="0.2">
      <c r="B38" s="27" t="s">
        <v>84</v>
      </c>
      <c r="C38" s="3" t="s">
        <v>90</v>
      </c>
      <c r="D38" s="17">
        <f t="shared" si="2"/>
        <v>68242.749999999971</v>
      </c>
      <c r="E38" s="17">
        <v>0</v>
      </c>
      <c r="F38" s="3"/>
      <c r="G38" s="17">
        <f t="shared" si="3"/>
        <v>68242.749999999971</v>
      </c>
    </row>
    <row r="39" spans="2:7" x14ac:dyDescent="0.2">
      <c r="B39" s="27" t="s">
        <v>91</v>
      </c>
      <c r="C39" s="3" t="s">
        <v>96</v>
      </c>
      <c r="D39" s="17">
        <f t="shared" si="2"/>
        <v>170919.55999999997</v>
      </c>
      <c r="E39" s="17">
        <v>0</v>
      </c>
      <c r="F39" s="3"/>
      <c r="G39" s="17">
        <f t="shared" si="3"/>
        <v>170919.55999999997</v>
      </c>
    </row>
    <row r="40" spans="2:7" x14ac:dyDescent="0.2">
      <c r="B40" s="27" t="s">
        <v>97</v>
      </c>
      <c r="C40" s="28" t="s">
        <v>102</v>
      </c>
      <c r="D40" s="19">
        <f t="shared" si="2"/>
        <v>208967.38999999993</v>
      </c>
      <c r="E40" s="19">
        <v>0</v>
      </c>
      <c r="F40" s="28"/>
      <c r="G40" s="19">
        <f t="shared" si="3"/>
        <v>208967.38999999993</v>
      </c>
    </row>
    <row r="41" spans="2:7" x14ac:dyDescent="0.2">
      <c r="B41" s="5" t="s">
        <v>103</v>
      </c>
      <c r="C41" s="29"/>
      <c r="D41" s="30"/>
      <c r="E41" s="30"/>
      <c r="F41" s="31" t="s">
        <v>36</v>
      </c>
      <c r="G41" s="19">
        <f>G35+G36+G37+G38+G39+G40</f>
        <v>293439.08999999985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104</v>
      </c>
      <c r="D43" s="8"/>
      <c r="E43" s="8"/>
      <c r="F43" s="9"/>
      <c r="G43" s="35">
        <f>G25+G41</f>
        <v>-347950.28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72</v>
      </c>
      <c r="D45" s="8"/>
      <c r="E45" s="8"/>
      <c r="F45" s="9"/>
      <c r="G45" s="35">
        <f>G43/6</f>
        <v>-57991.71333333334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-314354.08999999985</v>
      </c>
    </row>
    <row r="50" spans="2:7" x14ac:dyDescent="0.2">
      <c r="B50" s="4">
        <v>12</v>
      </c>
      <c r="C50" t="s">
        <v>39</v>
      </c>
      <c r="G50" s="42">
        <f>G41</f>
        <v>293439.08999999985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-20915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-347950.28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-327035.28000000003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-20915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73</v>
      </c>
      <c r="E63" s="27"/>
      <c r="F63" s="32"/>
      <c r="G63" s="32"/>
    </row>
    <row r="64" spans="2:7" x14ac:dyDescent="0.2">
      <c r="C64" s="13">
        <v>45474</v>
      </c>
      <c r="D64" s="12">
        <v>-10457</v>
      </c>
      <c r="E64" s="16"/>
      <c r="F64" s="33"/>
      <c r="G64" s="33"/>
    </row>
    <row r="65" spans="3:7" x14ac:dyDescent="0.2">
      <c r="C65" s="15">
        <v>45505</v>
      </c>
      <c r="D65" s="17">
        <v>-10458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-20915</v>
      </c>
      <c r="E70" s="16"/>
      <c r="F70" s="33"/>
      <c r="G70" s="33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2025-10-15T15:47:38Z</dcterms:modified>
</cp:coreProperties>
</file>