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266 - 2 yr Review\DR1\To be filed\"/>
    </mc:Choice>
  </mc:AlternateContent>
  <xr:revisionPtr revIDLastSave="0" documentId="13_ncr:1_{B1ACA2FC-F70F-4185-8D0D-B6F3B90FB990}" xr6:coauthVersionLast="47" xr6:coauthVersionMax="47" xr10:uidLastSave="{00000000-0000-0000-0000-000000000000}"/>
  <bookViews>
    <workbookView xWindow="3855" yWindow="3855" windowWidth="38700" windowHeight="15285" xr2:uid="{00000000-000D-0000-FFFF-FFFF00000000}"/>
  </bookViews>
  <sheets>
    <sheet name="Current 05-31-25" sheetId="8" r:id="rId1"/>
    <sheet name="2025-00013 Summary" sheetId="9" r:id="rId2"/>
    <sheet name="A - 05-31-22" sheetId="10" r:id="rId3"/>
    <sheet name="B - 11-30-22" sheetId="11" r:id="rId4"/>
    <sheet name="C - 05-31-23" sheetId="12" r:id="rId5"/>
    <sheet name="D - 11-30-23" sheetId="13" r:id="rId6"/>
    <sheet name="E - 05-31-24" sheetId="14" r:id="rId7"/>
    <sheet name="F - 11-30-24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" i="11" l="1"/>
  <c r="A1" i="12"/>
  <c r="A1" i="13"/>
  <c r="A1" i="14"/>
  <c r="A1" i="15"/>
  <c r="A1" i="10"/>
  <c r="A1" i="9"/>
  <c r="D70" i="15"/>
  <c r="E35" i="15" s="1"/>
  <c r="D35" i="15"/>
  <c r="G35" i="15" s="1"/>
  <c r="K27" i="15"/>
  <c r="J27" i="15"/>
  <c r="L27" i="15" s="1"/>
  <c r="D27" i="15"/>
  <c r="F27" i="15" s="1"/>
  <c r="K26" i="15"/>
  <c r="J26" i="15"/>
  <c r="L26" i="15" s="1"/>
  <c r="E26" i="15"/>
  <c r="D26" i="15"/>
  <c r="F26" i="15" s="1"/>
  <c r="J25" i="15"/>
  <c r="L25" i="15" s="1"/>
  <c r="D25" i="15"/>
  <c r="F25" i="15" s="1"/>
  <c r="L24" i="15"/>
  <c r="J24" i="15"/>
  <c r="D24" i="15"/>
  <c r="F24" i="15" s="1"/>
  <c r="K23" i="15"/>
  <c r="J23" i="15"/>
  <c r="L23" i="15" s="1"/>
  <c r="E23" i="15"/>
  <c r="D23" i="15"/>
  <c r="F23" i="15" s="1"/>
  <c r="J22" i="15"/>
  <c r="L22" i="15" s="1"/>
  <c r="F22" i="15"/>
  <c r="D22" i="15"/>
  <c r="L21" i="15"/>
  <c r="J21" i="15"/>
  <c r="D21" i="15"/>
  <c r="F21" i="15" s="1"/>
  <c r="J20" i="15"/>
  <c r="L20" i="15" s="1"/>
  <c r="M20" i="15" s="1"/>
  <c r="M21" i="15" s="1"/>
  <c r="F20" i="15"/>
  <c r="D20" i="15"/>
  <c r="D68" i="14"/>
  <c r="E34" i="14"/>
  <c r="G34" i="14" s="1"/>
  <c r="D34" i="14"/>
  <c r="J26" i="14"/>
  <c r="L26" i="14" s="1"/>
  <c r="D26" i="14"/>
  <c r="F26" i="14" s="1"/>
  <c r="J25" i="14"/>
  <c r="L25" i="14" s="1"/>
  <c r="D25" i="14"/>
  <c r="F25" i="14" s="1"/>
  <c r="J24" i="14"/>
  <c r="L24" i="14" s="1"/>
  <c r="D24" i="14"/>
  <c r="F24" i="14" s="1"/>
  <c r="J23" i="14"/>
  <c r="L23" i="14" s="1"/>
  <c r="D23" i="14"/>
  <c r="F23" i="14" s="1"/>
  <c r="J22" i="14"/>
  <c r="L22" i="14" s="1"/>
  <c r="D22" i="14"/>
  <c r="F22" i="14" s="1"/>
  <c r="J21" i="14"/>
  <c r="L21" i="14" s="1"/>
  <c r="D21" i="14"/>
  <c r="F21" i="14" s="1"/>
  <c r="K20" i="14"/>
  <c r="J20" i="14"/>
  <c r="L20" i="14" s="1"/>
  <c r="M20" i="14" s="1"/>
  <c r="M21" i="14" s="1"/>
  <c r="M22" i="14" s="1"/>
  <c r="M23" i="14" s="1"/>
  <c r="F20" i="14"/>
  <c r="E20" i="14"/>
  <c r="D20" i="14"/>
  <c r="M19" i="14"/>
  <c r="L19" i="14"/>
  <c r="J19" i="14"/>
  <c r="F19" i="14"/>
  <c r="D19" i="14"/>
  <c r="D66" i="13"/>
  <c r="E33" i="13"/>
  <c r="G33" i="13" s="1"/>
  <c r="D33" i="13"/>
  <c r="L25" i="13"/>
  <c r="K25" i="13"/>
  <c r="J25" i="13"/>
  <c r="E25" i="13"/>
  <c r="D25" i="13"/>
  <c r="F25" i="13" s="1"/>
  <c r="J24" i="13"/>
  <c r="L24" i="13" s="1"/>
  <c r="D24" i="13"/>
  <c r="F24" i="13" s="1"/>
  <c r="J23" i="13"/>
  <c r="L23" i="13" s="1"/>
  <c r="E23" i="13"/>
  <c r="D23" i="13"/>
  <c r="F23" i="13" s="1"/>
  <c r="J22" i="13"/>
  <c r="L22" i="13" s="1"/>
  <c r="F22" i="13"/>
  <c r="D22" i="13"/>
  <c r="L21" i="13"/>
  <c r="J21" i="13"/>
  <c r="D21" i="13"/>
  <c r="F21" i="13" s="1"/>
  <c r="J20" i="13"/>
  <c r="L20" i="13" s="1"/>
  <c r="F20" i="13"/>
  <c r="D20" i="13"/>
  <c r="L19" i="13"/>
  <c r="J19" i="13"/>
  <c r="D19" i="13"/>
  <c r="F19" i="13" s="1"/>
  <c r="J18" i="13"/>
  <c r="L18" i="13" s="1"/>
  <c r="M18" i="13" s="1"/>
  <c r="M19" i="13" s="1"/>
  <c r="F18" i="13"/>
  <c r="D18" i="13"/>
  <c r="D64" i="12"/>
  <c r="E32" i="12"/>
  <c r="D32" i="12"/>
  <c r="G32" i="12" s="1"/>
  <c r="J24" i="12"/>
  <c r="L24" i="12" s="1"/>
  <c r="D24" i="12"/>
  <c r="F24" i="12" s="1"/>
  <c r="J23" i="12"/>
  <c r="L23" i="12" s="1"/>
  <c r="D23" i="12"/>
  <c r="F23" i="12" s="1"/>
  <c r="J22" i="12"/>
  <c r="L22" i="12" s="1"/>
  <c r="D22" i="12"/>
  <c r="F22" i="12" s="1"/>
  <c r="J21" i="12"/>
  <c r="L21" i="12" s="1"/>
  <c r="D21" i="12"/>
  <c r="F21" i="12" s="1"/>
  <c r="K20" i="12"/>
  <c r="L20" i="12" s="1"/>
  <c r="J20" i="12"/>
  <c r="E20" i="12"/>
  <c r="F20" i="12" s="1"/>
  <c r="D20" i="12"/>
  <c r="J19" i="12"/>
  <c r="L19" i="12" s="1"/>
  <c r="D19" i="12"/>
  <c r="F19" i="12" s="1"/>
  <c r="L18" i="12"/>
  <c r="J18" i="12"/>
  <c r="F18" i="12"/>
  <c r="D18" i="12"/>
  <c r="J17" i="12"/>
  <c r="L17" i="12" s="1"/>
  <c r="M17" i="12" s="1"/>
  <c r="M18" i="12" s="1"/>
  <c r="D17" i="12"/>
  <c r="F17" i="12" s="1"/>
  <c r="D62" i="11"/>
  <c r="E31" i="11"/>
  <c r="G31" i="11" s="1"/>
  <c r="D31" i="11"/>
  <c r="L23" i="11"/>
  <c r="J23" i="11"/>
  <c r="F23" i="11"/>
  <c r="D23" i="11"/>
  <c r="J22" i="11"/>
  <c r="L22" i="11" s="1"/>
  <c r="D22" i="11"/>
  <c r="F22" i="11" s="1"/>
  <c r="L21" i="11"/>
  <c r="J21" i="11"/>
  <c r="F21" i="11"/>
  <c r="D21" i="11"/>
  <c r="J20" i="11"/>
  <c r="L20" i="11" s="1"/>
  <c r="D20" i="11"/>
  <c r="F20" i="11" s="1"/>
  <c r="L19" i="11"/>
  <c r="J19" i="11"/>
  <c r="F19" i="11"/>
  <c r="D19" i="11"/>
  <c r="J18" i="11"/>
  <c r="L18" i="11" s="1"/>
  <c r="D18" i="11"/>
  <c r="F18" i="11" s="1"/>
  <c r="L17" i="11"/>
  <c r="J17" i="11"/>
  <c r="F17" i="11"/>
  <c r="D17" i="11"/>
  <c r="J16" i="11"/>
  <c r="L16" i="11" s="1"/>
  <c r="M16" i="11" s="1"/>
  <c r="M17" i="11" s="1"/>
  <c r="M18" i="11" s="1"/>
  <c r="M19" i="11" s="1"/>
  <c r="M20" i="11" s="1"/>
  <c r="M21" i="11" s="1"/>
  <c r="D16" i="11"/>
  <c r="F16" i="11" s="1"/>
  <c r="G48" i="11" s="1"/>
  <c r="D60" i="10"/>
  <c r="G39" i="10"/>
  <c r="G42" i="10" s="1"/>
  <c r="E30" i="10"/>
  <c r="G30" i="10" s="1"/>
  <c r="G31" i="10" s="1"/>
  <c r="G40" i="10" s="1"/>
  <c r="D30" i="10"/>
  <c r="J22" i="10"/>
  <c r="L22" i="10" s="1"/>
  <c r="D22" i="10"/>
  <c r="F22" i="10" s="1"/>
  <c r="J21" i="10"/>
  <c r="L21" i="10" s="1"/>
  <c r="D21" i="10"/>
  <c r="F21" i="10" s="1"/>
  <c r="J20" i="10"/>
  <c r="L20" i="10" s="1"/>
  <c r="D20" i="10"/>
  <c r="F20" i="10" s="1"/>
  <c r="J19" i="10"/>
  <c r="L19" i="10" s="1"/>
  <c r="D19" i="10"/>
  <c r="F19" i="10" s="1"/>
  <c r="J18" i="10"/>
  <c r="L18" i="10" s="1"/>
  <c r="D18" i="10"/>
  <c r="F18" i="10" s="1"/>
  <c r="J17" i="10"/>
  <c r="L17" i="10" s="1"/>
  <c r="D17" i="10"/>
  <c r="F17" i="10" s="1"/>
  <c r="K16" i="10"/>
  <c r="J16" i="10"/>
  <c r="L16" i="10" s="1"/>
  <c r="E16" i="10"/>
  <c r="D16" i="10"/>
  <c r="F16" i="10" s="1"/>
  <c r="K15" i="10"/>
  <c r="J15" i="10"/>
  <c r="L15" i="10" s="1"/>
  <c r="M15" i="10" s="1"/>
  <c r="M16" i="10" s="1"/>
  <c r="M17" i="10" s="1"/>
  <c r="E15" i="10"/>
  <c r="D15" i="10"/>
  <c r="F15" i="10" s="1"/>
  <c r="G14" i="10"/>
  <c r="G15" i="10" s="1"/>
  <c r="G16" i="10" s="1"/>
  <c r="G17" i="10" s="1"/>
  <c r="G33" i="8"/>
  <c r="E22" i="8"/>
  <c r="K27" i="8"/>
  <c r="J27" i="8"/>
  <c r="E21" i="8"/>
  <c r="K26" i="8"/>
  <c r="D22" i="8"/>
  <c r="K25" i="8"/>
  <c r="E20" i="8"/>
  <c r="K24" i="8"/>
  <c r="E19" i="8"/>
  <c r="K23" i="8"/>
  <c r="E18" i="8"/>
  <c r="J23" i="8"/>
  <c r="K22" i="8"/>
  <c r="E17" i="8"/>
  <c r="E16" i="8"/>
  <c r="J26" i="8"/>
  <c r="D21" i="8"/>
  <c r="J25" i="8"/>
  <c r="D20" i="8"/>
  <c r="J24" i="8"/>
  <c r="D19" i="8"/>
  <c r="D18" i="8"/>
  <c r="J22" i="8"/>
  <c r="D17" i="8"/>
  <c r="G52" i="13" l="1"/>
  <c r="M20" i="13"/>
  <c r="M21" i="13" s="1"/>
  <c r="M22" i="13" s="1"/>
  <c r="M23" i="13" s="1"/>
  <c r="G50" i="12"/>
  <c r="G18" i="10"/>
  <c r="G19" i="10" s="1"/>
  <c r="G20" i="10" s="1"/>
  <c r="M24" i="14"/>
  <c r="G56" i="15"/>
  <c r="G46" i="10"/>
  <c r="M25" i="11"/>
  <c r="M27" i="11" s="1"/>
  <c r="M22" i="11"/>
  <c r="M23" i="11" s="1"/>
  <c r="M18" i="10"/>
  <c r="M19" i="10" s="1"/>
  <c r="M20" i="10" s="1"/>
  <c r="M19" i="12"/>
  <c r="M20" i="12" s="1"/>
  <c r="M21" i="12" s="1"/>
  <c r="M22" i="12" s="1"/>
  <c r="G54" i="14"/>
  <c r="M22" i="15"/>
  <c r="M23" i="15" s="1"/>
  <c r="M24" i="15" s="1"/>
  <c r="M25" i="15" s="1"/>
  <c r="K21" i="8"/>
  <c r="J21" i="8"/>
  <c r="K20" i="8"/>
  <c r="J20" i="8"/>
  <c r="D16" i="8"/>
  <c r="E15" i="8"/>
  <c r="D15" i="8"/>
  <c r="G14" i="8"/>
  <c r="G33" i="10" l="1"/>
  <c r="G21" i="10"/>
  <c r="G22" i="10" s="1"/>
  <c r="M25" i="14"/>
  <c r="M26" i="14" s="1"/>
  <c r="M28" i="14"/>
  <c r="M30" i="14" s="1"/>
  <c r="M29" i="15"/>
  <c r="M31" i="15" s="1"/>
  <c r="M26" i="15"/>
  <c r="M27" i="15" s="1"/>
  <c r="M26" i="12"/>
  <c r="M28" i="12" s="1"/>
  <c r="M23" i="12"/>
  <c r="M24" i="12" s="1"/>
  <c r="M27" i="13"/>
  <c r="M29" i="13" s="1"/>
  <c r="M24" i="13"/>
  <c r="M25" i="13" s="1"/>
  <c r="M21" i="10"/>
  <c r="M22" i="10" s="1"/>
  <c r="M24" i="10"/>
  <c r="M26" i="10" s="1"/>
  <c r="D60" i="8"/>
  <c r="E30" i="8" s="1"/>
  <c r="G35" i="10" l="1"/>
  <c r="G14" i="11"/>
  <c r="G14" i="14"/>
  <c r="G44" i="10"/>
  <c r="G48" i="10" s="1"/>
  <c r="G14" i="13"/>
  <c r="G14" i="12"/>
  <c r="G14" i="15"/>
  <c r="E8" i="9"/>
  <c r="L27" i="8"/>
  <c r="L26" i="8"/>
  <c r="L25" i="8"/>
  <c r="L24" i="8"/>
  <c r="L23" i="8"/>
  <c r="L22" i="8"/>
  <c r="L21" i="8"/>
  <c r="L20" i="8"/>
  <c r="M20" i="8" s="1"/>
  <c r="M21" i="8" s="1"/>
  <c r="F8" i="9" l="1"/>
  <c r="D33" i="12"/>
  <c r="G33" i="12" s="1"/>
  <c r="D34" i="13"/>
  <c r="G34" i="13" s="1"/>
  <c r="D36" i="15"/>
  <c r="G36" i="15" s="1"/>
  <c r="D35" i="14"/>
  <c r="G35" i="14" s="1"/>
  <c r="D32" i="11"/>
  <c r="G32" i="11" s="1"/>
  <c r="G33" i="11" s="1"/>
  <c r="G42" i="11" s="1"/>
  <c r="G15" i="11"/>
  <c r="M22" i="8"/>
  <c r="M23" i="8"/>
  <c r="M24" i="8" s="1"/>
  <c r="M25" i="8" s="1"/>
  <c r="M29" i="8" s="1"/>
  <c r="M31" i="8" s="1"/>
  <c r="G16" i="11" l="1"/>
  <c r="G17" i="11" s="1"/>
  <c r="G18" i="11" s="1"/>
  <c r="G19" i="11" s="1"/>
  <c r="G20" i="11" s="1"/>
  <c r="G21" i="11" s="1"/>
  <c r="G41" i="11"/>
  <c r="G44" i="11" s="1"/>
  <c r="M26" i="8"/>
  <c r="M27" i="8" s="1"/>
  <c r="D30" i="8"/>
  <c r="G30" i="8" s="1"/>
  <c r="G31" i="8" s="1"/>
  <c r="F22" i="8"/>
  <c r="F21" i="8"/>
  <c r="F20" i="8"/>
  <c r="F19" i="8"/>
  <c r="F18" i="8"/>
  <c r="F17" i="8"/>
  <c r="F16" i="8"/>
  <c r="F15" i="8"/>
  <c r="G22" i="11" l="1"/>
  <c r="G23" i="11" s="1"/>
  <c r="G35" i="11"/>
  <c r="G46" i="8"/>
  <c r="G46" i="11" l="1"/>
  <c r="G50" i="11" s="1"/>
  <c r="E9" i="9"/>
  <c r="G37" i="11"/>
  <c r="G15" i="13"/>
  <c r="G15" i="12"/>
  <c r="G15" i="15"/>
  <c r="G15" i="14"/>
  <c r="G40" i="8"/>
  <c r="D36" i="14" l="1"/>
  <c r="G36" i="14" s="1"/>
  <c r="D37" i="15"/>
  <c r="G37" i="15" s="1"/>
  <c r="D34" i="12"/>
  <c r="G34" i="12" s="1"/>
  <c r="G35" i="12" s="1"/>
  <c r="G44" i="12" s="1"/>
  <c r="G16" i="12"/>
  <c r="D35" i="13"/>
  <c r="G35" i="13" s="1"/>
  <c r="F9" i="9"/>
  <c r="G39" i="8"/>
  <c r="G42" i="8" s="1"/>
  <c r="G15" i="8"/>
  <c r="G16" i="8" s="1"/>
  <c r="G17" i="8" s="1"/>
  <c r="G18" i="8" s="1"/>
  <c r="G19" i="8" s="1"/>
  <c r="G20" i="8" s="1"/>
  <c r="G43" i="12" l="1"/>
  <c r="G46" i="12" s="1"/>
  <c r="G17" i="12"/>
  <c r="G18" i="12" s="1"/>
  <c r="G19" i="12" s="1"/>
  <c r="G20" i="12" s="1"/>
  <c r="G21" i="12" s="1"/>
  <c r="G22" i="12" s="1"/>
  <c r="G21" i="8"/>
  <c r="G22" i="8" s="1"/>
  <c r="G23" i="12" l="1"/>
  <c r="G24" i="12" s="1"/>
  <c r="G37" i="12"/>
  <c r="G35" i="8"/>
  <c r="G44" i="8"/>
  <c r="G48" i="8" s="1"/>
  <c r="E10" i="9" l="1"/>
  <c r="G48" i="12"/>
  <c r="G52" i="12" s="1"/>
  <c r="G16" i="14"/>
  <c r="G39" i="12"/>
  <c r="G16" i="13"/>
  <c r="G16" i="15"/>
  <c r="D36" i="13" l="1"/>
  <c r="G36" i="13" s="1"/>
  <c r="G37" i="13" s="1"/>
  <c r="G46" i="13" s="1"/>
  <c r="G17" i="13"/>
  <c r="D37" i="14"/>
  <c r="G37" i="14" s="1"/>
  <c r="D38" i="15"/>
  <c r="G38" i="15" s="1"/>
  <c r="F10" i="9"/>
  <c r="G45" i="13" l="1"/>
  <c r="G48" i="13" s="1"/>
  <c r="G18" i="13"/>
  <c r="G19" i="13" s="1"/>
  <c r="G20" i="13" s="1"/>
  <c r="G21" i="13" s="1"/>
  <c r="G22" i="13" s="1"/>
  <c r="G23" i="13" s="1"/>
  <c r="G39" i="13" l="1"/>
  <c r="G24" i="13"/>
  <c r="G25" i="13" s="1"/>
  <c r="G41" i="13" l="1"/>
  <c r="G17" i="14"/>
  <c r="G17" i="15"/>
  <c r="G50" i="13"/>
  <c r="G54" i="13" s="1"/>
  <c r="E11" i="9"/>
  <c r="F11" i="9" l="1"/>
  <c r="D39" i="15"/>
  <c r="G39" i="15" s="1"/>
  <c r="D38" i="14"/>
  <c r="G38" i="14" s="1"/>
  <c r="G39" i="14" s="1"/>
  <c r="G48" i="14" s="1"/>
  <c r="G18" i="14"/>
  <c r="G47" i="14" l="1"/>
  <c r="G50" i="14" s="1"/>
  <c r="G19" i="14"/>
  <c r="G20" i="14" s="1"/>
  <c r="G21" i="14" s="1"/>
  <c r="G22" i="14" s="1"/>
  <c r="G23" i="14" s="1"/>
  <c r="G24" i="14" s="1"/>
  <c r="G41" i="14" l="1"/>
  <c r="G25" i="14"/>
  <c r="G26" i="14" s="1"/>
  <c r="G52" i="14" l="1"/>
  <c r="G56" i="14" s="1"/>
  <c r="G43" i="14"/>
  <c r="G18" i="15"/>
  <c r="E12" i="9"/>
  <c r="D40" i="15" l="1"/>
  <c r="G40" i="15" s="1"/>
  <c r="G41" i="15" s="1"/>
  <c r="G50" i="15" s="1"/>
  <c r="G19" i="15"/>
  <c r="F12" i="9"/>
  <c r="G20" i="15" l="1"/>
  <c r="G21" i="15" s="1"/>
  <c r="G22" i="15" s="1"/>
  <c r="G23" i="15" s="1"/>
  <c r="G24" i="15" s="1"/>
  <c r="G25" i="15" s="1"/>
  <c r="G49" i="15"/>
  <c r="G52" i="15" s="1"/>
  <c r="G26" i="15" l="1"/>
  <c r="G27" i="15" s="1"/>
  <c r="G43" i="15"/>
  <c r="G54" i="15" l="1"/>
  <c r="G58" i="15" s="1"/>
  <c r="E13" i="9"/>
  <c r="G45" i="15"/>
  <c r="F13" i="9" l="1"/>
  <c r="E15" i="9"/>
  <c r="E24" i="9" l="1"/>
  <c r="E22" i="9"/>
  <c r="F15" i="9"/>
</calcChain>
</file>

<file path=xl/sharedStrings.xml><?xml version="1.0" encoding="utf-8"?>
<sst xmlns="http://schemas.openxmlformats.org/spreadsheetml/2006/main" count="622" uniqueCount="111">
  <si>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</si>
  <si>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</si>
  <si>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</si>
  <si>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</si>
  <si>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</si>
  <si>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</si>
  <si>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</si>
  <si>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</si>
  <si>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</si>
  <si>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</si>
  <si>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</si>
  <si>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</si>
  <si>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</si>
  <si>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</si>
  <si>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</si>
  <si>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</si>
  <si>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</si>
  <si>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</si>
  <si>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</si>
  <si>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</si>
  <si>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</si>
  <si>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</si>
  <si>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</si>
  <si>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</si>
  <si>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</si>
  <si>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</si>
  <si>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</si>
  <si>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</si>
  <si>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</si>
  <si>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</si>
  <si>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</si>
  <si>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</si>
  <si>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</si>
  <si>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</si>
  <si>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</si>
  <si>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</si>
  <si>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</si>
  <si>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</si>
  <si>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</si>
  <si>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</si>
  <si>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</si>
  <si>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</si>
  <si>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</si>
  <si>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</si>
  <si>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</si>
  <si>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</si>
  <si>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</si>
  <si>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Cumulative six month (Over)/Under-Recovery [Cumulative net of remaining Case amortizations (Ln 7&amp;8b)]</t>
  </si>
  <si>
    <t>Inter-County - Calculation of (Over)/Under Recovery</t>
  </si>
  <si>
    <t>Inter-County - Calculation of (Over)/Under Recovery - Direct Surcharge Pass-Throughs</t>
  </si>
  <si>
    <t>Rate B Rate G</t>
  </si>
  <si>
    <t>(1)</t>
  </si>
  <si>
    <t>Cumulative 6-month (Over)/Under Recovery</t>
  </si>
  <si>
    <t>Monthly Recovery (per month for six months)</t>
  </si>
  <si>
    <t>Rate E</t>
  </si>
  <si>
    <t>From Case No. 2025-00013 (Over)/Under-Recovery</t>
  </si>
  <si>
    <t>Less Adjustment for Order amounts remaining to be amortized at end of review period June 2025</t>
  </si>
  <si>
    <t>Monthly recovery (per month for six months)</t>
  </si>
  <si>
    <t>From Case No. 2025-00013 Recovery</t>
  </si>
  <si>
    <t>2025-00013</t>
  </si>
  <si>
    <t>Staff DR1 Response 2 - Inter-County Surcharge Summary.xlsx</t>
  </si>
  <si>
    <t>Inter-County</t>
  </si>
  <si>
    <t>Net (Over)/Under-Recovery of Environmental Surcharge</t>
  </si>
  <si>
    <t>Amount</t>
  </si>
  <si>
    <t>From:</t>
  </si>
  <si>
    <t xml:space="preserve">  Tab "A - 05-31-22", Line No. 9</t>
  </si>
  <si>
    <t xml:space="preserve">  Tab "B - 11-30-22", Line No. 9</t>
  </si>
  <si>
    <t xml:space="preserve">  Tab "C - 05-31-23", Line No. 9</t>
  </si>
  <si>
    <t xml:space="preserve">  Tab "D - 11-30-23", Line No. 9</t>
  </si>
  <si>
    <t xml:space="preserve">  Tab "E - 05-31-24", Line No. 9</t>
  </si>
  <si>
    <t xml:space="preserve">  Tab "F - 11-30-24",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</si>
  <si>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</si>
  <si>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</si>
  <si>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</si>
  <si>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</si>
  <si>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From Case No. 2022-00141 (Over)/Under-Recovery</t>
  </si>
  <si>
    <t>Less Adjustment for Order amounts remaining to be amortized at end of review period June 2022</t>
  </si>
  <si>
    <t>Case No. 2022-00141 Recovery</t>
  </si>
  <si>
    <t>Monthly recovery (per month for six months</t>
  </si>
  <si>
    <t>2022-00141</t>
  </si>
  <si>
    <t>From Tab "A - 05-31-22" (Over)/Under-Recovery</t>
  </si>
  <si>
    <t>1c</t>
  </si>
  <si>
    <t>Less Adjustment for Order amounts remaining to be amortized at end of review period December 2022</t>
  </si>
  <si>
    <t>From Tab "A - 05-31-22" Recovery</t>
  </si>
  <si>
    <t>8c</t>
  </si>
  <si>
    <t>Cumulative six month (Over)/Under-Recovery [Cumulative net of remaining Case amortizations (Ln 7&amp;8c)]</t>
  </si>
  <si>
    <t>From Tab "B - 11-30-22" (Over)/Under-Recovery</t>
  </si>
  <si>
    <t>1d</t>
  </si>
  <si>
    <t>Less Adjustment for Order amounts remaining to be amortized at end of review period June 2023</t>
  </si>
  <si>
    <t>From Tab "B - 11-30-22" Recovery</t>
  </si>
  <si>
    <t>8d</t>
  </si>
  <si>
    <t>Cumulative six month (Over)/Under-Recovery [Cumulative net of remaining Case amortizations (Ln 7&amp;8d)]</t>
  </si>
  <si>
    <t>From Tab "C - 05-31-23" (Over)/Under-Recovery</t>
  </si>
  <si>
    <t>1e</t>
  </si>
  <si>
    <t>Less Adjustment for Order amounts remaining to be amortized at end of review period December 2023</t>
  </si>
  <si>
    <t>From Case No. 2022-00141 Recovery</t>
  </si>
  <si>
    <t>From Tab "C - 05-31-23" Recovery</t>
  </si>
  <si>
    <t>8e</t>
  </si>
  <si>
    <t>Cumulative six month (Over)/Under-Recovery [Cumulative net of remaining Case amortizations (Ln 7&amp;8e)]</t>
  </si>
  <si>
    <t>From Tab "D - 11-30-23" (Over)/Under-Recovery</t>
  </si>
  <si>
    <t>1f</t>
  </si>
  <si>
    <t>Less Adjustment for Order amounts remaining to be amortized at end of review period June 2024</t>
  </si>
  <si>
    <t>From Tab "D - 11-30-23" Recovery</t>
  </si>
  <si>
    <t>8f</t>
  </si>
  <si>
    <t>Cumulative six month (Over)/Under-Recovery [Cumulative net of remaining Case amortizations (Ln 7&amp;8f)]</t>
  </si>
  <si>
    <t>From Tab "E - 05-31-24" (Over)/Under-Recovery</t>
  </si>
  <si>
    <t>1g</t>
  </si>
  <si>
    <t>Less Adjustment for Order amounts remaining to be amortized at end of review period December 2024</t>
  </si>
  <si>
    <t>From Tab "E - 05-31-24" Recovery</t>
  </si>
  <si>
    <t>8g</t>
  </si>
  <si>
    <t>Cumulative six month (Over)/Under-Recovery [Cumulative net of remaining Case amortizations (Ln 7&amp;8g)]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</si>
</sst>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4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2" xfId="0" applyNumberFormat="1" applyBorder="1"/>
    <xf numFmtId="164" fontId="0" fillId="0" borderId="8" xfId="0" applyNumberFormat="1" applyBorder="1" applyAlignment="1">
      <alignment horizontal="right"/>
    </xf>
    <xf numFmtId="5" fontId="0" fillId="0" borderId="14" xfId="0" applyNumberFormat="1" applyBorder="1"/>
    <xf numFmtId="5" fontId="0" fillId="0" borderId="8" xfId="0" applyNumberFormat="1" applyBorder="1"/>
    <xf numFmtId="5" fontId="0" fillId="0" borderId="5" xfId="0" applyNumberFormat="1" applyBorder="1"/>
    <xf numFmtId="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3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1" xfId="0" applyBorder="1"/>
    <xf numFmtId="0" fontId="0" fillId="0" borderId="6" xfId="0" applyBorder="1"/>
    <xf numFmtId="5" fontId="0" fillId="0" borderId="7" xfId="0" applyNumberFormat="1" applyFill="1" applyBorder="1"/>
    <xf numFmtId="5" fontId="0" fillId="0" borderId="8" xfId="0" applyNumberFormat="1" applyFill="1" applyBorder="1"/>
    <xf numFmtId="5" fontId="0" fillId="0" borderId="9" xfId="0" applyNumberFormat="1" applyFill="1" applyBorder="1"/>
    <xf numFmtId="0" fontId="0" fillId="0" borderId="10" xfId="0" applyBorder="1" applyAlignment="1">
      <alignment horizontal="right"/>
    </xf>
    <xf numFmtId="0" fontId="0" fillId="0" borderId="9" xfId="0" applyFill="1" applyBorder="1" applyAlignment="1">
      <alignment horizontal="center"/>
    </xf>
    <xf numFmtId="5" fontId="0" fillId="3" borderId="7" xfId="0" applyNumberFormat="1" applyFill="1" applyBorder="1"/>
    <xf numFmtId="5" fontId="0" fillId="3" borderId="2" xfId="0" applyNumberFormat="1" applyFill="1" applyBorder="1"/>
    <xf numFmtId="5" fontId="0" fillId="3" borderId="8" xfId="0" applyNumberFormat="1" applyFill="1" applyBorder="1"/>
    <xf numFmtId="5" fontId="0" fillId="3" borderId="14" xfId="0" applyNumberFormat="1" applyFill="1" applyBorder="1"/>
    <xf numFmtId="0" fontId="0" fillId="0" borderId="10" xfId="0" applyBorder="1"/>
    <xf numFmtId="5" fontId="0" fillId="0" borderId="0" xfId="0" applyNumberFormat="1" applyBorder="1"/>
    <xf numFmtId="0" fontId="3" fillId="0" borderId="0" xfId="1"/>
    <xf numFmtId="0" fontId="1" fillId="0" borderId="0" xfId="1" applyFont="1"/>
    <xf numFmtId="0" fontId="2" fillId="0" borderId="7" xfId="1" applyFont="1" applyBorder="1"/>
    <xf numFmtId="0" fontId="2" fillId="0" borderId="7" xfId="1" applyFont="1" applyBorder="1" applyAlignment="1">
      <alignment horizontal="center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49" fontId="2" fillId="0" borderId="10" xfId="1" applyNumberFormat="1" applyFont="1" applyBorder="1" applyAlignment="1">
      <alignment horizontal="center"/>
    </xf>
    <xf numFmtId="17" fontId="5" fillId="0" borderId="7" xfId="2" applyNumberFormat="1" applyFont="1" applyFill="1" applyBorder="1"/>
    <xf numFmtId="5" fontId="2" fillId="3" borderId="8" xfId="3" applyNumberFormat="1" applyFont="1" applyFill="1" applyBorder="1" applyAlignment="1">
      <alignment horizontal="right"/>
    </xf>
    <xf numFmtId="5" fontId="2" fillId="3" borderId="0" xfId="3" applyNumberFormat="1" applyFont="1" applyFill="1" applyBorder="1" applyAlignment="1">
      <alignment horizontal="right"/>
    </xf>
    <xf numFmtId="5" fontId="2" fillId="0" borderId="7" xfId="1" applyNumberFormat="1" applyFont="1" applyBorder="1"/>
    <xf numFmtId="5" fontId="2" fillId="0" borderId="8" xfId="1" applyNumberFormat="1" applyFont="1" applyBorder="1"/>
    <xf numFmtId="17" fontId="5" fillId="0" borderId="8" xfId="2" applyNumberFormat="1" applyFont="1" applyFill="1" applyBorder="1"/>
    <xf numFmtId="5" fontId="2" fillId="3" borderId="8" xfId="1" applyNumberFormat="1" applyFont="1" applyFill="1" applyBorder="1"/>
    <xf numFmtId="17" fontId="5" fillId="0" borderId="9" xfId="2" applyNumberFormat="1" applyFont="1" applyFill="1" applyBorder="1"/>
    <xf numFmtId="5" fontId="2" fillId="3" borderId="9" xfId="1" applyNumberFormat="1" applyFont="1" applyFill="1" applyBorder="1"/>
    <xf numFmtId="5" fontId="2" fillId="0" borderId="9" xfId="1" applyNumberFormat="1" applyFont="1" applyBorder="1"/>
    <xf numFmtId="5" fontId="2" fillId="3" borderId="7" xfId="1" applyNumberFormat="1" applyFont="1" applyFill="1" applyBorder="1"/>
    <xf numFmtId="0" fontId="2" fillId="0" borderId="0" xfId="1" applyFont="1"/>
    <xf numFmtId="0" fontId="2" fillId="0" borderId="11" xfId="1" applyFont="1" applyBorder="1"/>
    <xf numFmtId="0" fontId="2" fillId="0" borderId="12" xfId="1" applyFont="1" applyBorder="1"/>
    <xf numFmtId="0" fontId="2" fillId="0" borderId="13" xfId="1" applyFont="1" applyBorder="1"/>
    <xf numFmtId="5" fontId="2" fillId="0" borderId="10" xfId="1" applyNumberFormat="1" applyFont="1" applyBorder="1"/>
    <xf numFmtId="5" fontId="2" fillId="0" borderId="0" xfId="1" applyNumberFormat="1" applyFont="1"/>
    <xf numFmtId="0" fontId="0" fillId="0" borderId="0" xfId="0" applyBorder="1" applyAlignment="1">
      <alignment horizontal="center"/>
    </xf>
    <xf numFmtId="5" fontId="0" fillId="0" borderId="14" xfId="0" applyNumberFormat="1" applyFill="1" applyBorder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5" fontId="0" fillId="3" borderId="9" xfId="0" applyNumberFormat="1" applyFill="1" applyBorder="1"/>
    <xf numFmtId="5" fontId="0" fillId="3" borderId="5" xfId="0" applyNumberFormat="1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0" borderId="2" xfId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0" fontId="1" fillId="0" borderId="4" xfId="1" applyFont="1" applyBorder="1" applyAlignment="1">
      <alignment horizontal="center" wrapText="1"/>
    </xf>
    <xf numFmtId="0" fontId="1" fillId="0" borderId="5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6" fontId="0" fillId="0" borderId="18" xfId="0" applyNumberForma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" fontId="5" fillId="0" borderId="7" xfId="2" applyNumberFormat="1" applyFont="1" applyBorder="1"/>
    <xf numFmtId="17" fontId="5" fillId="0" borderId="8" xfId="2" applyNumberFormat="1" applyFont="1" applyBorder="1"/>
    <xf numFmtId="17" fontId="5" fillId="0" borderId="9" xfId="2" applyNumberFormat="1" applyFont="1" applyBorder="1"/>
    <xf numFmtId="5" fontId="0" fillId="3" borderId="10" xfId="0" applyNumberFormat="1" applyFill="1" applyBorder="1"/>
    <xf numFmtId="0" fontId="0" fillId="0" borderId="15" xfId="0" applyBorder="1"/>
    <xf numFmtId="0" fontId="0" fillId="0" borderId="2" xfId="0" applyBorder="1"/>
    <xf numFmtId="5" fontId="0" fillId="0" borderId="3" xfId="0" applyNumberFormat="1" applyBorder="1"/>
    <xf numFmtId="5" fontId="0" fillId="0" borderId="4" xfId="0" applyNumberFormat="1" applyBorder="1"/>
    <xf numFmtId="0" fontId="0" fillId="0" borderId="14" xfId="0" applyBorder="1"/>
    <xf numFmtId="0" fontId="0" fillId="0" borderId="5" xfId="0" applyBorder="1"/>
    <xf numFmtId="5" fontId="0" fillId="0" borderId="1" xfId="0" applyNumberFormat="1" applyBorder="1"/>
    <xf numFmtId="5" fontId="0" fillId="4" borderId="14" xfId="0" applyNumberFormat="1" applyFill="1" applyBorder="1"/>
    <xf numFmtId="5" fontId="2" fillId="4" borderId="0" xfId="3" applyNumberFormat="1" applyFont="1" applyFill="1" applyBorder="1" applyAlignment="1">
      <alignment horizontal="right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M60"/>
  <sheetViews>
    <sheetView tabSelected="1" workbookViewId="0">
      <selection activeCell="H45" sqref="H45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60</v>
      </c>
    </row>
    <row r="4" spans="1:13" ht="14.25" customHeight="1" x14ac:dyDescent="0.2">
      <c r="B4" s="89" t="s">
        <v>48</v>
      </c>
      <c r="C4" s="90"/>
      <c r="D4" s="90"/>
      <c r="E4" s="90"/>
      <c r="F4" s="90"/>
      <c r="G4" s="91"/>
      <c r="I4" s="98" t="s">
        <v>49</v>
      </c>
      <c r="J4" s="99"/>
      <c r="K4" s="99"/>
      <c r="L4" s="99"/>
      <c r="M4" s="100"/>
    </row>
    <row r="5" spans="1:13" ht="14.25" customHeight="1" x14ac:dyDescent="0.2">
      <c r="B5" s="92"/>
      <c r="C5" s="93"/>
      <c r="D5" s="93"/>
      <c r="E5" s="93"/>
      <c r="F5" s="93"/>
      <c r="G5" s="94"/>
      <c r="I5" s="101"/>
      <c r="J5" s="102"/>
      <c r="K5" s="102"/>
      <c r="L5" s="102"/>
      <c r="M5" s="103"/>
    </row>
    <row r="6" spans="1:13" ht="15.75" x14ac:dyDescent="0.25">
      <c r="D6" s="85" t="s">
        <v>54</v>
      </c>
      <c r="I6" s="57"/>
      <c r="J6" s="57"/>
      <c r="K6" s="57"/>
      <c r="L6" s="57"/>
      <c r="M6" s="57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0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x14ac:dyDescent="0.2">
      <c r="A12" s="86"/>
      <c r="B12" s="2">
        <v>1</v>
      </c>
      <c r="C12" s="95" t="s">
        <v>15</v>
      </c>
      <c r="D12" s="96"/>
      <c r="E12" s="96"/>
      <c r="F12" s="96"/>
      <c r="G12" s="97"/>
      <c r="H12" s="86"/>
    </row>
    <row r="13" spans="1:13" ht="15.75" x14ac:dyDescent="0.25">
      <c r="A13" s="32"/>
      <c r="B13" s="2" t="s">
        <v>16</v>
      </c>
      <c r="C13" s="8" t="s">
        <v>55</v>
      </c>
      <c r="D13" s="8"/>
      <c r="E13" s="8"/>
      <c r="F13" s="9"/>
      <c r="G13" s="10">
        <v>-77100</v>
      </c>
      <c r="H13" s="32"/>
      <c r="I13" s="58" t="s">
        <v>50</v>
      </c>
      <c r="J13" s="57"/>
      <c r="K13" s="57"/>
      <c r="L13" s="57"/>
      <c r="M13" s="57"/>
    </row>
    <row r="14" spans="1:13" ht="15" x14ac:dyDescent="0.2">
      <c r="B14" s="5" t="s">
        <v>17</v>
      </c>
      <c r="C14" s="8" t="s">
        <v>18</v>
      </c>
      <c r="D14" s="8"/>
      <c r="E14" s="8"/>
      <c r="F14" s="11"/>
      <c r="G14" s="12">
        <f>G13</f>
        <v>-77100</v>
      </c>
      <c r="I14" s="57"/>
      <c r="J14" s="57"/>
      <c r="K14" s="57"/>
      <c r="L14" s="57"/>
      <c r="M14" s="57"/>
    </row>
    <row r="15" spans="1:13" x14ac:dyDescent="0.2">
      <c r="B15" s="4">
        <v>2</v>
      </c>
      <c r="C15" s="13">
        <v>45658</v>
      </c>
      <c r="D15" s="51">
        <f>750542-1040</f>
        <v>749502</v>
      </c>
      <c r="E15" s="52">
        <f>847581+1297</f>
        <v>848878</v>
      </c>
      <c r="F15" s="14">
        <f t="shared" ref="F15:F22" si="0">D15-E15</f>
        <v>-99376</v>
      </c>
      <c r="G15" s="12">
        <f t="shared" ref="G15:G22" si="1">G14+F15</f>
        <v>-176476</v>
      </c>
      <c r="I15" s="59"/>
      <c r="J15" s="59"/>
      <c r="K15" s="60" t="s">
        <v>0</v>
      </c>
      <c r="L15" s="59"/>
      <c r="M15" s="59"/>
    </row>
    <row r="16" spans="1:13" x14ac:dyDescent="0.2">
      <c r="B16" s="4">
        <v>3</v>
      </c>
      <c r="C16" s="15">
        <v>45689</v>
      </c>
      <c r="D16" s="53">
        <f>1003461-950</f>
        <v>1002511</v>
      </c>
      <c r="E16" s="54">
        <f>858878</f>
        <v>858878</v>
      </c>
      <c r="F16" s="16">
        <f t="shared" si="0"/>
        <v>143633</v>
      </c>
      <c r="G16" s="17">
        <f t="shared" si="1"/>
        <v>-32843</v>
      </c>
      <c r="I16" s="61"/>
      <c r="J16" s="62" t="s">
        <v>1</v>
      </c>
      <c r="K16" s="62" t="s">
        <v>2</v>
      </c>
      <c r="L16" s="61"/>
      <c r="M16" s="61"/>
    </row>
    <row r="17" spans="2:13" x14ac:dyDescent="0.2">
      <c r="B17" s="4">
        <v>4</v>
      </c>
      <c r="C17" s="15">
        <v>45717</v>
      </c>
      <c r="D17" s="53">
        <f>693746-715</f>
        <v>693031</v>
      </c>
      <c r="E17" s="54">
        <f>448726+893</f>
        <v>449619</v>
      </c>
      <c r="F17" s="16">
        <f t="shared" si="0"/>
        <v>243412</v>
      </c>
      <c r="G17" s="17">
        <f t="shared" si="1"/>
        <v>210569</v>
      </c>
      <c r="I17" s="61"/>
      <c r="J17" s="62" t="s">
        <v>3</v>
      </c>
      <c r="K17" s="62" t="s">
        <v>4</v>
      </c>
      <c r="L17" s="62" t="s">
        <v>5</v>
      </c>
      <c r="M17" s="62" t="s">
        <v>6</v>
      </c>
    </row>
    <row r="18" spans="2:13" x14ac:dyDescent="0.2">
      <c r="B18" s="4">
        <v>5</v>
      </c>
      <c r="C18" s="15">
        <v>45748</v>
      </c>
      <c r="D18" s="53">
        <f>260782-405</f>
        <v>260377</v>
      </c>
      <c r="E18" s="54">
        <f>168776+506</f>
        <v>169282</v>
      </c>
      <c r="F18" s="16">
        <f t="shared" si="0"/>
        <v>91095</v>
      </c>
      <c r="G18" s="17">
        <f t="shared" si="1"/>
        <v>301664</v>
      </c>
      <c r="I18" s="63"/>
      <c r="J18" s="63" t="s">
        <v>7</v>
      </c>
      <c r="K18" s="63" t="s">
        <v>7</v>
      </c>
      <c r="L18" s="63" t="s">
        <v>8</v>
      </c>
      <c r="M18" s="63" t="s">
        <v>8</v>
      </c>
    </row>
    <row r="19" spans="2:13" x14ac:dyDescent="0.2">
      <c r="B19" s="4">
        <v>6</v>
      </c>
      <c r="C19" s="15">
        <v>45778</v>
      </c>
      <c r="D19" s="53">
        <f>263636-561</f>
        <v>263075</v>
      </c>
      <c r="E19" s="54">
        <f>313178+699</f>
        <v>313877</v>
      </c>
      <c r="F19" s="16">
        <f t="shared" si="0"/>
        <v>-50802</v>
      </c>
      <c r="G19" s="17">
        <f t="shared" si="1"/>
        <v>250862</v>
      </c>
      <c r="I19" s="64" t="s">
        <v>10</v>
      </c>
      <c r="J19" s="65" t="s">
        <v>51</v>
      </c>
      <c r="K19" s="65" t="s">
        <v>11</v>
      </c>
      <c r="L19" s="65" t="s">
        <v>12</v>
      </c>
      <c r="M19" s="65" t="s">
        <v>13</v>
      </c>
    </row>
    <row r="20" spans="2:13" x14ac:dyDescent="0.2">
      <c r="B20" s="4">
        <v>7</v>
      </c>
      <c r="C20" s="15">
        <v>45809</v>
      </c>
      <c r="D20" s="53">
        <f>341850-840</f>
        <v>341010</v>
      </c>
      <c r="E20" s="54">
        <f>526339+1049</f>
        <v>527388</v>
      </c>
      <c r="F20" s="18">
        <f t="shared" si="0"/>
        <v>-186378</v>
      </c>
      <c r="G20" s="19">
        <f t="shared" si="1"/>
        <v>64484</v>
      </c>
      <c r="I20" s="66">
        <v>45658</v>
      </c>
      <c r="J20" s="67">
        <f>53029+85187</f>
        <v>138216</v>
      </c>
      <c r="K20" s="68">
        <f>139513-1297</f>
        <v>138216</v>
      </c>
      <c r="L20" s="69">
        <f t="shared" ref="L20:L27" si="2">J20-K20</f>
        <v>0</v>
      </c>
      <c r="M20" s="70">
        <f>L20</f>
        <v>0</v>
      </c>
    </row>
    <row r="21" spans="2:13" x14ac:dyDescent="0.2">
      <c r="B21" s="20" t="s">
        <v>19</v>
      </c>
      <c r="C21" s="13">
        <v>45839</v>
      </c>
      <c r="D21" s="51">
        <f>536587-991</f>
        <v>535596</v>
      </c>
      <c r="E21" s="52">
        <f>687226+1230</f>
        <v>688456</v>
      </c>
      <c r="F21" s="14">
        <f t="shared" si="0"/>
        <v>-152860</v>
      </c>
      <c r="G21" s="12">
        <f t="shared" si="1"/>
        <v>-88376</v>
      </c>
      <c r="I21" s="71">
        <v>45689</v>
      </c>
      <c r="J21" s="67">
        <f>56365+100093</f>
        <v>156458</v>
      </c>
      <c r="K21" s="68">
        <f>157642-1184</f>
        <v>156458</v>
      </c>
      <c r="L21" s="70">
        <f t="shared" si="2"/>
        <v>0</v>
      </c>
      <c r="M21" s="70">
        <f t="shared" ref="M21:M27" si="3">M20+L21</f>
        <v>0</v>
      </c>
    </row>
    <row r="22" spans="2:13" x14ac:dyDescent="0.2">
      <c r="B22" s="21" t="s">
        <v>20</v>
      </c>
      <c r="C22" s="22">
        <v>45870</v>
      </c>
      <c r="D22" s="87">
        <f>760962-0</f>
        <v>760962</v>
      </c>
      <c r="E22" s="88">
        <f>814383+1412</f>
        <v>815795</v>
      </c>
      <c r="F22" s="18">
        <f t="shared" si="0"/>
        <v>-54833</v>
      </c>
      <c r="G22" s="19">
        <f t="shared" si="1"/>
        <v>-143209</v>
      </c>
      <c r="I22" s="71">
        <v>45717</v>
      </c>
      <c r="J22" s="67">
        <f>50443+99327</f>
        <v>149770</v>
      </c>
      <c r="K22" s="67">
        <f>150663-893</f>
        <v>149770</v>
      </c>
      <c r="L22" s="70">
        <f t="shared" si="2"/>
        <v>0</v>
      </c>
      <c r="M22" s="70">
        <f t="shared" si="3"/>
        <v>0</v>
      </c>
    </row>
    <row r="23" spans="2:13" x14ac:dyDescent="0.2">
      <c r="B23" s="5"/>
      <c r="C23" s="23" t="s">
        <v>56</v>
      </c>
      <c r="D23" s="24"/>
      <c r="E23" s="24"/>
      <c r="F23" s="24"/>
      <c r="G23" s="25"/>
      <c r="I23" s="71">
        <v>45748</v>
      </c>
      <c r="J23" s="67">
        <f>26079+21099</f>
        <v>47178</v>
      </c>
      <c r="K23" s="67">
        <f>47684-506</f>
        <v>47178</v>
      </c>
      <c r="L23" s="70">
        <f t="shared" si="2"/>
        <v>0</v>
      </c>
      <c r="M23" s="70">
        <f t="shared" si="3"/>
        <v>0</v>
      </c>
    </row>
    <row r="24" spans="2:13" x14ac:dyDescent="0.2">
      <c r="B24" s="2"/>
      <c r="C24" s="1"/>
      <c r="D24" s="1"/>
      <c r="E24" s="1"/>
      <c r="F24" s="1"/>
      <c r="G24" s="12"/>
      <c r="I24" s="71">
        <v>45778</v>
      </c>
      <c r="J24" s="67">
        <f>31092+28315</f>
        <v>59407</v>
      </c>
      <c r="K24" s="72">
        <f>60106-699</f>
        <v>59407</v>
      </c>
      <c r="L24" s="70">
        <f t="shared" si="2"/>
        <v>0</v>
      </c>
      <c r="M24" s="70">
        <f t="shared" si="3"/>
        <v>0</v>
      </c>
    </row>
    <row r="25" spans="2:13" x14ac:dyDescent="0.2">
      <c r="B25" s="4"/>
      <c r="C25" s="3"/>
      <c r="D25" s="4" t="s">
        <v>21</v>
      </c>
      <c r="E25" s="4" t="s">
        <v>22</v>
      </c>
      <c r="F25" s="3"/>
      <c r="G25" s="17"/>
      <c r="I25" s="73">
        <v>45809</v>
      </c>
      <c r="J25" s="72">
        <f>48123+42102</f>
        <v>90225</v>
      </c>
      <c r="K25" s="74">
        <f>91274-1049</f>
        <v>90225</v>
      </c>
      <c r="L25" s="75">
        <f t="shared" si="2"/>
        <v>0</v>
      </c>
      <c r="M25" s="75">
        <f t="shared" si="3"/>
        <v>0</v>
      </c>
    </row>
    <row r="26" spans="2:13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  <c r="I26" s="71">
        <v>45839</v>
      </c>
      <c r="J26" s="76">
        <f>54960+55718</f>
        <v>110678</v>
      </c>
      <c r="K26" s="76">
        <f>111908-1230</f>
        <v>110678</v>
      </c>
      <c r="L26" s="70">
        <f t="shared" si="2"/>
        <v>0</v>
      </c>
      <c r="M26" s="70">
        <f t="shared" si="3"/>
        <v>0</v>
      </c>
    </row>
    <row r="27" spans="2:13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  <c r="I27" s="73">
        <v>45870</v>
      </c>
      <c r="J27" s="74">
        <f>69342+56986</f>
        <v>126328</v>
      </c>
      <c r="K27" s="74">
        <f>127740-1412</f>
        <v>126328</v>
      </c>
      <c r="L27" s="75">
        <f t="shared" si="2"/>
        <v>0</v>
      </c>
      <c r="M27" s="75">
        <f t="shared" si="3"/>
        <v>0</v>
      </c>
    </row>
    <row r="28" spans="2:13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  <c r="I28" s="77"/>
      <c r="J28" s="77"/>
      <c r="K28" s="77"/>
      <c r="L28" s="77"/>
      <c r="M28" s="77"/>
    </row>
    <row r="29" spans="2:13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  <c r="I29" s="78" t="s">
        <v>52</v>
      </c>
      <c r="J29" s="79"/>
      <c r="K29" s="79"/>
      <c r="L29" s="80"/>
      <c r="M29" s="81">
        <f>M25</f>
        <v>0</v>
      </c>
    </row>
    <row r="30" spans="2:13" x14ac:dyDescent="0.2">
      <c r="B30" s="20" t="s">
        <v>34</v>
      </c>
      <c r="C30" s="55" t="s">
        <v>58</v>
      </c>
      <c r="D30" s="35">
        <f>-G13</f>
        <v>77100</v>
      </c>
      <c r="E30" s="35">
        <f>D60</f>
        <v>0</v>
      </c>
      <c r="F30" s="55"/>
      <c r="G30" s="35">
        <f t="shared" ref="G30" si="4">D30+E30</f>
        <v>77100</v>
      </c>
      <c r="I30" s="77"/>
      <c r="J30" s="77"/>
      <c r="K30" s="77"/>
      <c r="L30" s="77"/>
      <c r="M30" s="82"/>
    </row>
    <row r="31" spans="2:13" x14ac:dyDescent="0.2">
      <c r="B31" s="5" t="s">
        <v>35</v>
      </c>
      <c r="C31" s="29"/>
      <c r="D31" s="30"/>
      <c r="E31" s="30"/>
      <c r="F31" s="31" t="s">
        <v>36</v>
      </c>
      <c r="G31" s="19">
        <f>G30</f>
        <v>77100</v>
      </c>
      <c r="I31" s="78" t="s">
        <v>53</v>
      </c>
      <c r="J31" s="79"/>
      <c r="K31" s="79"/>
      <c r="L31" s="80"/>
      <c r="M31" s="81">
        <f>M29/6</f>
        <v>0</v>
      </c>
    </row>
    <row r="32" spans="2:13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141584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57</v>
      </c>
      <c r="D35" s="8"/>
      <c r="E35" s="8"/>
      <c r="F35" s="9"/>
      <c r="G35" s="35">
        <f>G33/6</f>
        <v>23597.333333333332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s="40" t="s">
        <v>38</v>
      </c>
      <c r="D39" s="40"/>
      <c r="E39" s="40"/>
      <c r="F39" s="40"/>
      <c r="G39" s="41">
        <f>G14</f>
        <v>-77100</v>
      </c>
    </row>
    <row r="40" spans="2:7" x14ac:dyDescent="0.2">
      <c r="B40" s="4">
        <v>12</v>
      </c>
      <c r="C40" s="40" t="s">
        <v>39</v>
      </c>
      <c r="D40" s="40"/>
      <c r="E40" s="40"/>
      <c r="F40" s="40"/>
      <c r="G40" s="42">
        <f>G31</f>
        <v>77100</v>
      </c>
    </row>
    <row r="41" spans="2:7" x14ac:dyDescent="0.2">
      <c r="B41" s="4"/>
      <c r="C41" s="40"/>
      <c r="D41" s="40"/>
      <c r="E41" s="40"/>
      <c r="F41" s="40"/>
      <c r="G41" s="41"/>
    </row>
    <row r="42" spans="2:7" ht="15" thickBot="1" x14ac:dyDescent="0.25">
      <c r="B42" s="4">
        <v>13</v>
      </c>
      <c r="C42" s="40" t="s">
        <v>40</v>
      </c>
      <c r="D42" s="40"/>
      <c r="E42" s="40"/>
      <c r="F42" s="40"/>
      <c r="G42" s="43">
        <f>G39+G40</f>
        <v>0</v>
      </c>
    </row>
    <row r="43" spans="2:7" ht="15" thickTop="1" x14ac:dyDescent="0.2">
      <c r="B43" s="4"/>
      <c r="C43" s="40"/>
      <c r="D43" s="40"/>
      <c r="E43" s="40"/>
      <c r="F43" s="40"/>
      <c r="G43" s="41"/>
    </row>
    <row r="44" spans="2:7" x14ac:dyDescent="0.2">
      <c r="B44" s="4">
        <v>14</v>
      </c>
      <c r="C44" s="40" t="s">
        <v>41</v>
      </c>
      <c r="D44" s="40"/>
      <c r="E44" s="40"/>
      <c r="F44" s="40"/>
      <c r="G44" s="41">
        <f>G33</f>
        <v>141584</v>
      </c>
    </row>
    <row r="45" spans="2:7" x14ac:dyDescent="0.2">
      <c r="B45" s="4"/>
      <c r="C45" s="40"/>
      <c r="D45" s="40"/>
      <c r="E45" s="40"/>
      <c r="F45" s="40"/>
      <c r="G45" s="41"/>
    </row>
    <row r="46" spans="2:7" x14ac:dyDescent="0.2">
      <c r="B46" s="4">
        <v>15</v>
      </c>
      <c r="C46" s="40" t="s">
        <v>42</v>
      </c>
      <c r="D46" s="40"/>
      <c r="E46" s="40"/>
      <c r="F46" s="40"/>
      <c r="G46" s="42">
        <f>SUM(F15:F20)</f>
        <v>141584</v>
      </c>
    </row>
    <row r="47" spans="2:7" x14ac:dyDescent="0.2">
      <c r="B47" s="4"/>
      <c r="C47" s="40"/>
      <c r="D47" s="40"/>
      <c r="E47" s="40"/>
      <c r="F47" s="40"/>
      <c r="G47" s="41"/>
    </row>
    <row r="48" spans="2:7" ht="15" thickBot="1" x14ac:dyDescent="0.25">
      <c r="B48" s="4">
        <v>16</v>
      </c>
      <c r="C48" s="40" t="s">
        <v>43</v>
      </c>
      <c r="D48" s="40"/>
      <c r="E48" s="40"/>
      <c r="F48" s="40"/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83"/>
      <c r="G52" s="83"/>
    </row>
    <row r="53" spans="2:7" x14ac:dyDescent="0.2">
      <c r="B53" s="32"/>
      <c r="C53" s="5" t="s">
        <v>10</v>
      </c>
      <c r="D53" s="5" t="s">
        <v>59</v>
      </c>
      <c r="E53" s="27"/>
      <c r="F53" s="83"/>
      <c r="G53" s="83"/>
    </row>
    <row r="54" spans="2:7" x14ac:dyDescent="0.2">
      <c r="C54" s="13">
        <v>45658</v>
      </c>
      <c r="D54" s="46">
        <v>0</v>
      </c>
      <c r="E54" s="84"/>
      <c r="F54" s="56"/>
      <c r="G54" s="56"/>
    </row>
    <row r="55" spans="2:7" x14ac:dyDescent="0.2">
      <c r="C55" s="15">
        <v>45689</v>
      </c>
      <c r="D55" s="47">
        <v>0</v>
      </c>
      <c r="E55" s="84"/>
      <c r="F55" s="56"/>
      <c r="G55" s="56"/>
    </row>
    <row r="56" spans="2:7" x14ac:dyDescent="0.2">
      <c r="C56" s="15">
        <v>45717</v>
      </c>
      <c r="D56" s="47">
        <v>0</v>
      </c>
      <c r="E56" s="84"/>
      <c r="F56" s="56"/>
      <c r="G56" s="56"/>
    </row>
    <row r="57" spans="2:7" x14ac:dyDescent="0.2">
      <c r="C57" s="15">
        <v>45748</v>
      </c>
      <c r="D57" s="47">
        <v>0</v>
      </c>
      <c r="E57" s="84"/>
      <c r="F57" s="56"/>
      <c r="G57" s="56"/>
    </row>
    <row r="58" spans="2:7" x14ac:dyDescent="0.2">
      <c r="C58" s="15">
        <v>45778</v>
      </c>
      <c r="D58" s="47">
        <v>0</v>
      </c>
      <c r="E58" s="84"/>
      <c r="F58" s="56"/>
      <c r="G58" s="56"/>
    </row>
    <row r="59" spans="2:7" x14ac:dyDescent="0.2">
      <c r="C59" s="15">
        <v>45809</v>
      </c>
      <c r="D59" s="48">
        <v>0</v>
      </c>
      <c r="E59" s="84"/>
      <c r="F59" s="56"/>
      <c r="G59" s="56"/>
    </row>
    <row r="60" spans="2:7" x14ac:dyDescent="0.2">
      <c r="C60" s="49" t="s">
        <v>46</v>
      </c>
      <c r="D60" s="35">
        <f>SUM(D54:D59)</f>
        <v>0</v>
      </c>
      <c r="E60" s="16"/>
      <c r="F60" s="56"/>
      <c r="G60" s="56"/>
    </row>
  </sheetData>
  <mergeCells count="3">
    <mergeCell ref="B4:G5"/>
    <mergeCell ref="C12:G12"/>
    <mergeCell ref="I4:M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9D742-E81C-48D1-9823-1F0C5185A370}">
  <sheetPr codeName="Sheet2"/>
  <dimension ref="A1:F25"/>
  <sheetViews>
    <sheetView workbookViewId="0">
      <selection activeCell="A2" sqref="A2"/>
    </sheetView>
  </sheetViews>
  <sheetFormatPr defaultColWidth="15.625" defaultRowHeight="14.25" x14ac:dyDescent="0.2"/>
  <sheetData>
    <row r="1" spans="1:6" x14ac:dyDescent="0.2">
      <c r="A1" t="str">
        <f>'Current 05-31-25'!$A$1</f>
        <v>Staff DR1 Response 2 - Inter-County Surcharge Summary.xlsx</v>
      </c>
    </row>
    <row r="3" spans="1:6" ht="15" x14ac:dyDescent="0.25">
      <c r="C3" s="104" t="s">
        <v>61</v>
      </c>
      <c r="D3" s="104"/>
      <c r="E3" s="104"/>
    </row>
    <row r="4" spans="1:6" ht="15" x14ac:dyDescent="0.25">
      <c r="B4" s="104" t="s">
        <v>62</v>
      </c>
      <c r="C4" s="104"/>
      <c r="D4" s="104"/>
      <c r="E4" s="104"/>
      <c r="F4" s="104"/>
    </row>
    <row r="6" spans="1:6" ht="15" thickBot="1" x14ac:dyDescent="0.25">
      <c r="E6" s="105" t="s">
        <v>63</v>
      </c>
    </row>
    <row r="7" spans="1:6" x14ac:dyDescent="0.2">
      <c r="B7" t="s">
        <v>64</v>
      </c>
    </row>
    <row r="8" spans="1:6" x14ac:dyDescent="0.2">
      <c r="B8" t="s">
        <v>65</v>
      </c>
      <c r="E8" s="106">
        <f>'A - 05-31-22'!G33</f>
        <v>459556.97</v>
      </c>
      <c r="F8" s="107" t="str">
        <f>IF(E8&gt;0,"Under-Recovery","Over-Recovery")</f>
        <v>Under-Recovery</v>
      </c>
    </row>
    <row r="9" spans="1:6" x14ac:dyDescent="0.2">
      <c r="B9" t="s">
        <v>66</v>
      </c>
      <c r="E9" s="106">
        <f>'B - 11-30-22'!G35</f>
        <v>74984.409999999916</v>
      </c>
      <c r="F9" s="107" t="str">
        <f t="shared" ref="F9:F13" si="0">IF(E9&gt;0,"Under-Recovery","Over-Recovery")</f>
        <v>Under-Recovery</v>
      </c>
    </row>
    <row r="10" spans="1:6" x14ac:dyDescent="0.2">
      <c r="B10" t="s">
        <v>67</v>
      </c>
      <c r="E10" s="106">
        <f>'C - 05-31-23'!G37</f>
        <v>30842.019999999902</v>
      </c>
      <c r="F10" s="107" t="str">
        <f t="shared" si="0"/>
        <v>Under-Recovery</v>
      </c>
    </row>
    <row r="11" spans="1:6" x14ac:dyDescent="0.2">
      <c r="B11" t="s">
        <v>68</v>
      </c>
      <c r="E11" s="106">
        <f>'D - 11-30-23'!G39</f>
        <v>-211728.84999999998</v>
      </c>
      <c r="F11" s="107" t="str">
        <f t="shared" si="0"/>
        <v>Over-Recovery</v>
      </c>
    </row>
    <row r="12" spans="1:6" x14ac:dyDescent="0.2">
      <c r="B12" t="s">
        <v>69</v>
      </c>
      <c r="E12" s="106">
        <f>'E - 05-31-24'!G41</f>
        <v>20717.229999999981</v>
      </c>
      <c r="F12" s="107" t="str">
        <f t="shared" si="0"/>
        <v>Under-Recovery</v>
      </c>
    </row>
    <row r="13" spans="1:6" x14ac:dyDescent="0.2">
      <c r="B13" t="s">
        <v>70</v>
      </c>
      <c r="E13" s="106">
        <f>'F - 11-30-24'!G43</f>
        <v>-451472.01999999996</v>
      </c>
      <c r="F13" s="107" t="str">
        <f t="shared" si="0"/>
        <v>Over-Recovery</v>
      </c>
    </row>
    <row r="14" spans="1:6" x14ac:dyDescent="0.2">
      <c r="E14" s="106"/>
    </row>
    <row r="15" spans="1:6" ht="15" thickBot="1" x14ac:dyDescent="0.25">
      <c r="B15" t="s">
        <v>71</v>
      </c>
      <c r="E15" s="108">
        <f>SUM(E8:E13)</f>
        <v>-77100.240000000165</v>
      </c>
      <c r="F15" s="107" t="str">
        <f>IF(E15&gt;0,"Under-Recovery","Over-Recovery")</f>
        <v>Over-Recovery</v>
      </c>
    </row>
    <row r="16" spans="1:6" ht="15" thickTop="1" x14ac:dyDescent="0.2"/>
    <row r="20" spans="2:6" ht="15" x14ac:dyDescent="0.25">
      <c r="B20" s="104" t="s">
        <v>72</v>
      </c>
      <c r="C20" s="104"/>
      <c r="D20" s="104"/>
      <c r="E20" s="104"/>
      <c r="F20" s="104"/>
    </row>
    <row r="22" spans="2:6" x14ac:dyDescent="0.2">
      <c r="B22" t="s">
        <v>73</v>
      </c>
      <c r="E22" s="106">
        <f>ROUND(E15/6,0)</f>
        <v>-12850</v>
      </c>
    </row>
    <row r="23" spans="2:6" x14ac:dyDescent="0.2">
      <c r="E23" s="106"/>
    </row>
    <row r="24" spans="2:6" x14ac:dyDescent="0.2">
      <c r="B24" t="s">
        <v>74</v>
      </c>
      <c r="E24" s="106">
        <f>ROUND(E15/12,0)</f>
        <v>-6425</v>
      </c>
    </row>
    <row r="25" spans="2:6" x14ac:dyDescent="0.2">
      <c r="E25" s="106"/>
    </row>
  </sheetData>
  <mergeCells count="3">
    <mergeCell ref="C3:E3"/>
    <mergeCell ref="B4:F4"/>
    <mergeCell ref="B20:F2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EE4C-BBFD-4B26-8E50-5F657DA2CF13}">
  <sheetPr codeName="Sheet3"/>
  <dimension ref="A1:M6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Inter-County Surcharge Summary.xlsx</v>
      </c>
    </row>
    <row r="4" spans="1:13" ht="14.25" customHeight="1" x14ac:dyDescent="0.2">
      <c r="B4" s="109" t="s">
        <v>48</v>
      </c>
      <c r="C4" s="110"/>
      <c r="D4" s="110"/>
      <c r="E4" s="110"/>
      <c r="F4" s="110"/>
      <c r="G4" s="111"/>
      <c r="I4" s="98" t="s">
        <v>49</v>
      </c>
      <c r="J4" s="99"/>
      <c r="K4" s="99"/>
      <c r="L4" s="99"/>
      <c r="M4" s="100"/>
    </row>
    <row r="5" spans="1:13" ht="14.25" customHeight="1" x14ac:dyDescent="0.2">
      <c r="B5" s="112"/>
      <c r="C5" s="113"/>
      <c r="D5" s="113"/>
      <c r="E5" s="113"/>
      <c r="F5" s="113"/>
      <c r="G5" s="114"/>
      <c r="I5" s="101"/>
      <c r="J5" s="102"/>
      <c r="K5" s="102"/>
      <c r="L5" s="102"/>
      <c r="M5" s="103"/>
    </row>
    <row r="6" spans="1:13" ht="15" x14ac:dyDescent="0.2">
      <c r="I6" s="57"/>
      <c r="J6" s="57"/>
      <c r="K6" s="57"/>
      <c r="L6" s="57"/>
      <c r="M6" s="57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ht="15.75" x14ac:dyDescent="0.25">
      <c r="B8" s="3"/>
      <c r="C8" s="3"/>
      <c r="D8" s="4" t="s">
        <v>1</v>
      </c>
      <c r="E8" s="4" t="s">
        <v>2</v>
      </c>
      <c r="F8" s="3"/>
      <c r="G8" s="3"/>
      <c r="I8" s="58" t="s">
        <v>50</v>
      </c>
      <c r="J8" s="57"/>
      <c r="K8" s="57"/>
      <c r="L8" s="57"/>
      <c r="M8" s="57"/>
    </row>
    <row r="9" spans="1:13" ht="15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  <c r="I9" s="57"/>
      <c r="J9" s="57"/>
      <c r="K9" s="57"/>
      <c r="L9" s="57"/>
      <c r="M9" s="57"/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59"/>
      <c r="J10" s="59"/>
      <c r="K10" s="60" t="s">
        <v>0</v>
      </c>
      <c r="L10" s="59"/>
      <c r="M10" s="59"/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61"/>
      <c r="J11" s="62" t="s">
        <v>1</v>
      </c>
      <c r="K11" s="62" t="s">
        <v>2</v>
      </c>
      <c r="L11" s="61"/>
      <c r="M11" s="61"/>
    </row>
    <row r="12" spans="1:13" x14ac:dyDescent="0.2">
      <c r="B12" s="2">
        <v>1</v>
      </c>
      <c r="C12" s="95" t="s">
        <v>15</v>
      </c>
      <c r="D12" s="96"/>
      <c r="E12" s="96"/>
      <c r="F12" s="96"/>
      <c r="G12" s="97"/>
      <c r="I12" s="61"/>
      <c r="J12" s="62" t="s">
        <v>3</v>
      </c>
      <c r="K12" s="62" t="s">
        <v>4</v>
      </c>
      <c r="L12" s="62" t="s">
        <v>5</v>
      </c>
      <c r="M12" s="62" t="s">
        <v>6</v>
      </c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176386</v>
      </c>
      <c r="I13" s="63"/>
      <c r="J13" s="63" t="s">
        <v>7</v>
      </c>
      <c r="K13" s="63" t="s">
        <v>7</v>
      </c>
      <c r="L13" s="63" t="s">
        <v>8</v>
      </c>
      <c r="M13" s="63" t="s">
        <v>8</v>
      </c>
    </row>
    <row r="14" spans="1:13" x14ac:dyDescent="0.2">
      <c r="B14" s="5" t="s">
        <v>17</v>
      </c>
      <c r="C14" s="8" t="s">
        <v>18</v>
      </c>
      <c r="D14" s="8"/>
      <c r="E14" s="8"/>
      <c r="F14" s="11"/>
      <c r="G14" s="12">
        <f>G13</f>
        <v>176386</v>
      </c>
      <c r="I14" s="64" t="s">
        <v>10</v>
      </c>
      <c r="J14" s="65" t="s">
        <v>51</v>
      </c>
      <c r="K14" s="65" t="s">
        <v>11</v>
      </c>
      <c r="L14" s="65" t="s">
        <v>12</v>
      </c>
      <c r="M14" s="65" t="s">
        <v>13</v>
      </c>
    </row>
    <row r="15" spans="1:13" x14ac:dyDescent="0.2">
      <c r="B15" s="4">
        <v>2</v>
      </c>
      <c r="C15" s="13">
        <v>44562</v>
      </c>
      <c r="D15" s="51">
        <f>646903-876-1169</f>
        <v>644858</v>
      </c>
      <c r="E15" s="52">
        <f>532957.91</f>
        <v>532957.91</v>
      </c>
      <c r="F15" s="14">
        <f t="shared" ref="F15:F22" si="0">D15-E15</f>
        <v>111900.08999999997</v>
      </c>
      <c r="G15" s="12">
        <f t="shared" ref="G15:G22" si="1">G14+F15</f>
        <v>288286.08999999997</v>
      </c>
      <c r="I15" s="115">
        <v>44562</v>
      </c>
      <c r="J15" s="67">
        <f>60993+(87364+1169)</f>
        <v>149526</v>
      </c>
      <c r="K15" s="68">
        <f>149526</f>
        <v>149526</v>
      </c>
      <c r="L15" s="69">
        <f t="shared" ref="L15:L22" si="2">J15-K15</f>
        <v>0</v>
      </c>
      <c r="M15" s="70">
        <f>L15</f>
        <v>0</v>
      </c>
    </row>
    <row r="16" spans="1:13" x14ac:dyDescent="0.2">
      <c r="B16" s="4">
        <v>3</v>
      </c>
      <c r="C16" s="15">
        <v>44593</v>
      </c>
      <c r="D16" s="53">
        <f>577611-598-795</f>
        <v>576218</v>
      </c>
      <c r="E16" s="54">
        <f>406225.14</f>
        <v>406225.14</v>
      </c>
      <c r="F16" s="16">
        <f t="shared" si="0"/>
        <v>169992.86</v>
      </c>
      <c r="G16" s="17">
        <f t="shared" si="1"/>
        <v>458278.94999999995</v>
      </c>
      <c r="I16" s="116">
        <v>44593</v>
      </c>
      <c r="J16" s="67">
        <f>40419+(47996+795)</f>
        <v>89210</v>
      </c>
      <c r="K16" s="68">
        <f>89210</f>
        <v>89210</v>
      </c>
      <c r="L16" s="70">
        <f t="shared" si="2"/>
        <v>0</v>
      </c>
      <c r="M16" s="70">
        <f t="shared" ref="M16:M22" si="3">M15+L16</f>
        <v>0</v>
      </c>
    </row>
    <row r="17" spans="2:13" x14ac:dyDescent="0.2">
      <c r="B17" s="4">
        <v>4</v>
      </c>
      <c r="C17" s="15">
        <v>44621</v>
      </c>
      <c r="D17" s="53">
        <f>450293-290-781</f>
        <v>449222</v>
      </c>
      <c r="E17" s="54">
        <v>346506.95</v>
      </c>
      <c r="F17" s="16">
        <f t="shared" si="0"/>
        <v>102715.04999999999</v>
      </c>
      <c r="G17" s="17">
        <f t="shared" si="1"/>
        <v>560994</v>
      </c>
      <c r="I17" s="116">
        <v>44621</v>
      </c>
      <c r="J17" s="67">
        <f>38052+(58597+781)</f>
        <v>97430</v>
      </c>
      <c r="K17" s="67">
        <v>97430</v>
      </c>
      <c r="L17" s="70">
        <f t="shared" si="2"/>
        <v>0</v>
      </c>
      <c r="M17" s="70">
        <f t="shared" si="3"/>
        <v>0</v>
      </c>
    </row>
    <row r="18" spans="2:13" x14ac:dyDescent="0.2">
      <c r="B18" s="4">
        <v>5</v>
      </c>
      <c r="C18" s="15">
        <v>44652</v>
      </c>
      <c r="D18" s="53">
        <f>287591-454-601</f>
        <v>286536</v>
      </c>
      <c r="E18" s="54">
        <v>201135.47</v>
      </c>
      <c r="F18" s="16">
        <f t="shared" si="0"/>
        <v>85400.53</v>
      </c>
      <c r="G18" s="17">
        <f t="shared" si="1"/>
        <v>646394.53</v>
      </c>
      <c r="I18" s="116">
        <v>44652</v>
      </c>
      <c r="J18" s="67">
        <f>31258+(53956+601)</f>
        <v>85815</v>
      </c>
      <c r="K18" s="67">
        <v>85815</v>
      </c>
      <c r="L18" s="70">
        <f t="shared" si="2"/>
        <v>0</v>
      </c>
      <c r="M18" s="70">
        <f t="shared" si="3"/>
        <v>0</v>
      </c>
    </row>
    <row r="19" spans="2:13" x14ac:dyDescent="0.2">
      <c r="B19" s="4">
        <v>6</v>
      </c>
      <c r="C19" s="15">
        <v>44682</v>
      </c>
      <c r="D19" s="53">
        <f>327320-667-881</f>
        <v>325772</v>
      </c>
      <c r="E19" s="54">
        <v>318733.90000000002</v>
      </c>
      <c r="F19" s="16">
        <f t="shared" si="0"/>
        <v>7038.0999999999767</v>
      </c>
      <c r="G19" s="17">
        <f t="shared" si="1"/>
        <v>653432.63</v>
      </c>
      <c r="I19" s="116">
        <v>44682</v>
      </c>
      <c r="J19" s="67">
        <f>42230+58862+881</f>
        <v>101973</v>
      </c>
      <c r="K19" s="72">
        <v>101973</v>
      </c>
      <c r="L19" s="70">
        <f t="shared" si="2"/>
        <v>0</v>
      </c>
      <c r="M19" s="70">
        <f t="shared" si="3"/>
        <v>0</v>
      </c>
    </row>
    <row r="20" spans="2:13" x14ac:dyDescent="0.2">
      <c r="B20" s="4">
        <v>7</v>
      </c>
      <c r="C20" s="15">
        <v>44713</v>
      </c>
      <c r="D20" s="53">
        <f>340563-711-935</f>
        <v>338917</v>
      </c>
      <c r="E20" s="54">
        <v>356406.66</v>
      </c>
      <c r="F20" s="18">
        <f t="shared" si="0"/>
        <v>-17489.659999999974</v>
      </c>
      <c r="G20" s="19">
        <f t="shared" si="1"/>
        <v>635942.97</v>
      </c>
      <c r="I20" s="117">
        <v>44713</v>
      </c>
      <c r="J20" s="72">
        <f>48032+(66759+935)</f>
        <v>115726</v>
      </c>
      <c r="K20" s="74">
        <v>115726</v>
      </c>
      <c r="L20" s="75">
        <f t="shared" si="2"/>
        <v>0</v>
      </c>
      <c r="M20" s="75">
        <f t="shared" si="3"/>
        <v>0</v>
      </c>
    </row>
    <row r="21" spans="2:13" x14ac:dyDescent="0.2">
      <c r="B21" s="20" t="s">
        <v>19</v>
      </c>
      <c r="C21" s="13">
        <v>44743</v>
      </c>
      <c r="D21" s="51">
        <f>488298-61-1051</f>
        <v>487186</v>
      </c>
      <c r="E21" s="52">
        <v>499169.81</v>
      </c>
      <c r="F21" s="14">
        <f t="shared" si="0"/>
        <v>-11983.809999999998</v>
      </c>
      <c r="G21" s="12">
        <f t="shared" si="1"/>
        <v>623959.15999999992</v>
      </c>
      <c r="I21" s="116">
        <v>44743</v>
      </c>
      <c r="J21" s="76">
        <f>60813+(91845+1051)</f>
        <v>153709</v>
      </c>
      <c r="K21" s="76">
        <v>153709</v>
      </c>
      <c r="L21" s="70">
        <f t="shared" si="2"/>
        <v>0</v>
      </c>
      <c r="M21" s="70">
        <f t="shared" si="3"/>
        <v>0</v>
      </c>
    </row>
    <row r="22" spans="2:13" x14ac:dyDescent="0.2">
      <c r="B22" s="21" t="s">
        <v>20</v>
      </c>
      <c r="C22" s="22">
        <v>44774</v>
      </c>
      <c r="D22" s="87">
        <f>560383-771-1011</f>
        <v>558601</v>
      </c>
      <c r="E22" s="88">
        <v>452994</v>
      </c>
      <c r="F22" s="18">
        <f t="shared" si="0"/>
        <v>105607</v>
      </c>
      <c r="G22" s="19">
        <f t="shared" si="1"/>
        <v>729566.15999999992</v>
      </c>
      <c r="I22" s="117">
        <v>44774</v>
      </c>
      <c r="J22" s="74">
        <f>64517+77028+1011</f>
        <v>142556</v>
      </c>
      <c r="K22" s="74">
        <v>142556</v>
      </c>
      <c r="L22" s="75">
        <f t="shared" si="2"/>
        <v>0</v>
      </c>
      <c r="M22" s="75">
        <f t="shared" si="3"/>
        <v>0</v>
      </c>
    </row>
    <row r="23" spans="2:13" x14ac:dyDescent="0.2">
      <c r="B23" s="5"/>
      <c r="C23" s="23" t="s">
        <v>76</v>
      </c>
      <c r="D23" s="24"/>
      <c r="E23" s="24"/>
      <c r="F23" s="24"/>
      <c r="G23" s="25"/>
      <c r="I23" s="77"/>
      <c r="J23" s="77"/>
      <c r="K23" s="77"/>
      <c r="L23" s="77"/>
      <c r="M23" s="77"/>
    </row>
    <row r="24" spans="2:13" x14ac:dyDescent="0.2">
      <c r="B24" s="2"/>
      <c r="C24" s="1"/>
      <c r="D24" s="1"/>
      <c r="E24" s="1"/>
      <c r="F24" s="1"/>
      <c r="G24" s="12"/>
      <c r="I24" s="78" t="s">
        <v>52</v>
      </c>
      <c r="J24" s="79"/>
      <c r="K24" s="79"/>
      <c r="L24" s="80"/>
      <c r="M24" s="81">
        <f>M20</f>
        <v>0</v>
      </c>
    </row>
    <row r="25" spans="2:13" x14ac:dyDescent="0.2">
      <c r="B25" s="4"/>
      <c r="C25" s="3"/>
      <c r="D25" s="4" t="s">
        <v>21</v>
      </c>
      <c r="E25" s="4" t="s">
        <v>22</v>
      </c>
      <c r="F25" s="3"/>
      <c r="G25" s="17"/>
      <c r="I25" s="77"/>
      <c r="J25" s="77"/>
      <c r="K25" s="77"/>
      <c r="L25" s="77"/>
      <c r="M25" s="82"/>
    </row>
    <row r="26" spans="2:13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  <c r="I26" s="78" t="s">
        <v>53</v>
      </c>
      <c r="J26" s="79"/>
      <c r="K26" s="79"/>
      <c r="L26" s="80"/>
      <c r="M26" s="81">
        <f>M24/6</f>
        <v>0</v>
      </c>
    </row>
    <row r="27" spans="2:13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13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13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13" x14ac:dyDescent="0.2">
      <c r="B30" s="2" t="s">
        <v>34</v>
      </c>
      <c r="C30" s="55" t="s">
        <v>77</v>
      </c>
      <c r="D30" s="35">
        <f>-G13</f>
        <v>-176386</v>
      </c>
      <c r="E30" s="35">
        <f>D60</f>
        <v>0</v>
      </c>
      <c r="F30" s="55"/>
      <c r="G30" s="35">
        <f>D30+E30</f>
        <v>-176386</v>
      </c>
    </row>
    <row r="31" spans="2:13" x14ac:dyDescent="0.2">
      <c r="B31" s="5" t="s">
        <v>35</v>
      </c>
      <c r="C31" s="29"/>
      <c r="D31" s="30"/>
      <c r="E31" s="30"/>
      <c r="F31" s="31" t="s">
        <v>36</v>
      </c>
      <c r="G31" s="19">
        <f>G30</f>
        <v>-176386</v>
      </c>
    </row>
    <row r="32" spans="2:13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459556.97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78</v>
      </c>
      <c r="D35" s="8"/>
      <c r="E35" s="8"/>
      <c r="F35" s="9"/>
      <c r="G35" s="35">
        <f>G33/6</f>
        <v>76592.828333333324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t="s">
        <v>38</v>
      </c>
      <c r="G39" s="41">
        <f>G14</f>
        <v>176386</v>
      </c>
    </row>
    <row r="40" spans="2:7" x14ac:dyDescent="0.2">
      <c r="B40" s="4">
        <v>12</v>
      </c>
      <c r="C40" t="s">
        <v>39</v>
      </c>
      <c r="G40" s="42">
        <f>G31</f>
        <v>-176386</v>
      </c>
    </row>
    <row r="41" spans="2:7" x14ac:dyDescent="0.2">
      <c r="B41" s="4"/>
      <c r="G41" s="41"/>
    </row>
    <row r="42" spans="2:7" ht="15" thickBot="1" x14ac:dyDescent="0.25">
      <c r="B42" s="4">
        <v>13</v>
      </c>
      <c r="C42" t="s">
        <v>40</v>
      </c>
      <c r="G42" s="43">
        <f>G39+G40</f>
        <v>0</v>
      </c>
    </row>
    <row r="43" spans="2:7" ht="15" thickTop="1" x14ac:dyDescent="0.2">
      <c r="B43" s="4"/>
      <c r="G43" s="41"/>
    </row>
    <row r="44" spans="2:7" x14ac:dyDescent="0.2">
      <c r="B44" s="4">
        <v>14</v>
      </c>
      <c r="C44" t="s">
        <v>41</v>
      </c>
      <c r="G44" s="41">
        <f>G33</f>
        <v>459556.97</v>
      </c>
    </row>
    <row r="45" spans="2:7" x14ac:dyDescent="0.2">
      <c r="B45" s="4"/>
      <c r="G45" s="41"/>
    </row>
    <row r="46" spans="2:7" x14ac:dyDescent="0.2">
      <c r="B46" s="4">
        <v>15</v>
      </c>
      <c r="C46" t="s">
        <v>42</v>
      </c>
      <c r="G46" s="42">
        <f>SUM(F15:F20)</f>
        <v>459556.96999999991</v>
      </c>
    </row>
    <row r="47" spans="2:7" x14ac:dyDescent="0.2">
      <c r="B47" s="4"/>
      <c r="G47" s="41"/>
    </row>
    <row r="48" spans="2:7" ht="15" thickBot="1" x14ac:dyDescent="0.25">
      <c r="B48" s="4">
        <v>16</v>
      </c>
      <c r="C48" t="s">
        <v>43</v>
      </c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32"/>
      <c r="G52" s="32"/>
    </row>
    <row r="53" spans="2:7" x14ac:dyDescent="0.2">
      <c r="B53" s="32"/>
      <c r="C53" s="5" t="s">
        <v>10</v>
      </c>
      <c r="D53" s="5" t="s">
        <v>79</v>
      </c>
      <c r="E53" s="27"/>
      <c r="F53" s="32"/>
      <c r="G53" s="32"/>
    </row>
    <row r="54" spans="2:7" x14ac:dyDescent="0.2">
      <c r="C54" s="13">
        <v>44562</v>
      </c>
      <c r="D54" s="12">
        <v>0</v>
      </c>
      <c r="E54" s="16"/>
      <c r="F54" s="33"/>
      <c r="G54" s="33"/>
    </row>
    <row r="55" spans="2:7" x14ac:dyDescent="0.2">
      <c r="C55" s="15">
        <v>44593</v>
      </c>
      <c r="D55" s="17">
        <v>0</v>
      </c>
      <c r="E55" s="16"/>
      <c r="F55" s="33"/>
      <c r="G55" s="33"/>
    </row>
    <row r="56" spans="2:7" x14ac:dyDescent="0.2">
      <c r="C56" s="15">
        <v>44621</v>
      </c>
      <c r="D56" s="17">
        <v>0</v>
      </c>
      <c r="E56" s="16"/>
      <c r="F56" s="33"/>
      <c r="G56" s="33"/>
    </row>
    <row r="57" spans="2:7" x14ac:dyDescent="0.2">
      <c r="C57" s="15">
        <v>44652</v>
      </c>
      <c r="D57" s="17">
        <v>0</v>
      </c>
      <c r="E57" s="16"/>
      <c r="F57" s="33"/>
      <c r="G57" s="33"/>
    </row>
    <row r="58" spans="2:7" x14ac:dyDescent="0.2">
      <c r="C58" s="15">
        <v>44682</v>
      </c>
      <c r="D58" s="17">
        <v>0</v>
      </c>
      <c r="E58" s="16"/>
      <c r="F58" s="33"/>
      <c r="G58" s="33"/>
    </row>
    <row r="59" spans="2:7" x14ac:dyDescent="0.2">
      <c r="C59" s="15">
        <v>44713</v>
      </c>
      <c r="D59" s="19">
        <v>0</v>
      </c>
      <c r="E59" s="16"/>
      <c r="F59" s="33"/>
      <c r="G59" s="33"/>
    </row>
    <row r="60" spans="2:7" x14ac:dyDescent="0.2">
      <c r="C60" s="49" t="s">
        <v>46</v>
      </c>
      <c r="D60" s="35">
        <f>SUM(D54:D59)</f>
        <v>0</v>
      </c>
      <c r="E60" s="16"/>
      <c r="F60" s="33"/>
      <c r="G60" s="33"/>
    </row>
  </sheetData>
  <mergeCells count="3">
    <mergeCell ref="B4:G5"/>
    <mergeCell ref="I4:M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BB81-E113-412A-B19C-992B2144F564}">
  <sheetPr codeName="Sheet4"/>
  <dimension ref="A1:M62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Inter-County Surcharge Summary.xlsx</v>
      </c>
    </row>
    <row r="4" spans="1:13" ht="14.25" customHeight="1" x14ac:dyDescent="0.2">
      <c r="B4" s="109" t="s">
        <v>48</v>
      </c>
      <c r="C4" s="110"/>
      <c r="D4" s="110"/>
      <c r="E4" s="110"/>
      <c r="F4" s="110"/>
      <c r="G4" s="111"/>
      <c r="I4" s="98" t="s">
        <v>49</v>
      </c>
      <c r="J4" s="99"/>
      <c r="K4" s="99"/>
      <c r="L4" s="99"/>
      <c r="M4" s="100"/>
    </row>
    <row r="5" spans="1:13" x14ac:dyDescent="0.2">
      <c r="B5" s="112"/>
      <c r="C5" s="113"/>
      <c r="D5" s="113"/>
      <c r="E5" s="113"/>
      <c r="F5" s="113"/>
      <c r="G5" s="114"/>
      <c r="I5" s="101"/>
      <c r="J5" s="102"/>
      <c r="K5" s="102"/>
      <c r="L5" s="102"/>
      <c r="M5" s="103"/>
    </row>
    <row r="6" spans="1:13" ht="15" x14ac:dyDescent="0.2">
      <c r="I6" s="57"/>
      <c r="J6" s="57"/>
      <c r="K6" s="57"/>
      <c r="L6" s="57"/>
      <c r="M6" s="57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ht="15.75" x14ac:dyDescent="0.25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  <c r="I9" s="58" t="s">
        <v>50</v>
      </c>
      <c r="J9" s="57"/>
      <c r="K9" s="57"/>
      <c r="L9" s="57"/>
      <c r="M9" s="57"/>
    </row>
    <row r="10" spans="1:13" ht="15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57"/>
      <c r="J10" s="57"/>
      <c r="K10" s="57"/>
      <c r="L10" s="57"/>
      <c r="M10" s="57"/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59"/>
      <c r="J11" s="59"/>
      <c r="K11" s="60" t="s">
        <v>0</v>
      </c>
      <c r="L11" s="59"/>
      <c r="M11" s="59"/>
    </row>
    <row r="12" spans="1:13" x14ac:dyDescent="0.2">
      <c r="B12" s="2">
        <v>1</v>
      </c>
      <c r="C12" s="95" t="s">
        <v>15</v>
      </c>
      <c r="D12" s="96"/>
      <c r="E12" s="96"/>
      <c r="F12" s="96"/>
      <c r="G12" s="97"/>
      <c r="I12" s="61"/>
      <c r="J12" s="62" t="s">
        <v>1</v>
      </c>
      <c r="K12" s="62" t="s">
        <v>2</v>
      </c>
      <c r="L12" s="61"/>
      <c r="M12" s="61"/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176386</v>
      </c>
      <c r="I13" s="61"/>
      <c r="J13" s="62" t="s">
        <v>3</v>
      </c>
      <c r="K13" s="62" t="s">
        <v>4</v>
      </c>
      <c r="L13" s="62" t="s">
        <v>5</v>
      </c>
      <c r="M13" s="62" t="s">
        <v>6</v>
      </c>
    </row>
    <row r="14" spans="1:13" x14ac:dyDescent="0.2">
      <c r="B14" s="4" t="s">
        <v>17</v>
      </c>
      <c r="C14" s="8" t="s">
        <v>80</v>
      </c>
      <c r="D14" s="8"/>
      <c r="E14" s="8"/>
      <c r="F14" s="9"/>
      <c r="G14" s="118">
        <f>'A - 05-31-22'!G33</f>
        <v>459556.97</v>
      </c>
      <c r="I14" s="63"/>
      <c r="J14" s="63" t="s">
        <v>7</v>
      </c>
      <c r="K14" s="63" t="s">
        <v>7</v>
      </c>
      <c r="L14" s="63" t="s">
        <v>8</v>
      </c>
      <c r="M14" s="63" t="s">
        <v>8</v>
      </c>
    </row>
    <row r="15" spans="1:13" x14ac:dyDescent="0.2">
      <c r="B15" s="5" t="s">
        <v>81</v>
      </c>
      <c r="C15" s="8" t="s">
        <v>18</v>
      </c>
      <c r="D15" s="8"/>
      <c r="E15" s="8"/>
      <c r="F15" s="11"/>
      <c r="G15" s="12">
        <f>G13+G14</f>
        <v>635942.97</v>
      </c>
      <c r="I15" s="64" t="s">
        <v>10</v>
      </c>
      <c r="J15" s="65" t="s">
        <v>51</v>
      </c>
      <c r="K15" s="65" t="s">
        <v>11</v>
      </c>
      <c r="L15" s="65" t="s">
        <v>12</v>
      </c>
      <c r="M15" s="65" t="s">
        <v>13</v>
      </c>
    </row>
    <row r="16" spans="1:13" x14ac:dyDescent="0.2">
      <c r="B16" s="4">
        <v>2</v>
      </c>
      <c r="C16" s="13">
        <v>44743</v>
      </c>
      <c r="D16" s="51">
        <f>488298-61-1051</f>
        <v>487186</v>
      </c>
      <c r="E16" s="52">
        <v>499169.81</v>
      </c>
      <c r="F16" s="14">
        <f t="shared" ref="F16:F23" si="0">D16-E16</f>
        <v>-11983.809999999998</v>
      </c>
      <c r="G16" s="12">
        <f t="shared" ref="G16:G23" si="1">G15+F16</f>
        <v>623959.15999999992</v>
      </c>
      <c r="I16" s="115">
        <v>44743</v>
      </c>
      <c r="J16" s="67">
        <f>60813+(91845+1051)</f>
        <v>153709</v>
      </c>
      <c r="K16" s="68">
        <v>153709</v>
      </c>
      <c r="L16" s="69">
        <f t="shared" ref="L16:L23" si="2">J16-K16</f>
        <v>0</v>
      </c>
      <c r="M16" s="70">
        <f>L16</f>
        <v>0</v>
      </c>
    </row>
    <row r="17" spans="2:13" x14ac:dyDescent="0.2">
      <c r="B17" s="4">
        <v>3</v>
      </c>
      <c r="C17" s="15">
        <v>44774</v>
      </c>
      <c r="D17" s="53">
        <f>560383-771-1011</f>
        <v>558601</v>
      </c>
      <c r="E17" s="54">
        <v>452994.35</v>
      </c>
      <c r="F17" s="16">
        <f t="shared" si="0"/>
        <v>105606.65000000002</v>
      </c>
      <c r="G17" s="17">
        <f t="shared" si="1"/>
        <v>729565.80999999994</v>
      </c>
      <c r="I17" s="116">
        <v>44774</v>
      </c>
      <c r="J17" s="67">
        <f>64517+77028+1011</f>
        <v>142556</v>
      </c>
      <c r="K17" s="68">
        <v>142556</v>
      </c>
      <c r="L17" s="70">
        <f t="shared" si="2"/>
        <v>0</v>
      </c>
      <c r="M17" s="70">
        <f t="shared" ref="M17:M23" si="3">M16+L17</f>
        <v>0</v>
      </c>
    </row>
    <row r="18" spans="2:13" x14ac:dyDescent="0.2">
      <c r="B18" s="4">
        <v>4</v>
      </c>
      <c r="C18" s="15">
        <v>44805</v>
      </c>
      <c r="D18" s="53">
        <f>415661-53-828</f>
        <v>414780</v>
      </c>
      <c r="E18" s="54">
        <v>348025.36</v>
      </c>
      <c r="F18" s="16">
        <f t="shared" si="0"/>
        <v>66754.640000000014</v>
      </c>
      <c r="G18" s="17">
        <f t="shared" si="1"/>
        <v>796320.45</v>
      </c>
      <c r="I18" s="116">
        <v>44805</v>
      </c>
      <c r="J18" s="67">
        <f>51749+67385+828</f>
        <v>119962</v>
      </c>
      <c r="K18" s="67">
        <v>119962</v>
      </c>
      <c r="L18" s="70">
        <f t="shared" si="2"/>
        <v>0</v>
      </c>
      <c r="M18" s="70">
        <f t="shared" si="3"/>
        <v>0</v>
      </c>
    </row>
    <row r="19" spans="2:13" x14ac:dyDescent="0.2">
      <c r="B19" s="4">
        <v>5</v>
      </c>
      <c r="C19" s="15">
        <v>44835</v>
      </c>
      <c r="D19" s="53">
        <f>287094-0-657</f>
        <v>286437</v>
      </c>
      <c r="E19" s="54">
        <v>276196.24</v>
      </c>
      <c r="F19" s="16">
        <f t="shared" si="0"/>
        <v>10240.760000000009</v>
      </c>
      <c r="G19" s="17">
        <f t="shared" si="1"/>
        <v>806561.21</v>
      </c>
      <c r="I19" s="116">
        <v>44835</v>
      </c>
      <c r="J19" s="67">
        <f>38653+68944+657</f>
        <v>108254</v>
      </c>
      <c r="K19" s="67">
        <v>108254</v>
      </c>
      <c r="L19" s="70">
        <f t="shared" si="2"/>
        <v>0</v>
      </c>
      <c r="M19" s="70">
        <f t="shared" si="3"/>
        <v>0</v>
      </c>
    </row>
    <row r="20" spans="2:13" x14ac:dyDescent="0.2">
      <c r="B20" s="4">
        <v>6</v>
      </c>
      <c r="C20" s="15">
        <v>44866</v>
      </c>
      <c r="D20" s="53">
        <f>328030-592-780</f>
        <v>326658</v>
      </c>
      <c r="E20" s="54">
        <v>355220.64</v>
      </c>
      <c r="F20" s="16">
        <f t="shared" si="0"/>
        <v>-28562.640000000014</v>
      </c>
      <c r="G20" s="17">
        <f t="shared" si="1"/>
        <v>777998.57</v>
      </c>
      <c r="I20" s="116">
        <v>44866</v>
      </c>
      <c r="J20" s="67">
        <f>46388+79591+780</f>
        <v>126759</v>
      </c>
      <c r="K20" s="72">
        <v>126759</v>
      </c>
      <c r="L20" s="70">
        <f t="shared" si="2"/>
        <v>0</v>
      </c>
      <c r="M20" s="70">
        <f t="shared" si="3"/>
        <v>0</v>
      </c>
    </row>
    <row r="21" spans="2:13" x14ac:dyDescent="0.2">
      <c r="B21" s="4">
        <v>7</v>
      </c>
      <c r="C21" s="15">
        <v>44896</v>
      </c>
      <c r="D21" s="53">
        <f>455702-659-865</f>
        <v>454178</v>
      </c>
      <c r="E21" s="54">
        <v>521249.19</v>
      </c>
      <c r="F21" s="18">
        <f t="shared" si="0"/>
        <v>-67071.19</v>
      </c>
      <c r="G21" s="19">
        <f t="shared" si="1"/>
        <v>710927.37999999989</v>
      </c>
      <c r="I21" s="117">
        <v>44896</v>
      </c>
      <c r="J21" s="72">
        <f>45366+67891+865</f>
        <v>114122</v>
      </c>
      <c r="K21" s="74">
        <v>114122</v>
      </c>
      <c r="L21" s="75">
        <f t="shared" si="2"/>
        <v>0</v>
      </c>
      <c r="M21" s="75">
        <f t="shared" si="3"/>
        <v>0</v>
      </c>
    </row>
    <row r="22" spans="2:13" x14ac:dyDescent="0.2">
      <c r="B22" s="20" t="s">
        <v>19</v>
      </c>
      <c r="C22" s="13">
        <v>44927</v>
      </c>
      <c r="D22" s="51">
        <f>704331-703-925</f>
        <v>702703</v>
      </c>
      <c r="E22" s="52">
        <v>667696.29</v>
      </c>
      <c r="F22" s="14">
        <f t="shared" si="0"/>
        <v>35006.709999999963</v>
      </c>
      <c r="G22" s="12">
        <f t="shared" si="1"/>
        <v>745934.08999999985</v>
      </c>
      <c r="I22" s="116">
        <v>44927</v>
      </c>
      <c r="J22" s="76">
        <f>46844+84571+925</f>
        <v>132340</v>
      </c>
      <c r="K22" s="76">
        <v>132340</v>
      </c>
      <c r="L22" s="70">
        <f t="shared" si="2"/>
        <v>0</v>
      </c>
      <c r="M22" s="70">
        <f t="shared" si="3"/>
        <v>0</v>
      </c>
    </row>
    <row r="23" spans="2:13" x14ac:dyDescent="0.2">
      <c r="B23" s="21" t="s">
        <v>20</v>
      </c>
      <c r="C23" s="22">
        <v>44958</v>
      </c>
      <c r="D23" s="87">
        <f>514555-606-803</f>
        <v>513146</v>
      </c>
      <c r="E23" s="88">
        <v>477288.63</v>
      </c>
      <c r="F23" s="18">
        <f t="shared" si="0"/>
        <v>35857.369999999995</v>
      </c>
      <c r="G23" s="19">
        <f t="shared" si="1"/>
        <v>781791.45999999985</v>
      </c>
      <c r="I23" s="117">
        <v>44958</v>
      </c>
      <c r="J23" s="74">
        <f>46996+91888+803</f>
        <v>139687</v>
      </c>
      <c r="K23" s="74">
        <v>139687</v>
      </c>
      <c r="L23" s="75">
        <f t="shared" si="2"/>
        <v>0</v>
      </c>
      <c r="M23" s="75">
        <f t="shared" si="3"/>
        <v>0</v>
      </c>
    </row>
    <row r="24" spans="2:13" x14ac:dyDescent="0.2">
      <c r="B24" s="5"/>
      <c r="C24" s="23" t="s">
        <v>82</v>
      </c>
      <c r="D24" s="24"/>
      <c r="E24" s="24"/>
      <c r="F24" s="24"/>
      <c r="G24" s="25"/>
      <c r="I24" s="77"/>
      <c r="J24" s="77"/>
      <c r="K24" s="77"/>
      <c r="L24" s="77"/>
      <c r="M24" s="77"/>
    </row>
    <row r="25" spans="2:13" x14ac:dyDescent="0.2">
      <c r="B25" s="2"/>
      <c r="C25" s="1"/>
      <c r="D25" s="1"/>
      <c r="E25" s="1"/>
      <c r="F25" s="1"/>
      <c r="G25" s="12"/>
      <c r="I25" s="78" t="s">
        <v>52</v>
      </c>
      <c r="J25" s="79"/>
      <c r="K25" s="79"/>
      <c r="L25" s="80"/>
      <c r="M25" s="81">
        <f>M21</f>
        <v>0</v>
      </c>
    </row>
    <row r="26" spans="2:13" x14ac:dyDescent="0.2">
      <c r="B26" s="4"/>
      <c r="C26" s="3"/>
      <c r="D26" s="4" t="s">
        <v>21</v>
      </c>
      <c r="E26" s="4" t="s">
        <v>22</v>
      </c>
      <c r="F26" s="3"/>
      <c r="G26" s="17"/>
      <c r="I26" s="77"/>
      <c r="J26" s="77"/>
      <c r="K26" s="77"/>
      <c r="L26" s="77"/>
      <c r="M26" s="82"/>
    </row>
    <row r="27" spans="2:13" x14ac:dyDescent="0.2">
      <c r="B27" s="4">
        <v>8</v>
      </c>
      <c r="C27" s="3"/>
      <c r="D27" s="4" t="s">
        <v>23</v>
      </c>
      <c r="E27" s="4" t="s">
        <v>24</v>
      </c>
      <c r="F27" s="3"/>
      <c r="G27" s="26" t="s">
        <v>21</v>
      </c>
      <c r="I27" s="78" t="s">
        <v>53</v>
      </c>
      <c r="J27" s="79"/>
      <c r="K27" s="79"/>
      <c r="L27" s="80"/>
      <c r="M27" s="81">
        <f>M25/6</f>
        <v>0</v>
      </c>
    </row>
    <row r="28" spans="2:13" x14ac:dyDescent="0.2">
      <c r="B28" s="4"/>
      <c r="C28" s="3"/>
      <c r="D28" s="4" t="s">
        <v>25</v>
      </c>
      <c r="E28" s="4" t="s">
        <v>26</v>
      </c>
      <c r="F28" s="3"/>
      <c r="G28" s="26" t="s">
        <v>27</v>
      </c>
    </row>
    <row r="29" spans="2:13" x14ac:dyDescent="0.2">
      <c r="B29" s="4"/>
      <c r="C29" s="3"/>
      <c r="D29" s="4" t="s">
        <v>28</v>
      </c>
      <c r="E29" s="4" t="s">
        <v>29</v>
      </c>
      <c r="F29" s="3"/>
      <c r="G29" s="26" t="s">
        <v>30</v>
      </c>
    </row>
    <row r="30" spans="2:13" x14ac:dyDescent="0.2">
      <c r="B30" s="5"/>
      <c r="C30" s="3"/>
      <c r="D30" s="4" t="s">
        <v>31</v>
      </c>
      <c r="E30" s="4" t="s">
        <v>32</v>
      </c>
      <c r="F30" s="3"/>
      <c r="G30" s="26" t="s">
        <v>33</v>
      </c>
    </row>
    <row r="31" spans="2:13" x14ac:dyDescent="0.2">
      <c r="B31" s="20" t="s">
        <v>34</v>
      </c>
      <c r="C31" s="1" t="s">
        <v>77</v>
      </c>
      <c r="D31" s="12">
        <f>-G13</f>
        <v>-176386</v>
      </c>
      <c r="E31" s="12">
        <f>D62</f>
        <v>0</v>
      </c>
      <c r="F31" s="1"/>
      <c r="G31" s="12">
        <f>D31+E31</f>
        <v>-176386</v>
      </c>
    </row>
    <row r="32" spans="2:13" x14ac:dyDescent="0.2">
      <c r="B32" s="27" t="s">
        <v>35</v>
      </c>
      <c r="C32" s="28" t="s">
        <v>83</v>
      </c>
      <c r="D32" s="19">
        <f>-G14</f>
        <v>-459556.97</v>
      </c>
      <c r="E32" s="19">
        <v>0</v>
      </c>
      <c r="F32" s="28"/>
      <c r="G32" s="19">
        <f>D32+E32</f>
        <v>-459556.97</v>
      </c>
    </row>
    <row r="33" spans="2:7" x14ac:dyDescent="0.2">
      <c r="B33" s="5" t="s">
        <v>84</v>
      </c>
      <c r="C33" s="29"/>
      <c r="D33" s="30"/>
      <c r="E33" s="30"/>
      <c r="F33" s="31" t="s">
        <v>36</v>
      </c>
      <c r="G33" s="19">
        <f>G31+G32</f>
        <v>-635942.97</v>
      </c>
    </row>
    <row r="34" spans="2:7" x14ac:dyDescent="0.2">
      <c r="B34" s="32"/>
      <c r="G34" s="33"/>
    </row>
    <row r="35" spans="2:7" x14ac:dyDescent="0.2">
      <c r="B35" s="6">
        <v>9</v>
      </c>
      <c r="C35" s="34" t="s">
        <v>85</v>
      </c>
      <c r="D35" s="8"/>
      <c r="E35" s="8"/>
      <c r="F35" s="9"/>
      <c r="G35" s="35">
        <f>G21+G33</f>
        <v>74984.409999999916</v>
      </c>
    </row>
    <row r="36" spans="2:7" x14ac:dyDescent="0.2">
      <c r="B36" s="32"/>
      <c r="G36" s="33"/>
    </row>
    <row r="37" spans="2:7" x14ac:dyDescent="0.2">
      <c r="B37" s="6">
        <v>10</v>
      </c>
      <c r="C37" s="34" t="s">
        <v>78</v>
      </c>
      <c r="D37" s="8"/>
      <c r="E37" s="8"/>
      <c r="F37" s="9"/>
      <c r="G37" s="35">
        <f>G35/6</f>
        <v>12497.401666666652</v>
      </c>
    </row>
    <row r="39" spans="2:7" x14ac:dyDescent="0.2">
      <c r="B39" s="1"/>
      <c r="C39" s="36" t="s">
        <v>37</v>
      </c>
      <c r="D39" s="37"/>
      <c r="E39" s="37"/>
      <c r="F39" s="37"/>
      <c r="G39" s="38"/>
    </row>
    <row r="40" spans="2:7" x14ac:dyDescent="0.2">
      <c r="B40" s="1"/>
      <c r="C40" s="39"/>
      <c r="D40" s="39"/>
      <c r="E40" s="39"/>
      <c r="F40" s="39"/>
      <c r="G40" s="11"/>
    </row>
    <row r="41" spans="2:7" x14ac:dyDescent="0.2">
      <c r="B41" s="4">
        <v>11</v>
      </c>
      <c r="C41" t="s">
        <v>38</v>
      </c>
      <c r="G41" s="41">
        <f>G15</f>
        <v>635942.97</v>
      </c>
    </row>
    <row r="42" spans="2:7" x14ac:dyDescent="0.2">
      <c r="B42" s="4">
        <v>12</v>
      </c>
      <c r="C42" t="s">
        <v>39</v>
      </c>
      <c r="G42" s="42">
        <f>G33</f>
        <v>-635942.97</v>
      </c>
    </row>
    <row r="43" spans="2:7" x14ac:dyDescent="0.2">
      <c r="B43" s="4"/>
      <c r="G43" s="41"/>
    </row>
    <row r="44" spans="2:7" ht="15" thickBot="1" x14ac:dyDescent="0.25">
      <c r="B44" s="4">
        <v>13</v>
      </c>
      <c r="C44" t="s">
        <v>40</v>
      </c>
      <c r="G44" s="43">
        <f>G41+G42</f>
        <v>0</v>
      </c>
    </row>
    <row r="45" spans="2:7" ht="15" thickTop="1" x14ac:dyDescent="0.2">
      <c r="B45" s="4"/>
      <c r="G45" s="41"/>
    </row>
    <row r="46" spans="2:7" x14ac:dyDescent="0.2">
      <c r="B46" s="4">
        <v>14</v>
      </c>
      <c r="C46" t="s">
        <v>41</v>
      </c>
      <c r="G46" s="41">
        <f>G35</f>
        <v>74984.409999999916</v>
      </c>
    </row>
    <row r="47" spans="2:7" x14ac:dyDescent="0.2">
      <c r="B47" s="4"/>
      <c r="G47" s="41"/>
    </row>
    <row r="48" spans="2:7" x14ac:dyDescent="0.2">
      <c r="B48" s="4">
        <v>15</v>
      </c>
      <c r="C48" t="s">
        <v>42</v>
      </c>
      <c r="G48" s="42">
        <f>SUM(F16:F21)</f>
        <v>74984.410000000033</v>
      </c>
    </row>
    <row r="49" spans="2:7" x14ac:dyDescent="0.2">
      <c r="B49" s="4"/>
      <c r="G49" s="41"/>
    </row>
    <row r="50" spans="2:7" ht="15" thickBot="1" x14ac:dyDescent="0.25">
      <c r="B50" s="4">
        <v>16</v>
      </c>
      <c r="C50" t="s">
        <v>43</v>
      </c>
      <c r="G50" s="43">
        <f>G46-G48</f>
        <v>-1.1641532182693481E-10</v>
      </c>
    </row>
    <row r="51" spans="2:7" ht="15" thickTop="1" x14ac:dyDescent="0.2">
      <c r="B51" s="28"/>
      <c r="C51" s="44"/>
      <c r="D51" s="44"/>
      <c r="E51" s="44"/>
      <c r="F51" s="44"/>
      <c r="G51" s="45"/>
    </row>
    <row r="53" spans="2:7" x14ac:dyDescent="0.2">
      <c r="B53" t="s">
        <v>44</v>
      </c>
    </row>
    <row r="54" spans="2:7" x14ac:dyDescent="0.2">
      <c r="B54" s="32"/>
      <c r="C54" s="1"/>
      <c r="D54" s="2" t="s">
        <v>45</v>
      </c>
      <c r="E54" s="27"/>
      <c r="F54" s="32"/>
      <c r="G54" s="32"/>
    </row>
    <row r="55" spans="2:7" x14ac:dyDescent="0.2">
      <c r="B55" s="32"/>
      <c r="C55" s="5" t="s">
        <v>10</v>
      </c>
      <c r="D55" s="5" t="s">
        <v>79</v>
      </c>
      <c r="E55" s="27"/>
      <c r="F55" s="32"/>
      <c r="G55" s="32"/>
    </row>
    <row r="56" spans="2:7" x14ac:dyDescent="0.2">
      <c r="C56" s="13">
        <v>44743</v>
      </c>
      <c r="D56" s="12">
        <v>0</v>
      </c>
      <c r="E56" s="16"/>
      <c r="F56" s="33"/>
      <c r="G56" s="33"/>
    </row>
    <row r="57" spans="2:7" x14ac:dyDescent="0.2">
      <c r="C57" s="15">
        <v>44774</v>
      </c>
      <c r="D57" s="17">
        <v>0</v>
      </c>
      <c r="E57" s="16"/>
      <c r="F57" s="33"/>
      <c r="G57" s="33"/>
    </row>
    <row r="58" spans="2:7" x14ac:dyDescent="0.2">
      <c r="C58" s="15">
        <v>44805</v>
      </c>
      <c r="D58" s="17">
        <v>0</v>
      </c>
      <c r="E58" s="16"/>
      <c r="F58" s="33"/>
      <c r="G58" s="33"/>
    </row>
    <row r="59" spans="2:7" x14ac:dyDescent="0.2">
      <c r="C59" s="15">
        <v>44835</v>
      </c>
      <c r="D59" s="17">
        <v>0</v>
      </c>
      <c r="E59" s="16"/>
      <c r="F59" s="33"/>
      <c r="G59" s="33"/>
    </row>
    <row r="60" spans="2:7" x14ac:dyDescent="0.2">
      <c r="C60" s="15">
        <v>44866</v>
      </c>
      <c r="D60" s="17">
        <v>0</v>
      </c>
      <c r="E60" s="16"/>
      <c r="F60" s="33"/>
      <c r="G60" s="33"/>
    </row>
    <row r="61" spans="2:7" x14ac:dyDescent="0.2">
      <c r="C61" s="15">
        <v>44896</v>
      </c>
      <c r="D61" s="19">
        <v>0</v>
      </c>
      <c r="E61" s="16"/>
      <c r="F61" s="33"/>
      <c r="G61" s="33"/>
    </row>
    <row r="62" spans="2:7" x14ac:dyDescent="0.2">
      <c r="C62" s="49" t="s">
        <v>46</v>
      </c>
      <c r="D62" s="35">
        <f>SUM(D56:D61)</f>
        <v>0</v>
      </c>
      <c r="E62" s="16"/>
      <c r="F62" s="33"/>
      <c r="G62" s="33"/>
    </row>
  </sheetData>
  <mergeCells count="3">
    <mergeCell ref="B4:G5"/>
    <mergeCell ref="I4:M5"/>
    <mergeCell ref="C12:G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3F99-6F6D-4844-8593-4114B36E02E4}">
  <sheetPr codeName="Sheet5"/>
  <dimension ref="A1:M64"/>
  <sheetViews>
    <sheetView workbookViewId="0">
      <selection activeCell="A2" sqref="A2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Inter-County Surcharge Summary.xlsx</v>
      </c>
    </row>
    <row r="4" spans="1:13" ht="14.25" customHeight="1" x14ac:dyDescent="0.2">
      <c r="B4" s="109" t="s">
        <v>48</v>
      </c>
      <c r="C4" s="110"/>
      <c r="D4" s="110"/>
      <c r="E4" s="110"/>
      <c r="F4" s="110"/>
      <c r="G4" s="111"/>
      <c r="I4" s="98" t="s">
        <v>49</v>
      </c>
      <c r="J4" s="99"/>
      <c r="K4" s="99"/>
      <c r="L4" s="99"/>
      <c r="M4" s="100"/>
    </row>
    <row r="5" spans="1:13" ht="14.25" customHeight="1" x14ac:dyDescent="0.2">
      <c r="B5" s="112"/>
      <c r="C5" s="113"/>
      <c r="D5" s="113"/>
      <c r="E5" s="113"/>
      <c r="F5" s="113"/>
      <c r="G5" s="114"/>
      <c r="I5" s="101"/>
      <c r="J5" s="102"/>
      <c r="K5" s="102"/>
      <c r="L5" s="102"/>
      <c r="M5" s="103"/>
    </row>
    <row r="6" spans="1:13" ht="15" x14ac:dyDescent="0.2">
      <c r="I6" s="57"/>
      <c r="J6" s="57"/>
      <c r="K6" s="57"/>
      <c r="L6" s="57"/>
      <c r="M6" s="57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ht="15.75" x14ac:dyDescent="0.25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58" t="s">
        <v>50</v>
      </c>
      <c r="J10" s="57"/>
      <c r="K10" s="57"/>
      <c r="L10" s="57"/>
      <c r="M10" s="57"/>
    </row>
    <row r="11" spans="1:13" ht="15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57"/>
      <c r="J11" s="57"/>
      <c r="K11" s="57"/>
      <c r="L11" s="57"/>
      <c r="M11" s="57"/>
    </row>
    <row r="12" spans="1:13" x14ac:dyDescent="0.2">
      <c r="B12" s="2">
        <v>1</v>
      </c>
      <c r="C12" s="95" t="s">
        <v>15</v>
      </c>
      <c r="D12" s="96"/>
      <c r="E12" s="96"/>
      <c r="F12" s="96"/>
      <c r="G12" s="97"/>
      <c r="I12" s="59"/>
      <c r="J12" s="59"/>
      <c r="K12" s="60" t="s">
        <v>0</v>
      </c>
      <c r="L12" s="59"/>
      <c r="M12" s="59"/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176386</v>
      </c>
      <c r="I13" s="61"/>
      <c r="J13" s="62" t="s">
        <v>1</v>
      </c>
      <c r="K13" s="62" t="s">
        <v>2</v>
      </c>
      <c r="L13" s="61"/>
      <c r="M13" s="61"/>
    </row>
    <row r="14" spans="1:13" x14ac:dyDescent="0.2">
      <c r="B14" s="4" t="s">
        <v>17</v>
      </c>
      <c r="C14" s="8" t="s">
        <v>80</v>
      </c>
      <c r="D14" s="8"/>
      <c r="E14" s="8"/>
      <c r="F14" s="9"/>
      <c r="G14" s="118">
        <f>'A - 05-31-22'!G33</f>
        <v>459556.97</v>
      </c>
      <c r="I14" s="61"/>
      <c r="J14" s="62" t="s">
        <v>3</v>
      </c>
      <c r="K14" s="62" t="s">
        <v>4</v>
      </c>
      <c r="L14" s="62" t="s">
        <v>5</v>
      </c>
      <c r="M14" s="62" t="s">
        <v>6</v>
      </c>
    </row>
    <row r="15" spans="1:13" x14ac:dyDescent="0.2">
      <c r="B15" s="4" t="s">
        <v>81</v>
      </c>
      <c r="C15" s="8" t="s">
        <v>86</v>
      </c>
      <c r="D15" s="8"/>
      <c r="E15" s="8"/>
      <c r="F15" s="9"/>
      <c r="G15" s="118">
        <f>'B - 11-30-22'!G35</f>
        <v>74984.409999999916</v>
      </c>
      <c r="I15" s="63"/>
      <c r="J15" s="63" t="s">
        <v>7</v>
      </c>
      <c r="K15" s="63" t="s">
        <v>7</v>
      </c>
      <c r="L15" s="63" t="s">
        <v>8</v>
      </c>
      <c r="M15" s="63" t="s">
        <v>8</v>
      </c>
    </row>
    <row r="16" spans="1:13" x14ac:dyDescent="0.2">
      <c r="B16" s="5" t="s">
        <v>87</v>
      </c>
      <c r="C16" s="8" t="s">
        <v>18</v>
      </c>
      <c r="D16" s="8"/>
      <c r="E16" s="8"/>
      <c r="F16" s="11"/>
      <c r="G16" s="12">
        <f>G13+G14+G15</f>
        <v>710927.37999999989</v>
      </c>
      <c r="I16" s="64" t="s">
        <v>10</v>
      </c>
      <c r="J16" s="65" t="s">
        <v>51</v>
      </c>
      <c r="K16" s="65" t="s">
        <v>11</v>
      </c>
      <c r="L16" s="65" t="s">
        <v>12</v>
      </c>
      <c r="M16" s="65" t="s">
        <v>13</v>
      </c>
    </row>
    <row r="17" spans="2:13" x14ac:dyDescent="0.2">
      <c r="B17" s="4">
        <v>2</v>
      </c>
      <c r="C17" s="13">
        <v>44927</v>
      </c>
      <c r="D17" s="51">
        <f>704331-703-925</f>
        <v>702703</v>
      </c>
      <c r="E17" s="52">
        <v>667696.29</v>
      </c>
      <c r="F17" s="14">
        <f t="shared" ref="F17:F24" si="0">D17-E17</f>
        <v>35006.709999999963</v>
      </c>
      <c r="G17" s="12">
        <f t="shared" ref="G17:G24" si="1">G16+F17</f>
        <v>745934.08999999985</v>
      </c>
      <c r="I17" s="115">
        <v>44927</v>
      </c>
      <c r="J17" s="67">
        <f>46844+84571+925</f>
        <v>132340</v>
      </c>
      <c r="K17" s="68">
        <v>132340</v>
      </c>
      <c r="L17" s="69">
        <f t="shared" ref="L17:L24" si="2">J17-K17</f>
        <v>0</v>
      </c>
      <c r="M17" s="70">
        <f>L17</f>
        <v>0</v>
      </c>
    </row>
    <row r="18" spans="2:13" x14ac:dyDescent="0.2">
      <c r="B18" s="4">
        <v>3</v>
      </c>
      <c r="C18" s="15">
        <v>44958</v>
      </c>
      <c r="D18" s="53">
        <f>514555-606-803</f>
        <v>513146</v>
      </c>
      <c r="E18" s="54">
        <v>477288.63</v>
      </c>
      <c r="F18" s="16">
        <f t="shared" si="0"/>
        <v>35857.369999999995</v>
      </c>
      <c r="G18" s="17">
        <f t="shared" si="1"/>
        <v>781791.45999999985</v>
      </c>
      <c r="I18" s="116">
        <v>44958</v>
      </c>
      <c r="J18" s="67">
        <f>46996+91888+803</f>
        <v>139687</v>
      </c>
      <c r="K18" s="68">
        <v>139687</v>
      </c>
      <c r="L18" s="70">
        <f t="shared" si="2"/>
        <v>0</v>
      </c>
      <c r="M18" s="70">
        <f t="shared" ref="M18:M24" si="3">M17+L18</f>
        <v>0</v>
      </c>
    </row>
    <row r="19" spans="2:13" x14ac:dyDescent="0.2">
      <c r="B19" s="4">
        <v>4</v>
      </c>
      <c r="C19" s="15">
        <v>44986</v>
      </c>
      <c r="D19" s="53">
        <f>265251-407-538</f>
        <v>264306</v>
      </c>
      <c r="E19" s="54">
        <v>202656.88</v>
      </c>
      <c r="F19" s="16">
        <f t="shared" si="0"/>
        <v>61649.119999999995</v>
      </c>
      <c r="G19" s="17">
        <f t="shared" si="1"/>
        <v>843440.57999999984</v>
      </c>
      <c r="I19" s="116">
        <v>44986</v>
      </c>
      <c r="J19" s="67">
        <f>25161+53165+538</f>
        <v>78864</v>
      </c>
      <c r="K19" s="67">
        <v>78864</v>
      </c>
      <c r="L19" s="70">
        <f t="shared" si="2"/>
        <v>0</v>
      </c>
      <c r="M19" s="70">
        <f t="shared" si="3"/>
        <v>0</v>
      </c>
    </row>
    <row r="20" spans="2:13" x14ac:dyDescent="0.2">
      <c r="B20" s="4">
        <v>5</v>
      </c>
      <c r="C20" s="15">
        <v>45017</v>
      </c>
      <c r="D20" s="53">
        <f>333538-520-685</f>
        <v>332333</v>
      </c>
      <c r="E20" s="54">
        <f>337872.05</f>
        <v>337872.05</v>
      </c>
      <c r="F20" s="16">
        <f t="shared" si="0"/>
        <v>-5539.0499999999884</v>
      </c>
      <c r="G20" s="17">
        <f t="shared" si="1"/>
        <v>837901.5299999998</v>
      </c>
      <c r="I20" s="116">
        <v>45017</v>
      </c>
      <c r="J20" s="67">
        <f>31893+69046+685</f>
        <v>101624</v>
      </c>
      <c r="K20" s="67">
        <f>101624</f>
        <v>101624</v>
      </c>
      <c r="L20" s="70">
        <f t="shared" si="2"/>
        <v>0</v>
      </c>
      <c r="M20" s="70">
        <f t="shared" si="3"/>
        <v>0</v>
      </c>
    </row>
    <row r="21" spans="2:13" x14ac:dyDescent="0.2">
      <c r="B21" s="4">
        <v>6</v>
      </c>
      <c r="C21" s="15">
        <v>45047</v>
      </c>
      <c r="D21" s="53">
        <f>329746-712-932</f>
        <v>328102</v>
      </c>
      <c r="E21" s="54">
        <v>395340.62</v>
      </c>
      <c r="F21" s="16">
        <f t="shared" si="0"/>
        <v>-67238.62</v>
      </c>
      <c r="G21" s="17">
        <f t="shared" si="1"/>
        <v>770662.9099999998</v>
      </c>
      <c r="I21" s="116">
        <v>45047</v>
      </c>
      <c r="J21" s="67">
        <f>44714+101632+932</f>
        <v>147278</v>
      </c>
      <c r="K21" s="72">
        <v>147278</v>
      </c>
      <c r="L21" s="70">
        <f t="shared" si="2"/>
        <v>0</v>
      </c>
      <c r="M21" s="70">
        <f t="shared" si="3"/>
        <v>0</v>
      </c>
    </row>
    <row r="22" spans="2:13" x14ac:dyDescent="0.2">
      <c r="B22" s="4">
        <v>7</v>
      </c>
      <c r="C22" s="15">
        <v>45078</v>
      </c>
      <c r="D22" s="53">
        <f>326984-695-907</f>
        <v>325382</v>
      </c>
      <c r="E22" s="54">
        <v>354275.51</v>
      </c>
      <c r="F22" s="18">
        <f t="shared" si="0"/>
        <v>-28893.510000000009</v>
      </c>
      <c r="G22" s="19">
        <f t="shared" si="1"/>
        <v>741769.39999999979</v>
      </c>
      <c r="I22" s="117">
        <v>45078</v>
      </c>
      <c r="J22" s="72">
        <f>50284+93511+907</f>
        <v>144702</v>
      </c>
      <c r="K22" s="74">
        <v>144702</v>
      </c>
      <c r="L22" s="75">
        <f t="shared" si="2"/>
        <v>0</v>
      </c>
      <c r="M22" s="75">
        <f t="shared" si="3"/>
        <v>0</v>
      </c>
    </row>
    <row r="23" spans="2:13" x14ac:dyDescent="0.2">
      <c r="B23" s="20" t="s">
        <v>19</v>
      </c>
      <c r="C23" s="13">
        <v>45108</v>
      </c>
      <c r="D23" s="51">
        <f>379720-821-1071</f>
        <v>377828</v>
      </c>
      <c r="E23" s="52">
        <v>510966.13</v>
      </c>
      <c r="F23" s="14">
        <f t="shared" si="0"/>
        <v>-133138.13</v>
      </c>
      <c r="G23" s="12">
        <f t="shared" si="1"/>
        <v>608631.26999999979</v>
      </c>
      <c r="I23" s="116">
        <v>45108</v>
      </c>
      <c r="J23" s="76">
        <f>52170+72492+1071</f>
        <v>125733</v>
      </c>
      <c r="K23" s="76">
        <v>125733</v>
      </c>
      <c r="L23" s="70">
        <f t="shared" si="2"/>
        <v>0</v>
      </c>
      <c r="M23" s="70">
        <f t="shared" si="3"/>
        <v>0</v>
      </c>
    </row>
    <row r="24" spans="2:13" x14ac:dyDescent="0.2">
      <c r="B24" s="21" t="s">
        <v>20</v>
      </c>
      <c r="C24" s="22">
        <v>45139</v>
      </c>
      <c r="D24" s="87">
        <f>527514-851-1109</f>
        <v>525554</v>
      </c>
      <c r="E24" s="88">
        <v>575983.43999999994</v>
      </c>
      <c r="F24" s="18">
        <f t="shared" si="0"/>
        <v>-50429.439999999944</v>
      </c>
      <c r="G24" s="19">
        <f t="shared" si="1"/>
        <v>558201.82999999984</v>
      </c>
      <c r="I24" s="117">
        <v>45139</v>
      </c>
      <c r="J24" s="74">
        <f>56190+102634+1109</f>
        <v>159933</v>
      </c>
      <c r="K24" s="74">
        <v>159933</v>
      </c>
      <c r="L24" s="75">
        <f t="shared" si="2"/>
        <v>0</v>
      </c>
      <c r="M24" s="75">
        <f t="shared" si="3"/>
        <v>0</v>
      </c>
    </row>
    <row r="25" spans="2:13" x14ac:dyDescent="0.2">
      <c r="B25" s="5"/>
      <c r="C25" s="23" t="s">
        <v>88</v>
      </c>
      <c r="D25" s="24"/>
      <c r="E25" s="24"/>
      <c r="F25" s="24"/>
      <c r="G25" s="25"/>
      <c r="I25" s="77"/>
      <c r="J25" s="77"/>
      <c r="K25" s="77"/>
      <c r="L25" s="77"/>
      <c r="M25" s="77"/>
    </row>
    <row r="26" spans="2:13" x14ac:dyDescent="0.2">
      <c r="B26" s="2"/>
      <c r="C26" s="1"/>
      <c r="D26" s="1"/>
      <c r="E26" s="1"/>
      <c r="F26" s="1"/>
      <c r="G26" s="12"/>
      <c r="I26" s="78" t="s">
        <v>52</v>
      </c>
      <c r="J26" s="79"/>
      <c r="K26" s="79"/>
      <c r="L26" s="80"/>
      <c r="M26" s="81">
        <f>M22</f>
        <v>0</v>
      </c>
    </row>
    <row r="27" spans="2:13" x14ac:dyDescent="0.2">
      <c r="B27" s="4"/>
      <c r="C27" s="3"/>
      <c r="D27" s="4" t="s">
        <v>21</v>
      </c>
      <c r="E27" s="4" t="s">
        <v>22</v>
      </c>
      <c r="F27" s="3"/>
      <c r="G27" s="17"/>
      <c r="I27" s="77"/>
      <c r="J27" s="77"/>
      <c r="K27" s="77"/>
      <c r="L27" s="77"/>
      <c r="M27" s="82"/>
    </row>
    <row r="28" spans="2:13" x14ac:dyDescent="0.2">
      <c r="B28" s="4">
        <v>8</v>
      </c>
      <c r="C28" s="3"/>
      <c r="D28" s="4" t="s">
        <v>23</v>
      </c>
      <c r="E28" s="4" t="s">
        <v>24</v>
      </c>
      <c r="F28" s="3"/>
      <c r="G28" s="26" t="s">
        <v>21</v>
      </c>
      <c r="I28" s="78" t="s">
        <v>53</v>
      </c>
      <c r="J28" s="79"/>
      <c r="K28" s="79"/>
      <c r="L28" s="80"/>
      <c r="M28" s="81">
        <f>M26/6</f>
        <v>0</v>
      </c>
    </row>
    <row r="29" spans="2:13" x14ac:dyDescent="0.2">
      <c r="B29" s="4"/>
      <c r="C29" s="3"/>
      <c r="D29" s="4" t="s">
        <v>25</v>
      </c>
      <c r="E29" s="4" t="s">
        <v>26</v>
      </c>
      <c r="F29" s="3"/>
      <c r="G29" s="26" t="s">
        <v>27</v>
      </c>
    </row>
    <row r="30" spans="2:13" x14ac:dyDescent="0.2">
      <c r="B30" s="4"/>
      <c r="C30" s="3"/>
      <c r="D30" s="4" t="s">
        <v>28</v>
      </c>
      <c r="E30" s="4" t="s">
        <v>29</v>
      </c>
      <c r="F30" s="3"/>
      <c r="G30" s="26" t="s">
        <v>30</v>
      </c>
    </row>
    <row r="31" spans="2:13" x14ac:dyDescent="0.2">
      <c r="B31" s="5"/>
      <c r="C31" s="3"/>
      <c r="D31" s="4" t="s">
        <v>31</v>
      </c>
      <c r="E31" s="4" t="s">
        <v>32</v>
      </c>
      <c r="F31" s="3"/>
      <c r="G31" s="26" t="s">
        <v>33</v>
      </c>
    </row>
    <row r="32" spans="2:13" x14ac:dyDescent="0.2">
      <c r="B32" s="20" t="s">
        <v>34</v>
      </c>
      <c r="C32" s="1" t="s">
        <v>77</v>
      </c>
      <c r="D32" s="12">
        <f>-G13</f>
        <v>-176386</v>
      </c>
      <c r="E32" s="12">
        <f>D64</f>
        <v>0</v>
      </c>
      <c r="F32" s="1"/>
      <c r="G32" s="12">
        <f t="shared" ref="G32:G34" si="4">D32+E32</f>
        <v>-176386</v>
      </c>
    </row>
    <row r="33" spans="2:7" x14ac:dyDescent="0.2">
      <c r="B33" s="27" t="s">
        <v>35</v>
      </c>
      <c r="C33" s="119" t="s">
        <v>83</v>
      </c>
      <c r="D33" s="17">
        <f>-G14</f>
        <v>-459556.97</v>
      </c>
      <c r="E33" s="17">
        <v>0</v>
      </c>
      <c r="F33" s="3"/>
      <c r="G33" s="17">
        <f t="shared" si="4"/>
        <v>-459556.97</v>
      </c>
    </row>
    <row r="34" spans="2:7" x14ac:dyDescent="0.2">
      <c r="B34" s="27" t="s">
        <v>84</v>
      </c>
      <c r="C34" s="45" t="s">
        <v>89</v>
      </c>
      <c r="D34" s="19">
        <f>-G15</f>
        <v>-74984.409999999916</v>
      </c>
      <c r="E34" s="19">
        <v>0</v>
      </c>
      <c r="F34" s="28"/>
      <c r="G34" s="19">
        <f t="shared" si="4"/>
        <v>-74984.409999999916</v>
      </c>
    </row>
    <row r="35" spans="2:7" x14ac:dyDescent="0.2">
      <c r="B35" s="5" t="s">
        <v>90</v>
      </c>
      <c r="C35" s="29"/>
      <c r="D35" s="30"/>
      <c r="E35" s="30"/>
      <c r="F35" s="31" t="s">
        <v>36</v>
      </c>
      <c r="G35" s="19">
        <f>G32+G33+G34</f>
        <v>-710927.37999999989</v>
      </c>
    </row>
    <row r="36" spans="2:7" x14ac:dyDescent="0.2">
      <c r="B36" s="32"/>
      <c r="G36" s="33"/>
    </row>
    <row r="37" spans="2:7" x14ac:dyDescent="0.2">
      <c r="B37" s="6">
        <v>9</v>
      </c>
      <c r="C37" s="34" t="s">
        <v>91</v>
      </c>
      <c r="D37" s="8"/>
      <c r="E37" s="8"/>
      <c r="F37" s="9"/>
      <c r="G37" s="35">
        <f>G22+G35</f>
        <v>30842.019999999902</v>
      </c>
    </row>
    <row r="38" spans="2:7" x14ac:dyDescent="0.2">
      <c r="B38" s="32"/>
      <c r="G38" s="33"/>
    </row>
    <row r="39" spans="2:7" x14ac:dyDescent="0.2">
      <c r="B39" s="6">
        <v>10</v>
      </c>
      <c r="C39" s="34" t="s">
        <v>78</v>
      </c>
      <c r="D39" s="8"/>
      <c r="E39" s="8"/>
      <c r="F39" s="9"/>
      <c r="G39" s="35">
        <f>G37/6</f>
        <v>5140.3366666666507</v>
      </c>
    </row>
    <row r="41" spans="2:7" x14ac:dyDescent="0.2">
      <c r="B41" s="1"/>
      <c r="C41" s="36" t="s">
        <v>37</v>
      </c>
      <c r="D41" s="37"/>
      <c r="E41" s="37"/>
      <c r="F41" s="37"/>
      <c r="G41" s="38"/>
    </row>
    <row r="42" spans="2:7" x14ac:dyDescent="0.2">
      <c r="B42" s="1"/>
      <c r="C42" s="39"/>
      <c r="D42" s="39"/>
      <c r="E42" s="39"/>
      <c r="F42" s="39"/>
      <c r="G42" s="11"/>
    </row>
    <row r="43" spans="2:7" x14ac:dyDescent="0.2">
      <c r="B43" s="4">
        <v>11</v>
      </c>
      <c r="C43" t="s">
        <v>38</v>
      </c>
      <c r="G43" s="41">
        <f>G16</f>
        <v>710927.37999999989</v>
      </c>
    </row>
    <row r="44" spans="2:7" x14ac:dyDescent="0.2">
      <c r="B44" s="4">
        <v>12</v>
      </c>
      <c r="C44" t="s">
        <v>39</v>
      </c>
      <c r="G44" s="42">
        <f>G35</f>
        <v>-710927.37999999989</v>
      </c>
    </row>
    <row r="45" spans="2:7" x14ac:dyDescent="0.2">
      <c r="B45" s="4"/>
      <c r="G45" s="41"/>
    </row>
    <row r="46" spans="2:7" ht="15" thickBot="1" x14ac:dyDescent="0.25">
      <c r="B46" s="4">
        <v>13</v>
      </c>
      <c r="C46" t="s">
        <v>40</v>
      </c>
      <c r="G46" s="43">
        <f>G43+G44</f>
        <v>0</v>
      </c>
    </row>
    <row r="47" spans="2:7" ht="15" thickTop="1" x14ac:dyDescent="0.2">
      <c r="B47" s="4"/>
      <c r="G47" s="41"/>
    </row>
    <row r="48" spans="2:7" x14ac:dyDescent="0.2">
      <c r="B48" s="4">
        <v>14</v>
      </c>
      <c r="C48" t="s">
        <v>41</v>
      </c>
      <c r="G48" s="41">
        <f>G37</f>
        <v>30842.019999999902</v>
      </c>
    </row>
    <row r="49" spans="2:7" x14ac:dyDescent="0.2">
      <c r="B49" s="4"/>
      <c r="G49" s="41"/>
    </row>
    <row r="50" spans="2:7" x14ac:dyDescent="0.2">
      <c r="B50" s="4">
        <v>15</v>
      </c>
      <c r="C50" t="s">
        <v>42</v>
      </c>
      <c r="G50" s="42">
        <f>SUM(F17:F22)</f>
        <v>30842.01999999996</v>
      </c>
    </row>
    <row r="51" spans="2:7" x14ac:dyDescent="0.2">
      <c r="B51" s="4"/>
      <c r="G51" s="41"/>
    </row>
    <row r="52" spans="2:7" ht="15" thickBot="1" x14ac:dyDescent="0.25">
      <c r="B52" s="4">
        <v>16</v>
      </c>
      <c r="C52" t="s">
        <v>43</v>
      </c>
      <c r="G52" s="43">
        <f>G48-G50</f>
        <v>-5.8207660913467407E-11</v>
      </c>
    </row>
    <row r="53" spans="2:7" ht="15" thickTop="1" x14ac:dyDescent="0.2">
      <c r="B53" s="28"/>
      <c r="C53" s="44"/>
      <c r="D53" s="44"/>
      <c r="E53" s="44"/>
      <c r="F53" s="44"/>
      <c r="G53" s="45"/>
    </row>
    <row r="55" spans="2:7" x14ac:dyDescent="0.2">
      <c r="B55" t="s">
        <v>44</v>
      </c>
    </row>
    <row r="56" spans="2:7" x14ac:dyDescent="0.2">
      <c r="B56" s="32"/>
      <c r="C56" s="1"/>
      <c r="D56" s="2" t="s">
        <v>45</v>
      </c>
      <c r="E56" s="27"/>
      <c r="F56" s="32"/>
      <c r="G56" s="32"/>
    </row>
    <row r="57" spans="2:7" x14ac:dyDescent="0.2">
      <c r="B57" s="32"/>
      <c r="C57" s="5" t="s">
        <v>10</v>
      </c>
      <c r="D57" s="5" t="s">
        <v>79</v>
      </c>
      <c r="E57" s="27"/>
      <c r="F57" s="32"/>
      <c r="G57" s="32"/>
    </row>
    <row r="58" spans="2:7" x14ac:dyDescent="0.2">
      <c r="C58" s="13">
        <v>44927</v>
      </c>
      <c r="D58" s="12">
        <v>0</v>
      </c>
      <c r="E58" s="16"/>
      <c r="F58" s="33"/>
      <c r="G58" s="33"/>
    </row>
    <row r="59" spans="2:7" x14ac:dyDescent="0.2">
      <c r="C59" s="15">
        <v>44958</v>
      </c>
      <c r="D59" s="17">
        <v>0</v>
      </c>
      <c r="E59" s="16"/>
      <c r="F59" s="33"/>
      <c r="G59" s="33"/>
    </row>
    <row r="60" spans="2:7" x14ac:dyDescent="0.2">
      <c r="C60" s="15">
        <v>44986</v>
      </c>
      <c r="D60" s="17">
        <v>0</v>
      </c>
      <c r="E60" s="16"/>
      <c r="F60" s="33"/>
      <c r="G60" s="33"/>
    </row>
    <row r="61" spans="2:7" x14ac:dyDescent="0.2">
      <c r="C61" s="15">
        <v>45017</v>
      </c>
      <c r="D61" s="17">
        <v>0</v>
      </c>
      <c r="E61" s="16"/>
      <c r="F61" s="33"/>
      <c r="G61" s="33"/>
    </row>
    <row r="62" spans="2:7" x14ac:dyDescent="0.2">
      <c r="C62" s="15">
        <v>45047</v>
      </c>
      <c r="D62" s="17">
        <v>0</v>
      </c>
      <c r="E62" s="16"/>
      <c r="F62" s="33"/>
      <c r="G62" s="33"/>
    </row>
    <row r="63" spans="2:7" x14ac:dyDescent="0.2">
      <c r="C63" s="15">
        <v>45078</v>
      </c>
      <c r="D63" s="19">
        <v>0</v>
      </c>
      <c r="E63" s="16"/>
      <c r="F63" s="33"/>
      <c r="G63" s="33"/>
    </row>
    <row r="64" spans="2:7" x14ac:dyDescent="0.2">
      <c r="C64" s="49" t="s">
        <v>46</v>
      </c>
      <c r="D64" s="35">
        <f>SUM(D58:D63)</f>
        <v>0</v>
      </c>
      <c r="E64" s="16"/>
      <c r="F64" s="33"/>
      <c r="G64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2BEEE-1639-4B77-A1DA-2D365BCEA36A}">
  <sheetPr codeName="Sheet6"/>
  <dimension ref="A1:M66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Inter-County Surcharge Summary.xlsx</v>
      </c>
    </row>
    <row r="4" spans="1:13" ht="14.25" customHeight="1" x14ac:dyDescent="0.2">
      <c r="B4" s="109" t="s">
        <v>48</v>
      </c>
      <c r="C4" s="110"/>
      <c r="D4" s="110"/>
      <c r="E4" s="110"/>
      <c r="F4" s="110"/>
      <c r="G4" s="111"/>
      <c r="I4" s="98" t="s">
        <v>49</v>
      </c>
      <c r="J4" s="99"/>
      <c r="K4" s="99"/>
      <c r="L4" s="99"/>
      <c r="M4" s="100"/>
    </row>
    <row r="5" spans="1:13" x14ac:dyDescent="0.2">
      <c r="B5" s="112"/>
      <c r="C5" s="113"/>
      <c r="D5" s="113"/>
      <c r="E5" s="113"/>
      <c r="F5" s="113"/>
      <c r="G5" s="114"/>
      <c r="I5" s="101"/>
      <c r="J5" s="102"/>
      <c r="K5" s="102"/>
      <c r="L5" s="102"/>
      <c r="M5" s="103"/>
    </row>
    <row r="6" spans="1:13" ht="15" x14ac:dyDescent="0.2">
      <c r="I6" s="57"/>
      <c r="J6" s="57"/>
      <c r="K6" s="57"/>
      <c r="L6" s="57"/>
      <c r="M6" s="57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ht="15.75" x14ac:dyDescent="0.25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58" t="s">
        <v>50</v>
      </c>
      <c r="J11" s="57"/>
      <c r="K11" s="57"/>
      <c r="L11" s="57"/>
      <c r="M11" s="57"/>
    </row>
    <row r="12" spans="1:13" ht="15" x14ac:dyDescent="0.2">
      <c r="B12" s="2">
        <v>1</v>
      </c>
      <c r="C12" s="95" t="s">
        <v>15</v>
      </c>
      <c r="D12" s="96"/>
      <c r="E12" s="96"/>
      <c r="F12" s="96"/>
      <c r="G12" s="97"/>
      <c r="I12" s="57"/>
      <c r="J12" s="57"/>
      <c r="K12" s="57"/>
      <c r="L12" s="57"/>
      <c r="M12" s="57"/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176386</v>
      </c>
      <c r="I13" s="59"/>
      <c r="J13" s="59"/>
      <c r="K13" s="60" t="s">
        <v>0</v>
      </c>
      <c r="L13" s="59"/>
      <c r="M13" s="59"/>
    </row>
    <row r="14" spans="1:13" x14ac:dyDescent="0.2">
      <c r="B14" s="4" t="s">
        <v>17</v>
      </c>
      <c r="C14" s="8" t="s">
        <v>80</v>
      </c>
      <c r="D14" s="8"/>
      <c r="E14" s="8"/>
      <c r="F14" s="9"/>
      <c r="G14" s="118">
        <f>'A - 05-31-22'!G33</f>
        <v>459556.97</v>
      </c>
      <c r="I14" s="61"/>
      <c r="J14" s="62" t="s">
        <v>1</v>
      </c>
      <c r="K14" s="62" t="s">
        <v>2</v>
      </c>
      <c r="L14" s="61"/>
      <c r="M14" s="61"/>
    </row>
    <row r="15" spans="1:13" x14ac:dyDescent="0.2">
      <c r="B15" s="4" t="s">
        <v>81</v>
      </c>
      <c r="C15" s="8" t="s">
        <v>86</v>
      </c>
      <c r="D15" s="8"/>
      <c r="E15" s="8"/>
      <c r="F15" s="9"/>
      <c r="G15" s="118">
        <f>'B - 11-30-22'!G35</f>
        <v>74984.409999999916</v>
      </c>
      <c r="I15" s="61"/>
      <c r="J15" s="62" t="s">
        <v>3</v>
      </c>
      <c r="K15" s="62" t="s">
        <v>4</v>
      </c>
      <c r="L15" s="62" t="s">
        <v>5</v>
      </c>
      <c r="M15" s="62" t="s">
        <v>6</v>
      </c>
    </row>
    <row r="16" spans="1:13" x14ac:dyDescent="0.2">
      <c r="B16" s="4" t="s">
        <v>87</v>
      </c>
      <c r="C16" s="8" t="s">
        <v>92</v>
      </c>
      <c r="D16" s="8"/>
      <c r="E16" s="8"/>
      <c r="F16" s="11"/>
      <c r="G16" s="51">
        <f>'C - 05-31-23'!G37</f>
        <v>30842.019999999902</v>
      </c>
      <c r="I16" s="63"/>
      <c r="J16" s="63" t="s">
        <v>7</v>
      </c>
      <c r="K16" s="63" t="s">
        <v>7</v>
      </c>
      <c r="L16" s="63" t="s">
        <v>8</v>
      </c>
      <c r="M16" s="63" t="s">
        <v>8</v>
      </c>
    </row>
    <row r="17" spans="2:13" x14ac:dyDescent="0.2">
      <c r="B17" s="5" t="s">
        <v>93</v>
      </c>
      <c r="C17" s="8" t="s">
        <v>18</v>
      </c>
      <c r="D17" s="8"/>
      <c r="E17" s="8"/>
      <c r="F17" s="11"/>
      <c r="G17" s="12">
        <f>G13+G14+G15+G16</f>
        <v>741769.39999999979</v>
      </c>
      <c r="I17" s="64" t="s">
        <v>10</v>
      </c>
      <c r="J17" s="65" t="s">
        <v>51</v>
      </c>
      <c r="K17" s="65" t="s">
        <v>11</v>
      </c>
      <c r="L17" s="65" t="s">
        <v>12</v>
      </c>
      <c r="M17" s="65" t="s">
        <v>13</v>
      </c>
    </row>
    <row r="18" spans="2:13" x14ac:dyDescent="0.2">
      <c r="B18" s="4">
        <v>2</v>
      </c>
      <c r="C18" s="13">
        <v>45108</v>
      </c>
      <c r="D18" s="51">
        <f>379720-821-1071</f>
        <v>377828</v>
      </c>
      <c r="E18" s="52">
        <v>510966.13</v>
      </c>
      <c r="F18" s="14">
        <f t="shared" ref="F18:F25" si="0">D18-E18</f>
        <v>-133138.13</v>
      </c>
      <c r="G18" s="12">
        <f t="shared" ref="G18:G25" si="1">G17+F18</f>
        <v>608631.26999999979</v>
      </c>
      <c r="I18" s="115">
        <v>45108</v>
      </c>
      <c r="J18" s="67">
        <f>52170+72492+1071</f>
        <v>125733</v>
      </c>
      <c r="K18" s="68">
        <v>125733</v>
      </c>
      <c r="L18" s="69">
        <f t="shared" ref="L18:L25" si="2">J18-K18</f>
        <v>0</v>
      </c>
      <c r="M18" s="70">
        <f>L18</f>
        <v>0</v>
      </c>
    </row>
    <row r="19" spans="2:13" x14ac:dyDescent="0.2">
      <c r="B19" s="4">
        <v>3</v>
      </c>
      <c r="C19" s="15">
        <v>45139</v>
      </c>
      <c r="D19" s="53">
        <f>527514-851-1109</f>
        <v>525554</v>
      </c>
      <c r="E19" s="54">
        <v>575983.43999999994</v>
      </c>
      <c r="F19" s="16">
        <f t="shared" si="0"/>
        <v>-50429.439999999944</v>
      </c>
      <c r="G19" s="17">
        <f t="shared" si="1"/>
        <v>558201.82999999984</v>
      </c>
      <c r="I19" s="116">
        <v>45139</v>
      </c>
      <c r="J19" s="67">
        <f>56190+102634+1109</f>
        <v>159933</v>
      </c>
      <c r="K19" s="68">
        <v>159933</v>
      </c>
      <c r="L19" s="70">
        <f t="shared" si="2"/>
        <v>0</v>
      </c>
      <c r="M19" s="70">
        <f t="shared" ref="M19:M25" si="3">M18+L19</f>
        <v>0</v>
      </c>
    </row>
    <row r="20" spans="2:13" x14ac:dyDescent="0.2">
      <c r="B20" s="4">
        <v>4</v>
      </c>
      <c r="C20" s="15">
        <v>45170</v>
      </c>
      <c r="D20" s="53">
        <f>529166-0-1110</f>
        <v>528056</v>
      </c>
      <c r="E20" s="54">
        <v>514955.3</v>
      </c>
      <c r="F20" s="16">
        <f t="shared" si="0"/>
        <v>13100.700000000012</v>
      </c>
      <c r="G20" s="17">
        <f t="shared" si="1"/>
        <v>571302.5299999998</v>
      </c>
      <c r="I20" s="116">
        <v>45170</v>
      </c>
      <c r="J20" s="67">
        <f>55742+136092+1110</f>
        <v>192944</v>
      </c>
      <c r="K20" s="67">
        <v>192944</v>
      </c>
      <c r="L20" s="70">
        <f t="shared" si="2"/>
        <v>0</v>
      </c>
      <c r="M20" s="70">
        <f t="shared" si="3"/>
        <v>0</v>
      </c>
    </row>
    <row r="21" spans="2:13" x14ac:dyDescent="0.2">
      <c r="B21" s="4">
        <v>5</v>
      </c>
      <c r="C21" s="15">
        <v>45200</v>
      </c>
      <c r="D21" s="53">
        <f>346956-0-868</f>
        <v>346088</v>
      </c>
      <c r="E21" s="54">
        <v>282099.09999999998</v>
      </c>
      <c r="F21" s="16">
        <f t="shared" si="0"/>
        <v>63988.900000000023</v>
      </c>
      <c r="G21" s="17">
        <f t="shared" si="1"/>
        <v>635291.42999999982</v>
      </c>
      <c r="I21" s="116">
        <v>45200</v>
      </c>
      <c r="J21" s="67">
        <f>41531+102614+868</f>
        <v>145013</v>
      </c>
      <c r="K21" s="67">
        <v>145013</v>
      </c>
      <c r="L21" s="70">
        <f t="shared" si="2"/>
        <v>0</v>
      </c>
      <c r="M21" s="70">
        <f t="shared" si="3"/>
        <v>0</v>
      </c>
    </row>
    <row r="22" spans="2:13" x14ac:dyDescent="0.2">
      <c r="B22" s="4">
        <v>6</v>
      </c>
      <c r="C22" s="15">
        <v>45231</v>
      </c>
      <c r="D22" s="53">
        <f>308678-653-847</f>
        <v>307178</v>
      </c>
      <c r="E22" s="54">
        <v>334081.84000000003</v>
      </c>
      <c r="F22" s="16">
        <f t="shared" si="0"/>
        <v>-26903.840000000026</v>
      </c>
      <c r="G22" s="17">
        <f t="shared" si="1"/>
        <v>608387.58999999985</v>
      </c>
      <c r="I22" s="116">
        <v>45231</v>
      </c>
      <c r="J22" s="67">
        <f>40258+101735+847</f>
        <v>142840</v>
      </c>
      <c r="K22" s="72">
        <v>142840</v>
      </c>
      <c r="L22" s="70">
        <f t="shared" si="2"/>
        <v>0</v>
      </c>
      <c r="M22" s="70">
        <f t="shared" si="3"/>
        <v>0</v>
      </c>
    </row>
    <row r="23" spans="2:13" x14ac:dyDescent="0.2">
      <c r="B23" s="4">
        <v>7</v>
      </c>
      <c r="C23" s="15">
        <v>45261</v>
      </c>
      <c r="D23" s="53">
        <f>472082-774-1001</f>
        <v>470307</v>
      </c>
      <c r="E23" s="54">
        <f>548654.04</f>
        <v>548654.04</v>
      </c>
      <c r="F23" s="18">
        <f t="shared" si="0"/>
        <v>-78347.040000000037</v>
      </c>
      <c r="G23" s="19">
        <f t="shared" si="1"/>
        <v>530040.54999999981</v>
      </c>
      <c r="I23" s="117">
        <v>45261</v>
      </c>
      <c r="J23" s="72">
        <f>42330+116345+1001</f>
        <v>159676</v>
      </c>
      <c r="K23" s="74">
        <v>159676</v>
      </c>
      <c r="L23" s="75">
        <f t="shared" si="2"/>
        <v>0</v>
      </c>
      <c r="M23" s="75">
        <f t="shared" si="3"/>
        <v>0</v>
      </c>
    </row>
    <row r="24" spans="2:13" x14ac:dyDescent="0.2">
      <c r="B24" s="20" t="s">
        <v>19</v>
      </c>
      <c r="C24" s="13">
        <v>45292</v>
      </c>
      <c r="D24" s="51">
        <f>545199-798-1028</f>
        <v>543373</v>
      </c>
      <c r="E24" s="52">
        <v>654854.05000000005</v>
      </c>
      <c r="F24" s="14">
        <f t="shared" si="0"/>
        <v>-111481.05000000005</v>
      </c>
      <c r="G24" s="12">
        <f t="shared" si="1"/>
        <v>418559.49999999977</v>
      </c>
      <c r="I24" s="116">
        <v>45292</v>
      </c>
      <c r="J24" s="76">
        <f>41066+102989+1028</f>
        <v>145083</v>
      </c>
      <c r="K24" s="76">
        <v>145083</v>
      </c>
      <c r="L24" s="70">
        <f t="shared" si="2"/>
        <v>0</v>
      </c>
      <c r="M24" s="70">
        <f t="shared" si="3"/>
        <v>0</v>
      </c>
    </row>
    <row r="25" spans="2:13" x14ac:dyDescent="0.2">
      <c r="B25" s="21" t="s">
        <v>20</v>
      </c>
      <c r="C25" s="22">
        <v>45323</v>
      </c>
      <c r="D25" s="87">
        <f>733452-740-950</f>
        <v>731762</v>
      </c>
      <c r="E25" s="88">
        <f>594908.41+962</f>
        <v>595870.41</v>
      </c>
      <c r="F25" s="18">
        <f t="shared" si="0"/>
        <v>135891.58999999997</v>
      </c>
      <c r="G25" s="19">
        <f t="shared" si="1"/>
        <v>554451.08999999973</v>
      </c>
      <c r="I25" s="117">
        <v>45323</v>
      </c>
      <c r="J25" s="74">
        <f>44133+117970+950</f>
        <v>163053</v>
      </c>
      <c r="K25" s="74">
        <f>164015-962</f>
        <v>163053</v>
      </c>
      <c r="L25" s="75">
        <f t="shared" si="2"/>
        <v>0</v>
      </c>
      <c r="M25" s="75">
        <f t="shared" si="3"/>
        <v>0</v>
      </c>
    </row>
    <row r="26" spans="2:13" x14ac:dyDescent="0.2">
      <c r="B26" s="5"/>
      <c r="C26" s="23" t="s">
        <v>94</v>
      </c>
      <c r="D26" s="24"/>
      <c r="E26" s="24"/>
      <c r="F26" s="24"/>
      <c r="G26" s="25"/>
      <c r="I26" s="77"/>
      <c r="J26" s="77"/>
      <c r="K26" s="77"/>
      <c r="L26" s="77"/>
      <c r="M26" s="77"/>
    </row>
    <row r="27" spans="2:13" x14ac:dyDescent="0.2">
      <c r="B27" s="2"/>
      <c r="C27" s="1"/>
      <c r="D27" s="1"/>
      <c r="E27" s="1"/>
      <c r="F27" s="1"/>
      <c r="G27" s="12"/>
      <c r="I27" s="78" t="s">
        <v>52</v>
      </c>
      <c r="J27" s="79"/>
      <c r="K27" s="79"/>
      <c r="L27" s="80"/>
      <c r="M27" s="81">
        <f>M23</f>
        <v>0</v>
      </c>
    </row>
    <row r="28" spans="2:13" x14ac:dyDescent="0.2">
      <c r="B28" s="4"/>
      <c r="C28" s="3"/>
      <c r="D28" s="4" t="s">
        <v>21</v>
      </c>
      <c r="E28" s="4" t="s">
        <v>22</v>
      </c>
      <c r="F28" s="3"/>
      <c r="G28" s="17"/>
      <c r="I28" s="77"/>
      <c r="J28" s="77"/>
      <c r="K28" s="77"/>
      <c r="L28" s="77"/>
      <c r="M28" s="82"/>
    </row>
    <row r="29" spans="2:13" x14ac:dyDescent="0.2">
      <c r="B29" s="4">
        <v>8</v>
      </c>
      <c r="C29" s="3"/>
      <c r="D29" s="4" t="s">
        <v>23</v>
      </c>
      <c r="E29" s="4" t="s">
        <v>24</v>
      </c>
      <c r="F29" s="3"/>
      <c r="G29" s="26" t="s">
        <v>21</v>
      </c>
      <c r="I29" s="78" t="s">
        <v>53</v>
      </c>
      <c r="J29" s="79"/>
      <c r="K29" s="79"/>
      <c r="L29" s="80"/>
      <c r="M29" s="81">
        <f>M27/6</f>
        <v>0</v>
      </c>
    </row>
    <row r="30" spans="2:13" x14ac:dyDescent="0.2">
      <c r="B30" s="4"/>
      <c r="C30" s="3"/>
      <c r="D30" s="4" t="s">
        <v>25</v>
      </c>
      <c r="E30" s="4" t="s">
        <v>26</v>
      </c>
      <c r="F30" s="3"/>
      <c r="G30" s="26" t="s">
        <v>27</v>
      </c>
    </row>
    <row r="31" spans="2:13" x14ac:dyDescent="0.2">
      <c r="B31" s="4"/>
      <c r="C31" s="3"/>
      <c r="D31" s="4" t="s">
        <v>28</v>
      </c>
      <c r="E31" s="4" t="s">
        <v>29</v>
      </c>
      <c r="F31" s="3"/>
      <c r="G31" s="26" t="s">
        <v>30</v>
      </c>
    </row>
    <row r="32" spans="2:13" x14ac:dyDescent="0.2">
      <c r="B32" s="5"/>
      <c r="C32" s="3"/>
      <c r="D32" s="4" t="s">
        <v>31</v>
      </c>
      <c r="E32" s="4" t="s">
        <v>32</v>
      </c>
      <c r="F32" s="3"/>
      <c r="G32" s="26" t="s">
        <v>33</v>
      </c>
    </row>
    <row r="33" spans="2:7" x14ac:dyDescent="0.2">
      <c r="B33" s="20" t="s">
        <v>34</v>
      </c>
      <c r="C33" s="120" t="s">
        <v>95</v>
      </c>
      <c r="D33" s="121">
        <f>-G13</f>
        <v>-176386</v>
      </c>
      <c r="E33" s="121">
        <f>D66</f>
        <v>0</v>
      </c>
      <c r="F33" s="39"/>
      <c r="G33" s="122">
        <f t="shared" ref="G33:G36" si="4">D33+E33</f>
        <v>-176386</v>
      </c>
    </row>
    <row r="34" spans="2:7" x14ac:dyDescent="0.2">
      <c r="B34" s="27" t="s">
        <v>35</v>
      </c>
      <c r="C34" s="123" t="s">
        <v>83</v>
      </c>
      <c r="D34" s="33">
        <f>-G14</f>
        <v>-459556.97</v>
      </c>
      <c r="E34" s="33">
        <v>0</v>
      </c>
      <c r="G34" s="41">
        <f t="shared" si="4"/>
        <v>-459556.97</v>
      </c>
    </row>
    <row r="35" spans="2:7" x14ac:dyDescent="0.2">
      <c r="B35" s="27" t="s">
        <v>84</v>
      </c>
      <c r="C35" s="123" t="s">
        <v>89</v>
      </c>
      <c r="D35" s="33">
        <f>-G15</f>
        <v>-74984.409999999916</v>
      </c>
      <c r="E35" s="33">
        <v>0</v>
      </c>
      <c r="G35" s="41">
        <f t="shared" si="4"/>
        <v>-74984.409999999916</v>
      </c>
    </row>
    <row r="36" spans="2:7" x14ac:dyDescent="0.2">
      <c r="B36" s="27" t="s">
        <v>90</v>
      </c>
      <c r="C36" s="124" t="s">
        <v>96</v>
      </c>
      <c r="D36" s="125">
        <f>-G16</f>
        <v>-30842.019999999902</v>
      </c>
      <c r="E36" s="125">
        <v>0</v>
      </c>
      <c r="F36" s="44"/>
      <c r="G36" s="42">
        <f t="shared" si="4"/>
        <v>-30842.019999999902</v>
      </c>
    </row>
    <row r="37" spans="2:7" x14ac:dyDescent="0.2">
      <c r="B37" s="5" t="s">
        <v>97</v>
      </c>
      <c r="C37" s="29"/>
      <c r="D37" s="30"/>
      <c r="E37" s="30"/>
      <c r="F37" s="31" t="s">
        <v>36</v>
      </c>
      <c r="G37" s="19">
        <f>G33+G34+G35+G36</f>
        <v>-741769.39999999979</v>
      </c>
    </row>
    <row r="38" spans="2:7" x14ac:dyDescent="0.2">
      <c r="B38" s="32"/>
      <c r="G38" s="33"/>
    </row>
    <row r="39" spans="2:7" x14ac:dyDescent="0.2">
      <c r="B39" s="6">
        <v>9</v>
      </c>
      <c r="C39" s="34" t="s">
        <v>98</v>
      </c>
      <c r="D39" s="8"/>
      <c r="E39" s="8"/>
      <c r="F39" s="9"/>
      <c r="G39" s="35">
        <f>G23+G37</f>
        <v>-211728.84999999998</v>
      </c>
    </row>
    <row r="40" spans="2:7" x14ac:dyDescent="0.2">
      <c r="B40" s="32"/>
      <c r="G40" s="33"/>
    </row>
    <row r="41" spans="2:7" x14ac:dyDescent="0.2">
      <c r="B41" s="6">
        <v>10</v>
      </c>
      <c r="C41" s="34" t="s">
        <v>78</v>
      </c>
      <c r="D41" s="8"/>
      <c r="E41" s="8"/>
      <c r="F41" s="9"/>
      <c r="G41" s="35">
        <f>G39/6</f>
        <v>-35288.141666666663</v>
      </c>
    </row>
    <row r="43" spans="2:7" x14ac:dyDescent="0.2">
      <c r="B43" s="1"/>
      <c r="C43" s="36" t="s">
        <v>37</v>
      </c>
      <c r="D43" s="37"/>
      <c r="E43" s="37"/>
      <c r="F43" s="37"/>
      <c r="G43" s="38"/>
    </row>
    <row r="44" spans="2:7" x14ac:dyDescent="0.2">
      <c r="B44" s="1"/>
      <c r="C44" s="39"/>
      <c r="D44" s="39"/>
      <c r="E44" s="39"/>
      <c r="F44" s="39"/>
      <c r="G44" s="11"/>
    </row>
    <row r="45" spans="2:7" x14ac:dyDescent="0.2">
      <c r="B45" s="4">
        <v>11</v>
      </c>
      <c r="C45" t="s">
        <v>38</v>
      </c>
      <c r="G45" s="41">
        <f>G17</f>
        <v>741769.39999999979</v>
      </c>
    </row>
    <row r="46" spans="2:7" x14ac:dyDescent="0.2">
      <c r="B46" s="4">
        <v>12</v>
      </c>
      <c r="C46" t="s">
        <v>39</v>
      </c>
      <c r="G46" s="42">
        <f>G37</f>
        <v>-741769.39999999979</v>
      </c>
    </row>
    <row r="47" spans="2:7" x14ac:dyDescent="0.2">
      <c r="B47" s="4"/>
      <c r="G47" s="41"/>
    </row>
    <row r="48" spans="2:7" ht="15" thickBot="1" x14ac:dyDescent="0.25">
      <c r="B48" s="4">
        <v>13</v>
      </c>
      <c r="C48" t="s">
        <v>40</v>
      </c>
      <c r="G48" s="43">
        <f>G45+G46</f>
        <v>0</v>
      </c>
    </row>
    <row r="49" spans="2:7" ht="15" thickTop="1" x14ac:dyDescent="0.2">
      <c r="B49" s="4"/>
      <c r="G49" s="41"/>
    </row>
    <row r="50" spans="2:7" x14ac:dyDescent="0.2">
      <c r="B50" s="4">
        <v>14</v>
      </c>
      <c r="C50" t="s">
        <v>41</v>
      </c>
      <c r="G50" s="41">
        <f>G39</f>
        <v>-211728.84999999998</v>
      </c>
    </row>
    <row r="51" spans="2:7" x14ac:dyDescent="0.2">
      <c r="B51" s="4"/>
      <c r="G51" s="41"/>
    </row>
    <row r="52" spans="2:7" x14ac:dyDescent="0.2">
      <c r="B52" s="4">
        <v>15</v>
      </c>
      <c r="C52" t="s">
        <v>42</v>
      </c>
      <c r="G52" s="42">
        <f>SUM(F18:F23)</f>
        <v>-211728.84999999998</v>
      </c>
    </row>
    <row r="53" spans="2:7" x14ac:dyDescent="0.2">
      <c r="B53" s="4"/>
      <c r="G53" s="41"/>
    </row>
    <row r="54" spans="2:7" ht="15" thickBot="1" x14ac:dyDescent="0.25">
      <c r="B54" s="4">
        <v>16</v>
      </c>
      <c r="C54" t="s">
        <v>43</v>
      </c>
      <c r="G54" s="43">
        <f>G50-G52</f>
        <v>0</v>
      </c>
    </row>
    <row r="55" spans="2:7" ht="15" thickTop="1" x14ac:dyDescent="0.2">
      <c r="B55" s="28"/>
      <c r="C55" s="44"/>
      <c r="D55" s="44"/>
      <c r="E55" s="44"/>
      <c r="F55" s="44"/>
      <c r="G55" s="45"/>
    </row>
    <row r="57" spans="2:7" x14ac:dyDescent="0.2">
      <c r="B57" t="s">
        <v>44</v>
      </c>
    </row>
    <row r="58" spans="2:7" x14ac:dyDescent="0.2">
      <c r="B58" s="32"/>
      <c r="C58" s="1"/>
      <c r="D58" s="2" t="s">
        <v>45</v>
      </c>
      <c r="E58" s="27"/>
      <c r="F58" s="32"/>
      <c r="G58" s="32"/>
    </row>
    <row r="59" spans="2:7" x14ac:dyDescent="0.2">
      <c r="B59" s="32"/>
      <c r="C59" s="5" t="s">
        <v>10</v>
      </c>
      <c r="D59" s="5" t="s">
        <v>79</v>
      </c>
      <c r="E59" s="27"/>
      <c r="F59" s="32"/>
      <c r="G59" s="32"/>
    </row>
    <row r="60" spans="2:7" x14ac:dyDescent="0.2">
      <c r="C60" s="13">
        <v>45108</v>
      </c>
      <c r="D60" s="12">
        <v>0</v>
      </c>
      <c r="E60" s="16"/>
      <c r="F60" s="33"/>
      <c r="G60" s="33"/>
    </row>
    <row r="61" spans="2:7" x14ac:dyDescent="0.2">
      <c r="C61" s="15">
        <v>45139</v>
      </c>
      <c r="D61" s="17">
        <v>0</v>
      </c>
      <c r="E61" s="16"/>
      <c r="F61" s="33"/>
      <c r="G61" s="33"/>
    </row>
    <row r="62" spans="2:7" x14ac:dyDescent="0.2">
      <c r="C62" s="15">
        <v>45170</v>
      </c>
      <c r="D62" s="17">
        <v>0</v>
      </c>
      <c r="E62" s="16"/>
      <c r="F62" s="33"/>
      <c r="G62" s="33"/>
    </row>
    <row r="63" spans="2:7" x14ac:dyDescent="0.2">
      <c r="C63" s="15">
        <v>45200</v>
      </c>
      <c r="D63" s="17">
        <v>0</v>
      </c>
      <c r="E63" s="16"/>
      <c r="F63" s="33"/>
      <c r="G63" s="33"/>
    </row>
    <row r="64" spans="2:7" x14ac:dyDescent="0.2">
      <c r="C64" s="15">
        <v>45231</v>
      </c>
      <c r="D64" s="17">
        <v>0</v>
      </c>
      <c r="E64" s="16"/>
      <c r="F64" s="33"/>
      <c r="G64" s="33"/>
    </row>
    <row r="65" spans="3:7" x14ac:dyDescent="0.2">
      <c r="C65" s="15">
        <v>45261</v>
      </c>
      <c r="D65" s="19">
        <v>0</v>
      </c>
      <c r="E65" s="16"/>
      <c r="F65" s="33"/>
      <c r="G65" s="33"/>
    </row>
    <row r="66" spans="3:7" x14ac:dyDescent="0.2">
      <c r="C66" s="49" t="s">
        <v>46</v>
      </c>
      <c r="D66" s="35">
        <f>SUM(D60:D65)</f>
        <v>0</v>
      </c>
      <c r="E66" s="16"/>
      <c r="F66" s="33"/>
      <c r="G66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F4158-53FC-498D-84AC-FADBD35C0CF4}">
  <sheetPr codeName="Sheet7"/>
  <dimension ref="A1:M68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Inter-County Surcharge Summary.xlsx</v>
      </c>
    </row>
    <row r="4" spans="1:13" ht="14.25" customHeight="1" x14ac:dyDescent="0.2">
      <c r="B4" s="109" t="s">
        <v>48</v>
      </c>
      <c r="C4" s="110"/>
      <c r="D4" s="110"/>
      <c r="E4" s="110"/>
      <c r="F4" s="110"/>
      <c r="G4" s="111"/>
      <c r="I4" s="98" t="s">
        <v>49</v>
      </c>
      <c r="J4" s="99"/>
      <c r="K4" s="99"/>
      <c r="L4" s="99"/>
      <c r="M4" s="100"/>
    </row>
    <row r="5" spans="1:13" x14ac:dyDescent="0.2">
      <c r="B5" s="112"/>
      <c r="C5" s="113"/>
      <c r="D5" s="113"/>
      <c r="E5" s="113"/>
      <c r="F5" s="113"/>
      <c r="G5" s="114"/>
      <c r="I5" s="101"/>
      <c r="J5" s="102"/>
      <c r="K5" s="102"/>
      <c r="L5" s="102"/>
      <c r="M5" s="103"/>
    </row>
    <row r="6" spans="1:13" ht="15" x14ac:dyDescent="0.2">
      <c r="I6" s="57"/>
      <c r="J6" s="57"/>
      <c r="K6" s="57"/>
      <c r="L6" s="57"/>
      <c r="M6" s="57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ht="15.75" x14ac:dyDescent="0.25">
      <c r="B12" s="2">
        <v>1</v>
      </c>
      <c r="C12" s="95" t="s">
        <v>15</v>
      </c>
      <c r="D12" s="96"/>
      <c r="E12" s="96"/>
      <c r="F12" s="96"/>
      <c r="G12" s="97"/>
      <c r="I12" s="58" t="s">
        <v>50</v>
      </c>
      <c r="J12" s="57"/>
      <c r="K12" s="57"/>
      <c r="L12" s="57"/>
      <c r="M12" s="57"/>
    </row>
    <row r="13" spans="1:13" ht="15" x14ac:dyDescent="0.2">
      <c r="B13" s="2" t="s">
        <v>16</v>
      </c>
      <c r="C13" s="8" t="s">
        <v>75</v>
      </c>
      <c r="D13" s="8"/>
      <c r="E13" s="8"/>
      <c r="F13" s="9"/>
      <c r="G13" s="35">
        <v>176386</v>
      </c>
      <c r="I13" s="57"/>
      <c r="J13" s="57"/>
      <c r="K13" s="57"/>
      <c r="L13" s="57"/>
      <c r="M13" s="57"/>
    </row>
    <row r="14" spans="1:13" x14ac:dyDescent="0.2">
      <c r="B14" s="4" t="s">
        <v>17</v>
      </c>
      <c r="C14" s="8" t="s">
        <v>80</v>
      </c>
      <c r="D14" s="8"/>
      <c r="E14" s="8"/>
      <c r="F14" s="9"/>
      <c r="G14" s="118">
        <f>'A - 05-31-22'!G33</f>
        <v>459556.97</v>
      </c>
      <c r="I14" s="59"/>
      <c r="J14" s="59"/>
      <c r="K14" s="60" t="s">
        <v>0</v>
      </c>
      <c r="L14" s="59"/>
      <c r="M14" s="59"/>
    </row>
    <row r="15" spans="1:13" x14ac:dyDescent="0.2">
      <c r="B15" s="4" t="s">
        <v>81</v>
      </c>
      <c r="C15" s="8" t="s">
        <v>86</v>
      </c>
      <c r="D15" s="8"/>
      <c r="E15" s="8"/>
      <c r="F15" s="9"/>
      <c r="G15" s="118">
        <f>'B - 11-30-22'!G35</f>
        <v>74984.409999999916</v>
      </c>
      <c r="I15" s="61"/>
      <c r="J15" s="62" t="s">
        <v>1</v>
      </c>
      <c r="K15" s="62" t="s">
        <v>2</v>
      </c>
      <c r="L15" s="61"/>
      <c r="M15" s="61"/>
    </row>
    <row r="16" spans="1:13" x14ac:dyDescent="0.2">
      <c r="B16" s="4" t="s">
        <v>87</v>
      </c>
      <c r="C16" s="8" t="s">
        <v>92</v>
      </c>
      <c r="D16" s="8"/>
      <c r="E16" s="8"/>
      <c r="F16" s="11"/>
      <c r="G16" s="51">
        <f>'C - 05-31-23'!G37</f>
        <v>30842.019999999902</v>
      </c>
      <c r="I16" s="61"/>
      <c r="J16" s="62" t="s">
        <v>3</v>
      </c>
      <c r="K16" s="62" t="s">
        <v>4</v>
      </c>
      <c r="L16" s="62" t="s">
        <v>5</v>
      </c>
      <c r="M16" s="62" t="s">
        <v>6</v>
      </c>
    </row>
    <row r="17" spans="2:13" x14ac:dyDescent="0.2">
      <c r="B17" s="4" t="s">
        <v>93</v>
      </c>
      <c r="C17" s="8" t="s">
        <v>99</v>
      </c>
      <c r="D17" s="8"/>
      <c r="E17" s="8"/>
      <c r="F17" s="11"/>
      <c r="G17" s="51">
        <f>'D - 11-30-23'!G39</f>
        <v>-211728.84999999998</v>
      </c>
      <c r="I17" s="63"/>
      <c r="J17" s="63" t="s">
        <v>7</v>
      </c>
      <c r="K17" s="63" t="s">
        <v>7</v>
      </c>
      <c r="L17" s="63" t="s">
        <v>8</v>
      </c>
      <c r="M17" s="63" t="s">
        <v>8</v>
      </c>
    </row>
    <row r="18" spans="2:13" x14ac:dyDescent="0.2">
      <c r="B18" s="5" t="s">
        <v>100</v>
      </c>
      <c r="C18" s="8" t="s">
        <v>18</v>
      </c>
      <c r="D18" s="8"/>
      <c r="E18" s="8"/>
      <c r="F18" s="11"/>
      <c r="G18" s="12">
        <f>G13+G14+G15+G16+G17</f>
        <v>530040.54999999981</v>
      </c>
      <c r="I18" s="64" t="s">
        <v>10</v>
      </c>
      <c r="J18" s="65" t="s">
        <v>51</v>
      </c>
      <c r="K18" s="65" t="s">
        <v>11</v>
      </c>
      <c r="L18" s="65" t="s">
        <v>12</v>
      </c>
      <c r="M18" s="65" t="s">
        <v>13</v>
      </c>
    </row>
    <row r="19" spans="2:13" x14ac:dyDescent="0.2">
      <c r="B19" s="4">
        <v>2</v>
      </c>
      <c r="C19" s="13">
        <v>45292</v>
      </c>
      <c r="D19" s="51">
        <f>545199-798-1028</f>
        <v>543373</v>
      </c>
      <c r="E19" s="52">
        <v>654854.05000000005</v>
      </c>
      <c r="F19" s="14">
        <f t="shared" ref="F19:F26" si="0">D19-E19</f>
        <v>-111481.05000000005</v>
      </c>
      <c r="G19" s="12">
        <f t="shared" ref="G19:G26" si="1">G18+F19</f>
        <v>418559.49999999977</v>
      </c>
      <c r="I19" s="115">
        <v>45292</v>
      </c>
      <c r="J19" s="67">
        <f>41066+102989+1028</f>
        <v>145083</v>
      </c>
      <c r="K19" s="68">
        <v>145083</v>
      </c>
      <c r="L19" s="69">
        <f t="shared" ref="L19:L26" si="2">J19-K19</f>
        <v>0</v>
      </c>
      <c r="M19" s="70">
        <f>L19</f>
        <v>0</v>
      </c>
    </row>
    <row r="20" spans="2:13" x14ac:dyDescent="0.2">
      <c r="B20" s="4">
        <v>3</v>
      </c>
      <c r="C20" s="15">
        <v>45323</v>
      </c>
      <c r="D20" s="53">
        <f>733452-740-950</f>
        <v>731762</v>
      </c>
      <c r="E20" s="126">
        <f>594908.41+962</f>
        <v>595870.41</v>
      </c>
      <c r="F20" s="16">
        <f t="shared" si="0"/>
        <v>135891.58999999997</v>
      </c>
      <c r="G20" s="17">
        <f t="shared" si="1"/>
        <v>554451.08999999973</v>
      </c>
      <c r="I20" s="116">
        <v>45323</v>
      </c>
      <c r="J20" s="67">
        <f>44133+117970+950</f>
        <v>163053</v>
      </c>
      <c r="K20" s="127">
        <f>164015-962</f>
        <v>163053</v>
      </c>
      <c r="L20" s="70">
        <f t="shared" si="2"/>
        <v>0</v>
      </c>
      <c r="M20" s="70">
        <f t="shared" ref="M20:M26" si="3">M19+L20</f>
        <v>0</v>
      </c>
    </row>
    <row r="21" spans="2:13" x14ac:dyDescent="0.2">
      <c r="B21" s="4">
        <v>4</v>
      </c>
      <c r="C21" s="15">
        <v>45352</v>
      </c>
      <c r="D21" s="53">
        <f>484423-688-877</f>
        <v>482858</v>
      </c>
      <c r="E21" s="54">
        <v>406909.3</v>
      </c>
      <c r="F21" s="16">
        <f t="shared" si="0"/>
        <v>75948.700000000012</v>
      </c>
      <c r="G21" s="17">
        <f t="shared" si="1"/>
        <v>630399.7899999998</v>
      </c>
      <c r="I21" s="116">
        <v>45352</v>
      </c>
      <c r="J21" s="67">
        <f>40762+114067+877</f>
        <v>155706</v>
      </c>
      <c r="K21" s="67">
        <v>155706</v>
      </c>
      <c r="L21" s="70">
        <f t="shared" si="2"/>
        <v>0</v>
      </c>
      <c r="M21" s="70">
        <f t="shared" si="3"/>
        <v>0</v>
      </c>
    </row>
    <row r="22" spans="2:13" x14ac:dyDescent="0.2">
      <c r="B22" s="4">
        <v>5</v>
      </c>
      <c r="C22" s="15">
        <v>45383</v>
      </c>
      <c r="D22" s="53">
        <f>274724-489-620</f>
        <v>273615</v>
      </c>
      <c r="E22" s="54">
        <v>233511.1</v>
      </c>
      <c r="F22" s="16">
        <f t="shared" si="0"/>
        <v>40103.899999999994</v>
      </c>
      <c r="G22" s="17">
        <f t="shared" si="1"/>
        <v>670503.68999999983</v>
      </c>
      <c r="I22" s="116">
        <v>45383</v>
      </c>
      <c r="J22" s="67">
        <f>27966+55544+620</f>
        <v>84130</v>
      </c>
      <c r="K22" s="67">
        <v>84130</v>
      </c>
      <c r="L22" s="70">
        <f t="shared" si="2"/>
        <v>0</v>
      </c>
      <c r="M22" s="70">
        <f t="shared" si="3"/>
        <v>0</v>
      </c>
    </row>
    <row r="23" spans="2:13" x14ac:dyDescent="0.2">
      <c r="B23" s="4">
        <v>6</v>
      </c>
      <c r="C23" s="15">
        <v>45413</v>
      </c>
      <c r="D23" s="53">
        <f>276616-668-845</f>
        <v>275103</v>
      </c>
      <c r="E23" s="54">
        <v>390965.14</v>
      </c>
      <c r="F23" s="16">
        <f t="shared" si="0"/>
        <v>-115862.14000000001</v>
      </c>
      <c r="G23" s="17">
        <f t="shared" si="1"/>
        <v>554641.54999999981</v>
      </c>
      <c r="I23" s="116">
        <v>45413</v>
      </c>
      <c r="J23" s="67">
        <f>32918+47433+845</f>
        <v>81196</v>
      </c>
      <c r="K23" s="72">
        <v>81196</v>
      </c>
      <c r="L23" s="70">
        <f t="shared" si="2"/>
        <v>0</v>
      </c>
      <c r="M23" s="70">
        <f t="shared" si="3"/>
        <v>0</v>
      </c>
    </row>
    <row r="24" spans="2:13" x14ac:dyDescent="0.2">
      <c r="B24" s="4">
        <v>7</v>
      </c>
      <c r="C24" s="15">
        <v>45444</v>
      </c>
      <c r="D24" s="53">
        <f>376324-809-1019</f>
        <v>374496</v>
      </c>
      <c r="E24" s="54">
        <v>495971.77</v>
      </c>
      <c r="F24" s="18">
        <f t="shared" si="0"/>
        <v>-121475.77000000002</v>
      </c>
      <c r="G24" s="19">
        <f t="shared" si="1"/>
        <v>433165.7799999998</v>
      </c>
      <c r="I24" s="117">
        <v>45444</v>
      </c>
      <c r="J24" s="72">
        <f>49650+67320+1019</f>
        <v>117989</v>
      </c>
      <c r="K24" s="74">
        <v>117989</v>
      </c>
      <c r="L24" s="75">
        <f t="shared" si="2"/>
        <v>0</v>
      </c>
      <c r="M24" s="75">
        <f t="shared" si="3"/>
        <v>0</v>
      </c>
    </row>
    <row r="25" spans="2:13" x14ac:dyDescent="0.2">
      <c r="B25" s="20" t="s">
        <v>19</v>
      </c>
      <c r="C25" s="13">
        <v>45474</v>
      </c>
      <c r="D25" s="51">
        <f>564685-982-1235</f>
        <v>562468</v>
      </c>
      <c r="E25" s="52">
        <v>741876.87</v>
      </c>
      <c r="F25" s="14">
        <f t="shared" si="0"/>
        <v>-179408.87</v>
      </c>
      <c r="G25" s="12">
        <f t="shared" si="1"/>
        <v>253756.9099999998</v>
      </c>
      <c r="I25" s="116">
        <v>45474</v>
      </c>
      <c r="J25" s="76">
        <f>59387+79716+1235</f>
        <v>140338</v>
      </c>
      <c r="K25" s="76">
        <v>140338</v>
      </c>
      <c r="L25" s="70">
        <f t="shared" si="2"/>
        <v>0</v>
      </c>
      <c r="M25" s="70">
        <f t="shared" si="3"/>
        <v>0</v>
      </c>
    </row>
    <row r="26" spans="2:13" x14ac:dyDescent="0.2">
      <c r="B26" s="21" t="s">
        <v>20</v>
      </c>
      <c r="C26" s="22">
        <v>45505</v>
      </c>
      <c r="D26" s="87">
        <f>549805-0-1129</f>
        <v>548676</v>
      </c>
      <c r="E26" s="88">
        <v>622925.47</v>
      </c>
      <c r="F26" s="18">
        <f t="shared" si="0"/>
        <v>-74249.469999999972</v>
      </c>
      <c r="G26" s="19">
        <f t="shared" si="1"/>
        <v>179507.43999999983</v>
      </c>
      <c r="I26" s="117">
        <v>45505</v>
      </c>
      <c r="J26" s="74">
        <f>51539+53857+1129</f>
        <v>106525</v>
      </c>
      <c r="K26" s="74">
        <v>106525</v>
      </c>
      <c r="L26" s="75">
        <f t="shared" si="2"/>
        <v>0</v>
      </c>
      <c r="M26" s="75">
        <f t="shared" si="3"/>
        <v>0</v>
      </c>
    </row>
    <row r="27" spans="2:13" x14ac:dyDescent="0.2">
      <c r="B27" s="5"/>
      <c r="C27" s="23" t="s">
        <v>101</v>
      </c>
      <c r="D27" s="24"/>
      <c r="E27" s="24"/>
      <c r="F27" s="24"/>
      <c r="G27" s="25"/>
      <c r="I27" s="77"/>
      <c r="J27" s="77"/>
      <c r="K27" s="77"/>
      <c r="L27" s="77"/>
      <c r="M27" s="77"/>
    </row>
    <row r="28" spans="2:13" x14ac:dyDescent="0.2">
      <c r="B28" s="2"/>
      <c r="C28" s="1"/>
      <c r="D28" s="1"/>
      <c r="E28" s="1"/>
      <c r="F28" s="1"/>
      <c r="G28" s="12"/>
      <c r="I28" s="78" t="s">
        <v>52</v>
      </c>
      <c r="J28" s="79"/>
      <c r="K28" s="79"/>
      <c r="L28" s="80"/>
      <c r="M28" s="81">
        <f>M24</f>
        <v>0</v>
      </c>
    </row>
    <row r="29" spans="2:13" x14ac:dyDescent="0.2">
      <c r="B29" s="4"/>
      <c r="C29" s="3"/>
      <c r="D29" s="4" t="s">
        <v>21</v>
      </c>
      <c r="E29" s="4" t="s">
        <v>22</v>
      </c>
      <c r="F29" s="3"/>
      <c r="G29" s="17"/>
      <c r="I29" s="77"/>
      <c r="J29" s="77"/>
      <c r="K29" s="77"/>
      <c r="L29" s="77"/>
      <c r="M29" s="82"/>
    </row>
    <row r="30" spans="2:13" x14ac:dyDescent="0.2">
      <c r="B30" s="4">
        <v>8</v>
      </c>
      <c r="C30" s="3"/>
      <c r="D30" s="4" t="s">
        <v>23</v>
      </c>
      <c r="E30" s="4" t="s">
        <v>24</v>
      </c>
      <c r="F30" s="3"/>
      <c r="G30" s="26" t="s">
        <v>21</v>
      </c>
      <c r="I30" s="78" t="s">
        <v>53</v>
      </c>
      <c r="J30" s="79"/>
      <c r="K30" s="79"/>
      <c r="L30" s="80"/>
      <c r="M30" s="81">
        <f>M28/6</f>
        <v>0</v>
      </c>
    </row>
    <row r="31" spans="2:13" x14ac:dyDescent="0.2">
      <c r="B31" s="4"/>
      <c r="C31" s="3"/>
      <c r="D31" s="4" t="s">
        <v>25</v>
      </c>
      <c r="E31" s="4" t="s">
        <v>26</v>
      </c>
      <c r="F31" s="3"/>
      <c r="G31" s="26" t="s">
        <v>27</v>
      </c>
    </row>
    <row r="32" spans="2:13" x14ac:dyDescent="0.2">
      <c r="B32" s="4"/>
      <c r="C32" s="3"/>
      <c r="D32" s="4" t="s">
        <v>28</v>
      </c>
      <c r="E32" s="4" t="s">
        <v>29</v>
      </c>
      <c r="F32" s="3"/>
      <c r="G32" s="26" t="s">
        <v>30</v>
      </c>
    </row>
    <row r="33" spans="2:7" x14ac:dyDescent="0.2">
      <c r="B33" s="5"/>
      <c r="C33" s="3"/>
      <c r="D33" s="4" t="s">
        <v>31</v>
      </c>
      <c r="E33" s="4" t="s">
        <v>32</v>
      </c>
      <c r="F33" s="3"/>
      <c r="G33" s="26" t="s">
        <v>33</v>
      </c>
    </row>
    <row r="34" spans="2:7" x14ac:dyDescent="0.2">
      <c r="B34" s="20" t="s">
        <v>34</v>
      </c>
      <c r="C34" s="1" t="s">
        <v>95</v>
      </c>
      <c r="D34" s="12">
        <f>-G13</f>
        <v>-176386</v>
      </c>
      <c r="E34" s="12">
        <f>D68</f>
        <v>117592</v>
      </c>
      <c r="F34" s="1"/>
      <c r="G34" s="12">
        <f t="shared" ref="G34:G38" si="4">D34+E34</f>
        <v>-58794</v>
      </c>
    </row>
    <row r="35" spans="2:7" x14ac:dyDescent="0.2">
      <c r="B35" s="27" t="s">
        <v>35</v>
      </c>
      <c r="C35" s="3" t="s">
        <v>83</v>
      </c>
      <c r="D35" s="17">
        <f>-G14</f>
        <v>-459556.97</v>
      </c>
      <c r="E35" s="17">
        <v>0</v>
      </c>
      <c r="F35" s="3"/>
      <c r="G35" s="17">
        <f t="shared" si="4"/>
        <v>-459556.97</v>
      </c>
    </row>
    <row r="36" spans="2:7" x14ac:dyDescent="0.2">
      <c r="B36" s="27" t="s">
        <v>84</v>
      </c>
      <c r="C36" s="3" t="s">
        <v>89</v>
      </c>
      <c r="D36" s="17">
        <f>-G15</f>
        <v>-74984.409999999916</v>
      </c>
      <c r="E36" s="17">
        <v>0</v>
      </c>
      <c r="F36" s="3"/>
      <c r="G36" s="17">
        <f t="shared" si="4"/>
        <v>-74984.409999999916</v>
      </c>
    </row>
    <row r="37" spans="2:7" x14ac:dyDescent="0.2">
      <c r="B37" s="27" t="s">
        <v>90</v>
      </c>
      <c r="C37" s="3" t="s">
        <v>96</v>
      </c>
      <c r="D37" s="17">
        <f>-G16</f>
        <v>-30842.019999999902</v>
      </c>
      <c r="E37" s="17">
        <v>0</v>
      </c>
      <c r="F37" s="3"/>
      <c r="G37" s="17">
        <f t="shared" si="4"/>
        <v>-30842.019999999902</v>
      </c>
    </row>
    <row r="38" spans="2:7" x14ac:dyDescent="0.2">
      <c r="B38" s="27" t="s">
        <v>97</v>
      </c>
      <c r="C38" s="28" t="s">
        <v>102</v>
      </c>
      <c r="D38" s="19">
        <f>-G17</f>
        <v>211728.84999999998</v>
      </c>
      <c r="E38" s="19">
        <v>0</v>
      </c>
      <c r="F38" s="28"/>
      <c r="G38" s="19">
        <f t="shared" si="4"/>
        <v>211728.84999999998</v>
      </c>
    </row>
    <row r="39" spans="2:7" x14ac:dyDescent="0.2">
      <c r="B39" s="5" t="s">
        <v>103</v>
      </c>
      <c r="C39" s="29"/>
      <c r="D39" s="30"/>
      <c r="E39" s="30"/>
      <c r="F39" s="31" t="s">
        <v>36</v>
      </c>
      <c r="G39" s="19">
        <f>G34+G35+G36+G37+G38</f>
        <v>-412448.54999999981</v>
      </c>
    </row>
    <row r="40" spans="2:7" x14ac:dyDescent="0.2">
      <c r="B40" s="32"/>
      <c r="G40" s="33"/>
    </row>
    <row r="41" spans="2:7" x14ac:dyDescent="0.2">
      <c r="B41" s="6">
        <v>9</v>
      </c>
      <c r="C41" s="34" t="s">
        <v>104</v>
      </c>
      <c r="D41" s="8"/>
      <c r="E41" s="8"/>
      <c r="F41" s="9"/>
      <c r="G41" s="35">
        <f>G24+G39</f>
        <v>20717.229999999981</v>
      </c>
    </row>
    <row r="42" spans="2:7" x14ac:dyDescent="0.2">
      <c r="B42" s="32"/>
      <c r="G42" s="33"/>
    </row>
    <row r="43" spans="2:7" x14ac:dyDescent="0.2">
      <c r="B43" s="6">
        <v>10</v>
      </c>
      <c r="C43" s="34" t="s">
        <v>78</v>
      </c>
      <c r="D43" s="8"/>
      <c r="E43" s="8"/>
      <c r="F43" s="9"/>
      <c r="G43" s="35">
        <f>G41/6</f>
        <v>3452.8716666666637</v>
      </c>
    </row>
    <row r="45" spans="2:7" x14ac:dyDescent="0.2">
      <c r="B45" s="1"/>
      <c r="C45" s="36" t="s">
        <v>37</v>
      </c>
      <c r="D45" s="37"/>
      <c r="E45" s="37"/>
      <c r="F45" s="37"/>
      <c r="G45" s="38"/>
    </row>
    <row r="46" spans="2:7" x14ac:dyDescent="0.2">
      <c r="B46" s="1"/>
      <c r="C46" s="39"/>
      <c r="D46" s="39"/>
      <c r="E46" s="39"/>
      <c r="F46" s="39"/>
      <c r="G46" s="11"/>
    </row>
    <row r="47" spans="2:7" x14ac:dyDescent="0.2">
      <c r="B47" s="4">
        <v>11</v>
      </c>
      <c r="C47" t="s">
        <v>38</v>
      </c>
      <c r="G47" s="41">
        <f>G18</f>
        <v>530040.54999999981</v>
      </c>
    </row>
    <row r="48" spans="2:7" x14ac:dyDescent="0.2">
      <c r="B48" s="4">
        <v>12</v>
      </c>
      <c r="C48" t="s">
        <v>39</v>
      </c>
      <c r="G48" s="42">
        <f>G39</f>
        <v>-412448.54999999981</v>
      </c>
    </row>
    <row r="49" spans="2:7" x14ac:dyDescent="0.2">
      <c r="B49" s="4"/>
      <c r="G49" s="41"/>
    </row>
    <row r="50" spans="2:7" ht="15" thickBot="1" x14ac:dyDescent="0.25">
      <c r="B50" s="4">
        <v>13</v>
      </c>
      <c r="C50" t="s">
        <v>40</v>
      </c>
      <c r="G50" s="43">
        <f>G47+G48</f>
        <v>117592</v>
      </c>
    </row>
    <row r="51" spans="2:7" ht="15" thickTop="1" x14ac:dyDescent="0.2">
      <c r="B51" s="4"/>
      <c r="G51" s="41"/>
    </row>
    <row r="52" spans="2:7" x14ac:dyDescent="0.2">
      <c r="B52" s="4">
        <v>14</v>
      </c>
      <c r="C52" t="s">
        <v>41</v>
      </c>
      <c r="G52" s="41">
        <f>G41</f>
        <v>20717.229999999981</v>
      </c>
    </row>
    <row r="53" spans="2:7" x14ac:dyDescent="0.2">
      <c r="B53" s="4"/>
      <c r="G53" s="41"/>
    </row>
    <row r="54" spans="2:7" x14ac:dyDescent="0.2">
      <c r="B54" s="4">
        <v>15</v>
      </c>
      <c r="C54" t="s">
        <v>42</v>
      </c>
      <c r="G54" s="42">
        <f>SUM(F19:F24)</f>
        <v>-96874.770000000106</v>
      </c>
    </row>
    <row r="55" spans="2:7" x14ac:dyDescent="0.2">
      <c r="B55" s="4"/>
      <c r="G55" s="41"/>
    </row>
    <row r="56" spans="2:7" ht="15" thickBot="1" x14ac:dyDescent="0.25">
      <c r="B56" s="4">
        <v>16</v>
      </c>
      <c r="C56" t="s">
        <v>43</v>
      </c>
      <c r="G56" s="43">
        <f>G52-G54</f>
        <v>117592.00000000009</v>
      </c>
    </row>
    <row r="57" spans="2:7" ht="15" thickTop="1" x14ac:dyDescent="0.2">
      <c r="B57" s="28"/>
      <c r="C57" s="44"/>
      <c r="D57" s="44"/>
      <c r="E57" s="44"/>
      <c r="F57" s="44"/>
      <c r="G57" s="45"/>
    </row>
    <row r="59" spans="2:7" x14ac:dyDescent="0.2">
      <c r="B59" t="s">
        <v>44</v>
      </c>
    </row>
    <row r="60" spans="2:7" x14ac:dyDescent="0.2">
      <c r="B60" s="32"/>
      <c r="C60" s="1"/>
      <c r="D60" s="2" t="s">
        <v>45</v>
      </c>
      <c r="E60" s="27"/>
      <c r="F60" s="32"/>
      <c r="G60" s="32"/>
    </row>
    <row r="61" spans="2:7" x14ac:dyDescent="0.2">
      <c r="B61" s="32"/>
      <c r="C61" s="5" t="s">
        <v>10</v>
      </c>
      <c r="D61" s="5" t="s">
        <v>79</v>
      </c>
      <c r="E61" s="27"/>
      <c r="F61" s="32"/>
      <c r="G61" s="32"/>
    </row>
    <row r="62" spans="2:7" x14ac:dyDescent="0.2">
      <c r="C62" s="13">
        <v>45292</v>
      </c>
      <c r="D62" s="12">
        <v>0</v>
      </c>
      <c r="E62" s="16"/>
      <c r="F62" s="33"/>
      <c r="G62" s="33"/>
    </row>
    <row r="63" spans="2:7" x14ac:dyDescent="0.2">
      <c r="C63" s="15">
        <v>45323</v>
      </c>
      <c r="D63" s="17">
        <v>0</v>
      </c>
      <c r="E63" s="16"/>
      <c r="F63" s="33"/>
      <c r="G63" s="33"/>
    </row>
    <row r="64" spans="2:7" x14ac:dyDescent="0.2">
      <c r="C64" s="15">
        <v>45352</v>
      </c>
      <c r="D64" s="17">
        <v>29398</v>
      </c>
      <c r="E64" s="16"/>
      <c r="F64" s="33"/>
      <c r="G64" s="33"/>
    </row>
    <row r="65" spans="3:7" x14ac:dyDescent="0.2">
      <c r="C65" s="15">
        <v>45383</v>
      </c>
      <c r="D65" s="17">
        <v>29398</v>
      </c>
      <c r="E65" s="16"/>
      <c r="F65" s="33"/>
      <c r="G65" s="33"/>
    </row>
    <row r="66" spans="3:7" x14ac:dyDescent="0.2">
      <c r="C66" s="15">
        <v>45413</v>
      </c>
      <c r="D66" s="17">
        <v>29398</v>
      </c>
      <c r="E66" s="16"/>
      <c r="F66" s="33"/>
      <c r="G66" s="33"/>
    </row>
    <row r="67" spans="3:7" x14ac:dyDescent="0.2">
      <c r="C67" s="15">
        <v>45444</v>
      </c>
      <c r="D67" s="19">
        <v>29398</v>
      </c>
      <c r="E67" s="16"/>
      <c r="F67" s="33"/>
      <c r="G67" s="33"/>
    </row>
    <row r="68" spans="3:7" x14ac:dyDescent="0.2">
      <c r="C68" s="49" t="s">
        <v>46</v>
      </c>
      <c r="D68" s="35">
        <f>SUM(D62:D67)</f>
        <v>117592</v>
      </c>
      <c r="E68" s="16"/>
      <c r="F68" s="33"/>
      <c r="G68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F0EC5-7765-40E8-A559-6CBF096B7D3F}">
  <sheetPr codeName="Sheet8"/>
  <dimension ref="A1:M7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Inter-County Surcharge Summary.xlsx</v>
      </c>
    </row>
    <row r="4" spans="1:13" ht="14.25" customHeight="1" x14ac:dyDescent="0.2">
      <c r="B4" s="109" t="s">
        <v>48</v>
      </c>
      <c r="C4" s="110"/>
      <c r="D4" s="110"/>
      <c r="E4" s="110"/>
      <c r="F4" s="110"/>
      <c r="G4" s="111"/>
      <c r="I4" s="98" t="s">
        <v>49</v>
      </c>
      <c r="J4" s="99"/>
      <c r="K4" s="99"/>
      <c r="L4" s="99"/>
      <c r="M4" s="100"/>
    </row>
    <row r="5" spans="1:13" ht="14.25" customHeight="1" x14ac:dyDescent="0.2">
      <c r="B5" s="112"/>
      <c r="C5" s="113"/>
      <c r="D5" s="113"/>
      <c r="E5" s="113"/>
      <c r="F5" s="113"/>
      <c r="G5" s="114"/>
      <c r="I5" s="101"/>
      <c r="J5" s="102"/>
      <c r="K5" s="102"/>
      <c r="L5" s="102"/>
      <c r="M5" s="103"/>
    </row>
    <row r="6" spans="1:13" ht="15" x14ac:dyDescent="0.2">
      <c r="I6" s="57"/>
      <c r="J6" s="57"/>
      <c r="K6" s="57"/>
      <c r="L6" s="57"/>
      <c r="M6" s="57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x14ac:dyDescent="0.2">
      <c r="B12" s="2">
        <v>1</v>
      </c>
      <c r="C12" s="95" t="s">
        <v>15</v>
      </c>
      <c r="D12" s="96"/>
      <c r="E12" s="96"/>
      <c r="F12" s="96"/>
      <c r="G12" s="97"/>
    </row>
    <row r="13" spans="1:13" ht="15.75" x14ac:dyDescent="0.25">
      <c r="B13" s="2" t="s">
        <v>16</v>
      </c>
      <c r="C13" s="8" t="s">
        <v>75</v>
      </c>
      <c r="D13" s="8"/>
      <c r="E13" s="8"/>
      <c r="F13" s="9"/>
      <c r="G13" s="35">
        <v>58794</v>
      </c>
      <c r="I13" s="58" t="s">
        <v>50</v>
      </c>
      <c r="J13" s="57"/>
      <c r="K13" s="57"/>
      <c r="L13" s="57"/>
      <c r="M13" s="57"/>
    </row>
    <row r="14" spans="1:13" ht="15" x14ac:dyDescent="0.2">
      <c r="B14" s="4" t="s">
        <v>17</v>
      </c>
      <c r="C14" s="8" t="s">
        <v>80</v>
      </c>
      <c r="D14" s="8"/>
      <c r="E14" s="8"/>
      <c r="F14" s="9"/>
      <c r="G14" s="118">
        <f>'A - 05-31-22'!G33</f>
        <v>459556.97</v>
      </c>
      <c r="I14" s="57"/>
      <c r="J14" s="57"/>
      <c r="K14" s="57"/>
      <c r="L14" s="57"/>
      <c r="M14" s="57"/>
    </row>
    <row r="15" spans="1:13" x14ac:dyDescent="0.2">
      <c r="B15" s="4" t="s">
        <v>81</v>
      </c>
      <c r="C15" s="8" t="s">
        <v>86</v>
      </c>
      <c r="D15" s="8"/>
      <c r="E15" s="8"/>
      <c r="F15" s="9"/>
      <c r="G15" s="118">
        <f>'B - 11-30-22'!G35</f>
        <v>74984.409999999916</v>
      </c>
      <c r="I15" s="59"/>
      <c r="J15" s="59"/>
      <c r="K15" s="60" t="s">
        <v>0</v>
      </c>
      <c r="L15" s="59"/>
      <c r="M15" s="59"/>
    </row>
    <row r="16" spans="1:13" x14ac:dyDescent="0.2">
      <c r="B16" s="4" t="s">
        <v>87</v>
      </c>
      <c r="C16" s="8" t="s">
        <v>92</v>
      </c>
      <c r="D16" s="8"/>
      <c r="E16" s="8"/>
      <c r="F16" s="11"/>
      <c r="G16" s="51">
        <f>'C - 05-31-23'!G37</f>
        <v>30842.019999999902</v>
      </c>
      <c r="I16" s="61"/>
      <c r="J16" s="62" t="s">
        <v>1</v>
      </c>
      <c r="K16" s="62" t="s">
        <v>2</v>
      </c>
      <c r="L16" s="61"/>
      <c r="M16" s="61"/>
    </row>
    <row r="17" spans="2:13" x14ac:dyDescent="0.2">
      <c r="B17" s="4" t="s">
        <v>93</v>
      </c>
      <c r="C17" s="8" t="s">
        <v>99</v>
      </c>
      <c r="D17" s="8"/>
      <c r="E17" s="8"/>
      <c r="F17" s="11"/>
      <c r="G17" s="51">
        <f>'D - 11-30-23'!G39</f>
        <v>-211728.84999999998</v>
      </c>
      <c r="I17" s="61"/>
      <c r="J17" s="62" t="s">
        <v>3</v>
      </c>
      <c r="K17" s="62" t="s">
        <v>4</v>
      </c>
      <c r="L17" s="62" t="s">
        <v>5</v>
      </c>
      <c r="M17" s="62" t="s">
        <v>6</v>
      </c>
    </row>
    <row r="18" spans="2:13" x14ac:dyDescent="0.2">
      <c r="B18" s="4" t="s">
        <v>100</v>
      </c>
      <c r="C18" s="8" t="s">
        <v>105</v>
      </c>
      <c r="D18" s="8"/>
      <c r="E18" s="8"/>
      <c r="F18" s="11"/>
      <c r="G18" s="51">
        <f>'E - 05-31-24'!G41</f>
        <v>20717.229999999981</v>
      </c>
      <c r="I18" s="63"/>
      <c r="J18" s="63" t="s">
        <v>7</v>
      </c>
      <c r="K18" s="63" t="s">
        <v>7</v>
      </c>
      <c r="L18" s="63" t="s">
        <v>8</v>
      </c>
      <c r="M18" s="63" t="s">
        <v>8</v>
      </c>
    </row>
    <row r="19" spans="2:13" x14ac:dyDescent="0.2">
      <c r="B19" s="5" t="s">
        <v>106</v>
      </c>
      <c r="C19" s="8" t="s">
        <v>18</v>
      </c>
      <c r="D19" s="8"/>
      <c r="E19" s="8"/>
      <c r="F19" s="11"/>
      <c r="G19" s="12">
        <f>G13+G14+G15+G16+G17+G18</f>
        <v>433165.7799999998</v>
      </c>
      <c r="I19" s="64" t="s">
        <v>10</v>
      </c>
      <c r="J19" s="65" t="s">
        <v>51</v>
      </c>
      <c r="K19" s="65" t="s">
        <v>11</v>
      </c>
      <c r="L19" s="65" t="s">
        <v>12</v>
      </c>
      <c r="M19" s="65" t="s">
        <v>13</v>
      </c>
    </row>
    <row r="20" spans="2:13" x14ac:dyDescent="0.2">
      <c r="B20" s="4">
        <v>2</v>
      </c>
      <c r="C20" s="13">
        <v>45474</v>
      </c>
      <c r="D20" s="51">
        <f>564685-982-1235</f>
        <v>562468</v>
      </c>
      <c r="E20" s="52">
        <v>741876.87</v>
      </c>
      <c r="F20" s="14">
        <f t="shared" ref="F20:F27" si="0">D20-E20</f>
        <v>-179408.87</v>
      </c>
      <c r="G20" s="12">
        <f t="shared" ref="G20:G27" si="1">G19+F20</f>
        <v>253756.9099999998</v>
      </c>
      <c r="I20" s="115">
        <v>45474</v>
      </c>
      <c r="J20" s="67">
        <f>59387+79716+1235</f>
        <v>140338</v>
      </c>
      <c r="K20" s="68">
        <v>140338</v>
      </c>
      <c r="L20" s="69">
        <f t="shared" ref="L20:L27" si="2">J20-K20</f>
        <v>0</v>
      </c>
      <c r="M20" s="70">
        <f>L20</f>
        <v>0</v>
      </c>
    </row>
    <row r="21" spans="2:13" x14ac:dyDescent="0.2">
      <c r="B21" s="4">
        <v>3</v>
      </c>
      <c r="C21" s="15">
        <v>45505</v>
      </c>
      <c r="D21" s="53">
        <f>549805-0-1129</f>
        <v>548676</v>
      </c>
      <c r="E21" s="54">
        <v>622925.47</v>
      </c>
      <c r="F21" s="16">
        <f t="shared" si="0"/>
        <v>-74249.469999999972</v>
      </c>
      <c r="G21" s="17">
        <f t="shared" si="1"/>
        <v>179507.43999999983</v>
      </c>
      <c r="I21" s="116">
        <v>45505</v>
      </c>
      <c r="J21" s="67">
        <f>51539+53857+1129</f>
        <v>106525</v>
      </c>
      <c r="K21" s="68">
        <v>106525</v>
      </c>
      <c r="L21" s="70">
        <f t="shared" si="2"/>
        <v>0</v>
      </c>
      <c r="M21" s="70">
        <f t="shared" ref="M21:M27" si="3">M20+L21</f>
        <v>0</v>
      </c>
    </row>
    <row r="22" spans="2:13" x14ac:dyDescent="0.2">
      <c r="B22" s="4">
        <v>4</v>
      </c>
      <c r="C22" s="15">
        <v>45536</v>
      </c>
      <c r="D22" s="53">
        <f>471858-0-1002</f>
        <v>470856</v>
      </c>
      <c r="E22" s="54">
        <v>521041.68</v>
      </c>
      <c r="F22" s="16">
        <f t="shared" si="0"/>
        <v>-50185.679999999993</v>
      </c>
      <c r="G22" s="17">
        <f t="shared" si="1"/>
        <v>129321.75999999983</v>
      </c>
      <c r="I22" s="116">
        <v>45536</v>
      </c>
      <c r="J22" s="67">
        <f>44416+97326+1002</f>
        <v>142744</v>
      </c>
      <c r="K22" s="67">
        <v>142744</v>
      </c>
      <c r="L22" s="70">
        <f t="shared" si="2"/>
        <v>0</v>
      </c>
      <c r="M22" s="70">
        <f t="shared" si="3"/>
        <v>0</v>
      </c>
    </row>
    <row r="23" spans="2:13" x14ac:dyDescent="0.2">
      <c r="B23" s="4">
        <v>5</v>
      </c>
      <c r="C23" s="15">
        <v>45566</v>
      </c>
      <c r="D23" s="53">
        <f>442929-0-1029</f>
        <v>441900</v>
      </c>
      <c r="E23" s="54">
        <f>444124+229</f>
        <v>444353</v>
      </c>
      <c r="F23" s="16">
        <f t="shared" si="0"/>
        <v>-2453</v>
      </c>
      <c r="G23" s="17">
        <f t="shared" si="1"/>
        <v>126868.75999999983</v>
      </c>
      <c r="I23" s="116">
        <v>45566</v>
      </c>
      <c r="J23" s="67">
        <f>1029+51750+104538</f>
        <v>157317</v>
      </c>
      <c r="K23" s="67">
        <f>157546-229</f>
        <v>157317</v>
      </c>
      <c r="L23" s="70">
        <f t="shared" si="2"/>
        <v>0</v>
      </c>
      <c r="M23" s="70">
        <f t="shared" si="3"/>
        <v>0</v>
      </c>
    </row>
    <row r="24" spans="2:13" x14ac:dyDescent="0.2">
      <c r="B24" s="4">
        <v>6</v>
      </c>
      <c r="C24" s="15">
        <v>45597</v>
      </c>
      <c r="D24" s="53">
        <f>345102-823-1030</f>
        <v>343249</v>
      </c>
      <c r="E24" s="54">
        <v>403522</v>
      </c>
      <c r="F24" s="16">
        <f t="shared" si="0"/>
        <v>-60273</v>
      </c>
      <c r="G24" s="17">
        <f t="shared" si="1"/>
        <v>66595.759999999835</v>
      </c>
      <c r="I24" s="116">
        <v>45597</v>
      </c>
      <c r="J24" s="67">
        <f>1030+42997+89364</f>
        <v>133391</v>
      </c>
      <c r="K24" s="72">
        <v>133391</v>
      </c>
      <c r="L24" s="70">
        <f t="shared" si="2"/>
        <v>0</v>
      </c>
      <c r="M24" s="70">
        <f t="shared" si="3"/>
        <v>0</v>
      </c>
    </row>
    <row r="25" spans="2:13" x14ac:dyDescent="0.2">
      <c r="B25" s="4">
        <v>7</v>
      </c>
      <c r="C25" s="15">
        <v>45627</v>
      </c>
      <c r="D25" s="53">
        <f>451854-878-1094</f>
        <v>449882</v>
      </c>
      <c r="E25" s="54">
        <v>593578</v>
      </c>
      <c r="F25" s="18">
        <f t="shared" si="0"/>
        <v>-143696</v>
      </c>
      <c r="G25" s="19">
        <f t="shared" si="1"/>
        <v>-77100.240000000165</v>
      </c>
      <c r="I25" s="117">
        <v>45627</v>
      </c>
      <c r="J25" s="72">
        <f>1094+45130+108102</f>
        <v>154326</v>
      </c>
      <c r="K25" s="74">
        <v>154326</v>
      </c>
      <c r="L25" s="75">
        <f t="shared" si="2"/>
        <v>0</v>
      </c>
      <c r="M25" s="75">
        <f t="shared" si="3"/>
        <v>0</v>
      </c>
    </row>
    <row r="26" spans="2:13" x14ac:dyDescent="0.2">
      <c r="B26" s="20" t="s">
        <v>19</v>
      </c>
      <c r="C26" s="13">
        <v>45658</v>
      </c>
      <c r="D26" s="51">
        <f>750542-1040</f>
        <v>749502</v>
      </c>
      <c r="E26" s="52">
        <f>847581+1297</f>
        <v>848878</v>
      </c>
      <c r="F26" s="14">
        <f t="shared" si="0"/>
        <v>-99376</v>
      </c>
      <c r="G26" s="12">
        <f t="shared" si="1"/>
        <v>-176476.24000000017</v>
      </c>
      <c r="I26" s="116">
        <v>45658</v>
      </c>
      <c r="J26" s="76">
        <f>53029+85187</f>
        <v>138216</v>
      </c>
      <c r="K26" s="76">
        <f>139513-1297</f>
        <v>138216</v>
      </c>
      <c r="L26" s="70">
        <f t="shared" si="2"/>
        <v>0</v>
      </c>
      <c r="M26" s="70">
        <f t="shared" si="3"/>
        <v>0</v>
      </c>
    </row>
    <row r="27" spans="2:13" x14ac:dyDescent="0.2">
      <c r="B27" s="21" t="s">
        <v>20</v>
      </c>
      <c r="C27" s="22">
        <v>45689</v>
      </c>
      <c r="D27" s="87">
        <f>1003461-950</f>
        <v>1002511</v>
      </c>
      <c r="E27" s="18">
        <v>0</v>
      </c>
      <c r="F27" s="18">
        <f t="shared" si="0"/>
        <v>1002511</v>
      </c>
      <c r="G27" s="19">
        <f t="shared" si="1"/>
        <v>826034.75999999978</v>
      </c>
      <c r="I27" s="117">
        <v>45689</v>
      </c>
      <c r="J27" s="74">
        <f>56365+100093</f>
        <v>156458</v>
      </c>
      <c r="K27" s="74">
        <f>157642-1184</f>
        <v>156458</v>
      </c>
      <c r="L27" s="75">
        <f t="shared" si="2"/>
        <v>0</v>
      </c>
      <c r="M27" s="75">
        <f t="shared" si="3"/>
        <v>0</v>
      </c>
    </row>
    <row r="28" spans="2:13" x14ac:dyDescent="0.2">
      <c r="B28" s="5"/>
      <c r="C28" s="23" t="s">
        <v>107</v>
      </c>
      <c r="D28" s="24"/>
      <c r="E28" s="24"/>
      <c r="F28" s="24"/>
      <c r="G28" s="25"/>
      <c r="I28" s="77"/>
      <c r="J28" s="77"/>
      <c r="K28" s="77"/>
      <c r="L28" s="77"/>
      <c r="M28" s="77"/>
    </row>
    <row r="29" spans="2:13" x14ac:dyDescent="0.2">
      <c r="B29" s="2"/>
      <c r="C29" s="1"/>
      <c r="D29" s="1"/>
      <c r="E29" s="1"/>
      <c r="F29" s="1"/>
      <c r="G29" s="12"/>
      <c r="I29" s="78" t="s">
        <v>52</v>
      </c>
      <c r="J29" s="79"/>
      <c r="K29" s="79"/>
      <c r="L29" s="80"/>
      <c r="M29" s="81">
        <f>M25</f>
        <v>0</v>
      </c>
    </row>
    <row r="30" spans="2:13" x14ac:dyDescent="0.2">
      <c r="B30" s="4"/>
      <c r="C30" s="3"/>
      <c r="D30" s="4" t="s">
        <v>21</v>
      </c>
      <c r="E30" s="4" t="s">
        <v>22</v>
      </c>
      <c r="F30" s="3"/>
      <c r="G30" s="17"/>
      <c r="I30" s="77"/>
      <c r="J30" s="77"/>
      <c r="K30" s="77"/>
      <c r="L30" s="77"/>
      <c r="M30" s="82"/>
    </row>
    <row r="31" spans="2:13" x14ac:dyDescent="0.2">
      <c r="B31" s="4">
        <v>8</v>
      </c>
      <c r="C31" s="3"/>
      <c r="D31" s="4" t="s">
        <v>23</v>
      </c>
      <c r="E31" s="4" t="s">
        <v>24</v>
      </c>
      <c r="F31" s="3"/>
      <c r="G31" s="26" t="s">
        <v>21</v>
      </c>
      <c r="I31" s="78" t="s">
        <v>53</v>
      </c>
      <c r="J31" s="79"/>
      <c r="K31" s="79"/>
      <c r="L31" s="80"/>
      <c r="M31" s="81">
        <f>M29/6</f>
        <v>0</v>
      </c>
    </row>
    <row r="32" spans="2:13" x14ac:dyDescent="0.2">
      <c r="B32" s="4"/>
      <c r="C32" s="3"/>
      <c r="D32" s="4" t="s">
        <v>25</v>
      </c>
      <c r="E32" s="4" t="s">
        <v>26</v>
      </c>
      <c r="F32" s="3"/>
      <c r="G32" s="26" t="s">
        <v>27</v>
      </c>
    </row>
    <row r="33" spans="2:7" x14ac:dyDescent="0.2">
      <c r="B33" s="4"/>
      <c r="C33" s="3"/>
      <c r="D33" s="4" t="s">
        <v>28</v>
      </c>
      <c r="E33" s="4" t="s">
        <v>29</v>
      </c>
      <c r="F33" s="3"/>
      <c r="G33" s="26" t="s">
        <v>30</v>
      </c>
    </row>
    <row r="34" spans="2:7" x14ac:dyDescent="0.2">
      <c r="B34" s="5"/>
      <c r="C34" s="3"/>
      <c r="D34" s="4" t="s">
        <v>31</v>
      </c>
      <c r="E34" s="4" t="s">
        <v>32</v>
      </c>
      <c r="F34" s="3"/>
      <c r="G34" s="26" t="s">
        <v>33</v>
      </c>
    </row>
    <row r="35" spans="2:7" x14ac:dyDescent="0.2">
      <c r="B35" s="20" t="s">
        <v>34</v>
      </c>
      <c r="C35" s="1" t="s">
        <v>95</v>
      </c>
      <c r="D35" s="12">
        <f t="shared" ref="D35:D40" si="4">-G13</f>
        <v>-58794</v>
      </c>
      <c r="E35" s="12">
        <f>D70</f>
        <v>58794</v>
      </c>
      <c r="F35" s="1"/>
      <c r="G35" s="12">
        <f t="shared" ref="G35:G40" si="5">D35+E35</f>
        <v>0</v>
      </c>
    </row>
    <row r="36" spans="2:7" x14ac:dyDescent="0.2">
      <c r="B36" s="27" t="s">
        <v>35</v>
      </c>
      <c r="C36" s="3" t="s">
        <v>83</v>
      </c>
      <c r="D36" s="17">
        <f t="shared" si="4"/>
        <v>-459556.97</v>
      </c>
      <c r="E36" s="17">
        <v>0</v>
      </c>
      <c r="F36" s="3"/>
      <c r="G36" s="17">
        <f t="shared" si="5"/>
        <v>-459556.97</v>
      </c>
    </row>
    <row r="37" spans="2:7" x14ac:dyDescent="0.2">
      <c r="B37" s="27" t="s">
        <v>84</v>
      </c>
      <c r="C37" s="3" t="s">
        <v>89</v>
      </c>
      <c r="D37" s="17">
        <f t="shared" si="4"/>
        <v>-74984.409999999916</v>
      </c>
      <c r="E37" s="17">
        <v>0</v>
      </c>
      <c r="F37" s="3"/>
      <c r="G37" s="17">
        <f t="shared" si="5"/>
        <v>-74984.409999999916</v>
      </c>
    </row>
    <row r="38" spans="2:7" x14ac:dyDescent="0.2">
      <c r="B38" s="27" t="s">
        <v>90</v>
      </c>
      <c r="C38" s="3" t="s">
        <v>96</v>
      </c>
      <c r="D38" s="17">
        <f t="shared" si="4"/>
        <v>-30842.019999999902</v>
      </c>
      <c r="E38" s="17">
        <v>0</v>
      </c>
      <c r="F38" s="3"/>
      <c r="G38" s="17">
        <f t="shared" si="5"/>
        <v>-30842.019999999902</v>
      </c>
    </row>
    <row r="39" spans="2:7" x14ac:dyDescent="0.2">
      <c r="B39" s="27" t="s">
        <v>97</v>
      </c>
      <c r="C39" s="3" t="s">
        <v>102</v>
      </c>
      <c r="D39" s="17">
        <f t="shared" si="4"/>
        <v>211728.84999999998</v>
      </c>
      <c r="E39" s="17">
        <v>0</v>
      </c>
      <c r="F39" s="3"/>
      <c r="G39" s="17">
        <f t="shared" si="5"/>
        <v>211728.84999999998</v>
      </c>
    </row>
    <row r="40" spans="2:7" x14ac:dyDescent="0.2">
      <c r="B40" s="27" t="s">
        <v>103</v>
      </c>
      <c r="C40" s="28" t="s">
        <v>108</v>
      </c>
      <c r="D40" s="19">
        <f t="shared" si="4"/>
        <v>-20717.229999999981</v>
      </c>
      <c r="E40" s="19">
        <v>0</v>
      </c>
      <c r="F40" s="28"/>
      <c r="G40" s="19">
        <f t="shared" si="5"/>
        <v>-20717.229999999981</v>
      </c>
    </row>
    <row r="41" spans="2:7" x14ac:dyDescent="0.2">
      <c r="B41" s="5" t="s">
        <v>109</v>
      </c>
      <c r="C41" s="29"/>
      <c r="D41" s="30"/>
      <c r="E41" s="30"/>
      <c r="F41" s="31" t="s">
        <v>36</v>
      </c>
      <c r="G41" s="19">
        <f>G35+G36+G37+G38+G39+G40</f>
        <v>-374371.7799999998</v>
      </c>
    </row>
    <row r="42" spans="2:7" x14ac:dyDescent="0.2">
      <c r="B42" s="32"/>
      <c r="G42" s="33"/>
    </row>
    <row r="43" spans="2:7" x14ac:dyDescent="0.2">
      <c r="B43" s="6">
        <v>9</v>
      </c>
      <c r="C43" s="34" t="s">
        <v>110</v>
      </c>
      <c r="D43" s="8"/>
      <c r="E43" s="8"/>
      <c r="F43" s="9"/>
      <c r="G43" s="35">
        <f>G25+G41</f>
        <v>-451472.01999999996</v>
      </c>
    </row>
    <row r="44" spans="2:7" x14ac:dyDescent="0.2">
      <c r="B44" s="32"/>
      <c r="G44" s="33"/>
    </row>
    <row r="45" spans="2:7" x14ac:dyDescent="0.2">
      <c r="B45" s="6">
        <v>10</v>
      </c>
      <c r="C45" s="34" t="s">
        <v>78</v>
      </c>
      <c r="D45" s="8"/>
      <c r="E45" s="8"/>
      <c r="F45" s="9"/>
      <c r="G45" s="35">
        <f>G43/6</f>
        <v>-75245.336666666655</v>
      </c>
    </row>
    <row r="47" spans="2:7" x14ac:dyDescent="0.2">
      <c r="B47" s="1"/>
      <c r="C47" s="36" t="s">
        <v>37</v>
      </c>
      <c r="D47" s="37"/>
      <c r="E47" s="37"/>
      <c r="F47" s="37"/>
      <c r="G47" s="38"/>
    </row>
    <row r="48" spans="2:7" x14ac:dyDescent="0.2">
      <c r="B48" s="1"/>
      <c r="C48" s="39"/>
      <c r="D48" s="39"/>
      <c r="E48" s="39"/>
      <c r="F48" s="39"/>
      <c r="G48" s="11"/>
    </row>
    <row r="49" spans="2:7" x14ac:dyDescent="0.2">
      <c r="B49" s="4">
        <v>11</v>
      </c>
      <c r="C49" t="s">
        <v>38</v>
      </c>
      <c r="G49" s="41">
        <f>G19</f>
        <v>433165.7799999998</v>
      </c>
    </row>
    <row r="50" spans="2:7" x14ac:dyDescent="0.2">
      <c r="B50" s="4">
        <v>12</v>
      </c>
      <c r="C50" t="s">
        <v>39</v>
      </c>
      <c r="G50" s="42">
        <f>G41</f>
        <v>-374371.7799999998</v>
      </c>
    </row>
    <row r="51" spans="2:7" x14ac:dyDescent="0.2">
      <c r="B51" s="4"/>
      <c r="G51" s="41"/>
    </row>
    <row r="52" spans="2:7" ht="15" thickBot="1" x14ac:dyDescent="0.25">
      <c r="B52" s="4">
        <v>13</v>
      </c>
      <c r="C52" t="s">
        <v>40</v>
      </c>
      <c r="G52" s="43">
        <f>G49+G50</f>
        <v>58794</v>
      </c>
    </row>
    <row r="53" spans="2:7" ht="15" thickTop="1" x14ac:dyDescent="0.2">
      <c r="B53" s="4"/>
      <c r="G53" s="41"/>
    </row>
    <row r="54" spans="2:7" x14ac:dyDescent="0.2">
      <c r="B54" s="4">
        <v>14</v>
      </c>
      <c r="C54" t="s">
        <v>41</v>
      </c>
      <c r="G54" s="41">
        <f>G43</f>
        <v>-451472.01999999996</v>
      </c>
    </row>
    <row r="55" spans="2:7" x14ac:dyDescent="0.2">
      <c r="B55" s="4"/>
      <c r="G55" s="41"/>
    </row>
    <row r="56" spans="2:7" x14ac:dyDescent="0.2">
      <c r="B56" s="4">
        <v>15</v>
      </c>
      <c r="C56" t="s">
        <v>42</v>
      </c>
      <c r="G56" s="42">
        <f>SUM(F20:F25)</f>
        <v>-510266.01999999996</v>
      </c>
    </row>
    <row r="57" spans="2:7" x14ac:dyDescent="0.2">
      <c r="B57" s="4"/>
      <c r="G57" s="41"/>
    </row>
    <row r="58" spans="2:7" ht="15" thickBot="1" x14ac:dyDescent="0.25">
      <c r="B58" s="4">
        <v>16</v>
      </c>
      <c r="C58" t="s">
        <v>43</v>
      </c>
      <c r="G58" s="43">
        <f>G54-G56</f>
        <v>58794</v>
      </c>
    </row>
    <row r="59" spans="2:7" ht="15" thickTop="1" x14ac:dyDescent="0.2">
      <c r="B59" s="28"/>
      <c r="C59" s="44"/>
      <c r="D59" s="44"/>
      <c r="E59" s="44"/>
      <c r="F59" s="44"/>
      <c r="G59" s="45"/>
    </row>
    <row r="61" spans="2:7" x14ac:dyDescent="0.2">
      <c r="B61" t="s">
        <v>44</v>
      </c>
    </row>
    <row r="62" spans="2:7" x14ac:dyDescent="0.2">
      <c r="B62" s="32"/>
      <c r="C62" s="1"/>
      <c r="D62" s="2" t="s">
        <v>45</v>
      </c>
      <c r="E62" s="27"/>
      <c r="F62" s="32"/>
      <c r="G62" s="32"/>
    </row>
    <row r="63" spans="2:7" x14ac:dyDescent="0.2">
      <c r="B63" s="32"/>
      <c r="C63" s="5" t="s">
        <v>10</v>
      </c>
      <c r="D63" s="5" t="s">
        <v>79</v>
      </c>
      <c r="E63" s="27"/>
      <c r="F63" s="32"/>
      <c r="G63" s="32"/>
    </row>
    <row r="64" spans="2:7" x14ac:dyDescent="0.2">
      <c r="C64" s="13">
        <v>45474</v>
      </c>
      <c r="D64" s="12">
        <v>29398</v>
      </c>
      <c r="E64" s="16"/>
      <c r="F64" s="33"/>
      <c r="G64" s="33"/>
    </row>
    <row r="65" spans="3:7" x14ac:dyDescent="0.2">
      <c r="C65" s="15">
        <v>45505</v>
      </c>
      <c r="D65" s="17">
        <v>29396</v>
      </c>
      <c r="E65" s="16"/>
      <c r="F65" s="33"/>
      <c r="G65" s="33"/>
    </row>
    <row r="66" spans="3:7" x14ac:dyDescent="0.2">
      <c r="C66" s="15">
        <v>45536</v>
      </c>
      <c r="D66" s="17">
        <v>0</v>
      </c>
      <c r="E66" s="16"/>
      <c r="F66" s="33"/>
      <c r="G66" s="33"/>
    </row>
    <row r="67" spans="3:7" x14ac:dyDescent="0.2">
      <c r="C67" s="15">
        <v>45566</v>
      </c>
      <c r="D67" s="17">
        <v>0</v>
      </c>
      <c r="E67" s="16"/>
      <c r="F67" s="33"/>
      <c r="G67" s="33"/>
    </row>
    <row r="68" spans="3:7" x14ac:dyDescent="0.2">
      <c r="C68" s="15">
        <v>45597</v>
      </c>
      <c r="D68" s="17">
        <v>0</v>
      </c>
      <c r="E68" s="16"/>
      <c r="F68" s="33"/>
      <c r="G68" s="33"/>
    </row>
    <row r="69" spans="3:7" x14ac:dyDescent="0.2">
      <c r="C69" s="15">
        <v>45627</v>
      </c>
      <c r="D69" s="19">
        <v>0</v>
      </c>
      <c r="E69" s="16"/>
      <c r="F69" s="33"/>
      <c r="G69" s="33"/>
    </row>
    <row r="70" spans="3:7" x14ac:dyDescent="0.2">
      <c r="C70" s="49" t="s">
        <v>46</v>
      </c>
      <c r="D70" s="35">
        <f>SUM(D64:D69)</f>
        <v>58794</v>
      </c>
      <c r="E70" s="16"/>
      <c r="F70" s="33"/>
      <c r="G70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05-31-25</vt:lpstr>
      <vt:lpstr>2025-00013 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2025-10-15T15:40:36Z</dcterms:modified>
</cp:coreProperties>
</file>