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F400BEA7-C7A5-4126-A330-4ABEC30F70C4}" xr6:coauthVersionLast="47" xr6:coauthVersionMax="47" xr10:uidLastSave="{00000000-0000-0000-0000-000000000000}"/>
  <bookViews>
    <workbookView xWindow="12900" yWindow="559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/>
  <c r="D35" i="15"/>
  <c r="G35" i="15" s="1"/>
  <c r="E27" i="15"/>
  <c r="D27" i="15"/>
  <c r="F27" i="15" s="1"/>
  <c r="D26" i="15"/>
  <c r="F26" i="15" s="1"/>
  <c r="D25" i="15"/>
  <c r="F25" i="15" s="1"/>
  <c r="D24" i="15"/>
  <c r="F24" i="15" s="1"/>
  <c r="D23" i="15"/>
  <c r="F23" i="15" s="1"/>
  <c r="D22" i="15"/>
  <c r="F22" i="15" s="1"/>
  <c r="D21" i="15"/>
  <c r="F21" i="15" s="1"/>
  <c r="D20" i="15"/>
  <c r="F20" i="15" s="1"/>
  <c r="D68" i="14"/>
  <c r="E34" i="14"/>
  <c r="D34" i="14"/>
  <c r="G34" i="14" s="1"/>
  <c r="D26" i="14"/>
  <c r="F26" i="14" s="1"/>
  <c r="D25" i="14"/>
  <c r="F25" i="14" s="1"/>
  <c r="D24" i="14"/>
  <c r="F24" i="14" s="1"/>
  <c r="D23" i="14"/>
  <c r="F23" i="14" s="1"/>
  <c r="D22" i="14"/>
  <c r="F22" i="14" s="1"/>
  <c r="D21" i="14"/>
  <c r="F21" i="14" s="1"/>
  <c r="D20" i="14"/>
  <c r="F20" i="14" s="1"/>
  <c r="D19" i="14"/>
  <c r="F19" i="14" s="1"/>
  <c r="D66" i="13"/>
  <c r="E33" i="13" s="1"/>
  <c r="D33" i="13"/>
  <c r="D25" i="13"/>
  <c r="F25" i="13" s="1"/>
  <c r="D24" i="13"/>
  <c r="F24" i="13" s="1"/>
  <c r="D23" i="13"/>
  <c r="F23" i="13" s="1"/>
  <c r="D22" i="13"/>
  <c r="F22" i="13" s="1"/>
  <c r="D21" i="13"/>
  <c r="F21" i="13" s="1"/>
  <c r="D20" i="13"/>
  <c r="F20" i="13" s="1"/>
  <c r="D19" i="13"/>
  <c r="F19" i="13" s="1"/>
  <c r="D18" i="13"/>
  <c r="F18" i="13" s="1"/>
  <c r="D64" i="12"/>
  <c r="E32" i="12"/>
  <c r="D32" i="12"/>
  <c r="G32" i="12" s="1"/>
  <c r="D24" i="12"/>
  <c r="F24" i="12" s="1"/>
  <c r="F23" i="12"/>
  <c r="D23" i="12"/>
  <c r="D22" i="12"/>
  <c r="F22" i="12" s="1"/>
  <c r="D21" i="12"/>
  <c r="F21" i="12" s="1"/>
  <c r="D20" i="12"/>
  <c r="F20" i="12" s="1"/>
  <c r="D19" i="12"/>
  <c r="F19" i="12" s="1"/>
  <c r="D18" i="12"/>
  <c r="F18" i="12" s="1"/>
  <c r="F17" i="12"/>
  <c r="D17" i="12"/>
  <c r="D62" i="11"/>
  <c r="E31" i="11"/>
  <c r="D31" i="11"/>
  <c r="G31" i="11" s="1"/>
  <c r="D23" i="11"/>
  <c r="F23" i="11" s="1"/>
  <c r="F22" i="11"/>
  <c r="D22" i="11"/>
  <c r="D21" i="11"/>
  <c r="F21" i="11" s="1"/>
  <c r="D20" i="11"/>
  <c r="F20" i="11" s="1"/>
  <c r="D19" i="11"/>
  <c r="F19" i="11" s="1"/>
  <c r="D18" i="11"/>
  <c r="F18" i="11" s="1"/>
  <c r="D17" i="11"/>
  <c r="F17" i="11" s="1"/>
  <c r="D16" i="11"/>
  <c r="F16" i="11" s="1"/>
  <c r="G48" i="11" s="1"/>
  <c r="D60" i="10"/>
  <c r="E30" i="10" s="1"/>
  <c r="G39" i="10"/>
  <c r="D30" i="10"/>
  <c r="G30" i="10" s="1"/>
  <c r="G31" i="10" s="1"/>
  <c r="G40" i="10" s="1"/>
  <c r="D22" i="10"/>
  <c r="F22" i="10" s="1"/>
  <c r="D21" i="10"/>
  <c r="F21" i="10" s="1"/>
  <c r="D20" i="10"/>
  <c r="F20" i="10" s="1"/>
  <c r="D19" i="10"/>
  <c r="F19" i="10" s="1"/>
  <c r="D18" i="10"/>
  <c r="F18" i="10" s="1"/>
  <c r="D17" i="10"/>
  <c r="F17" i="10" s="1"/>
  <c r="D16" i="10"/>
  <c r="F16" i="10" s="1"/>
  <c r="D15" i="10"/>
  <c r="F15" i="10" s="1"/>
  <c r="G46" i="10" s="1"/>
  <c r="G14" i="10"/>
  <c r="G15" i="10" s="1"/>
  <c r="G16" i="10" s="1"/>
  <c r="G17" i="10" s="1"/>
  <c r="G18" i="10" s="1"/>
  <c r="G19" i="10" s="1"/>
  <c r="G20" i="10" s="1"/>
  <c r="G21" i="10" l="1"/>
  <c r="G22" i="10" s="1"/>
  <c r="G33" i="10"/>
  <c r="G50" i="12"/>
  <c r="G42" i="10"/>
  <c r="G56" i="15"/>
  <c r="G54" i="14"/>
  <c r="G52" i="13"/>
  <c r="G33" i="13"/>
  <c r="E8" i="9" l="1"/>
  <c r="G14" i="12"/>
  <c r="G14" i="13"/>
  <c r="G14" i="14"/>
  <c r="G14" i="11"/>
  <c r="G14" i="15"/>
  <c r="G35" i="10"/>
  <c r="G44" i="10"/>
  <c r="G48" i="10" s="1"/>
  <c r="D36" i="15" l="1"/>
  <c r="G36" i="15" s="1"/>
  <c r="G15" i="11"/>
  <c r="D32" i="11"/>
  <c r="G32" i="11" s="1"/>
  <c r="G33" i="11" s="1"/>
  <c r="G42" i="11" s="1"/>
  <c r="D35" i="14"/>
  <c r="G35" i="14" s="1"/>
  <c r="D33" i="12"/>
  <c r="G33" i="12" s="1"/>
  <c r="D34" i="13"/>
  <c r="G34" i="13" s="1"/>
  <c r="F8" i="9"/>
  <c r="G41" i="11" l="1"/>
  <c r="G44" i="11" s="1"/>
  <c r="G16" i="11"/>
  <c r="G17" i="11" s="1"/>
  <c r="G18" i="11" s="1"/>
  <c r="G19" i="11" s="1"/>
  <c r="G20" i="11" s="1"/>
  <c r="G21" i="11" s="1"/>
  <c r="G22" i="11" l="1"/>
  <c r="G23" i="11" s="1"/>
  <c r="G35" i="11"/>
  <c r="G15" i="12" l="1"/>
  <c r="G15" i="14"/>
  <c r="G46" i="11"/>
  <c r="G50" i="11" s="1"/>
  <c r="G37" i="11"/>
  <c r="G15" i="15"/>
  <c r="E9" i="9"/>
  <c r="G15" i="13"/>
  <c r="D35" i="13" l="1"/>
  <c r="G35" i="13" s="1"/>
  <c r="F9" i="9"/>
  <c r="D37" i="15"/>
  <c r="G37" i="15" s="1"/>
  <c r="D36" i="14"/>
  <c r="G36" i="14" s="1"/>
  <c r="D34" i="12"/>
  <c r="G34" i="12" s="1"/>
  <c r="G35" i="12" s="1"/>
  <c r="G44" i="12" s="1"/>
  <c r="G16" i="12"/>
  <c r="G43" i="12" l="1"/>
  <c r="G46" i="12" s="1"/>
  <c r="G17" i="12"/>
  <c r="G18" i="12" s="1"/>
  <c r="G19" i="12" s="1"/>
  <c r="G20" i="12" s="1"/>
  <c r="G21" i="12" s="1"/>
  <c r="G22" i="12" s="1"/>
  <c r="G23" i="12" l="1"/>
  <c r="G24" i="12" s="1"/>
  <c r="G37" i="12"/>
  <c r="G39" i="12" l="1"/>
  <c r="E10" i="9"/>
  <c r="G48" i="12"/>
  <c r="G52" i="12" s="1"/>
  <c r="G16" i="15"/>
  <c r="G16" i="13"/>
  <c r="G16" i="14"/>
  <c r="D37" i="14" l="1"/>
  <c r="G37" i="14" s="1"/>
  <c r="D36" i="13"/>
  <c r="G36" i="13" s="1"/>
  <c r="G37" i="13" s="1"/>
  <c r="G46" i="13" s="1"/>
  <c r="G17" i="13"/>
  <c r="D38" i="15"/>
  <c r="G38" i="15" s="1"/>
  <c r="F10" i="9"/>
  <c r="G18" i="13" l="1"/>
  <c r="G19" i="13" s="1"/>
  <c r="G20" i="13" s="1"/>
  <c r="G21" i="13" s="1"/>
  <c r="G22" i="13" s="1"/>
  <c r="G23" i="13" s="1"/>
  <c r="G45" i="13"/>
  <c r="G48" i="13" s="1"/>
  <c r="G24" i="13" l="1"/>
  <c r="G25" i="13" s="1"/>
  <c r="G39" i="13"/>
  <c r="G17" i="15" l="1"/>
  <c r="E11" i="9"/>
  <c r="G50" i="13"/>
  <c r="G54" i="13" s="1"/>
  <c r="G41" i="13"/>
  <c r="G17" i="14"/>
  <c r="D38" i="14" l="1"/>
  <c r="G38" i="14" s="1"/>
  <c r="G39" i="14" s="1"/>
  <c r="G48" i="14" s="1"/>
  <c r="G18" i="14"/>
  <c r="F11" i="9"/>
  <c r="D39" i="15"/>
  <c r="G39" i="15" s="1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G18" i="15" l="1"/>
  <c r="G43" i="14"/>
  <c r="G52" i="14"/>
  <c r="G56" i="14" s="1"/>
  <c r="E12" i="9"/>
  <c r="F12" i="9" l="1"/>
  <c r="D40" i="15"/>
  <c r="G40" i="15" s="1"/>
  <c r="G41" i="15" s="1"/>
  <c r="G50" i="15" s="1"/>
  <c r="G19" i="15"/>
  <c r="G49" i="15" l="1"/>
  <c r="G52" i="15" s="1"/>
  <c r="G20" i="15"/>
  <c r="G21" i="15" s="1"/>
  <c r="G22" i="15" s="1"/>
  <c r="G23" i="15" s="1"/>
  <c r="G24" i="15" s="1"/>
  <c r="G25" i="15" s="1"/>
  <c r="G43" i="15" l="1"/>
  <c r="G26" i="15"/>
  <c r="G27" i="15" s="1"/>
  <c r="G54" i="15" l="1"/>
  <c r="G58" i="15" s="1"/>
  <c r="G45" i="15"/>
  <c r="E13" i="9"/>
  <c r="F13" i="9" l="1"/>
  <c r="E15" i="9"/>
  <c r="F15" i="9" l="1"/>
  <c r="E22" i="9"/>
  <c r="E24" i="9"/>
  <c r="G40" i="8" l="1"/>
  <c r="G33" i="8"/>
  <c r="G35" i="8"/>
  <c r="G31" i="8"/>
  <c r="G14" i="8"/>
  <c r="D22" i="8" l="1"/>
  <c r="D21" i="8"/>
  <c r="D20" i="8"/>
  <c r="D19" i="8"/>
  <c r="D18" i="8"/>
  <c r="D17" i="8"/>
  <c r="E16" i="8"/>
  <c r="D16" i="8"/>
  <c r="D15" i="8"/>
  <c r="D60" i="8" l="1"/>
  <c r="E30" i="8" s="1"/>
  <c r="D30" i="8" l="1"/>
  <c r="G30" i="8" s="1"/>
  <c r="F22" i="8"/>
  <c r="F21" i="8"/>
  <c r="F20" i="8"/>
  <c r="F19" i="8"/>
  <c r="F18" i="8"/>
  <c r="F17" i="8"/>
  <c r="F16" i="8"/>
  <c r="F15" i="8"/>
  <c r="G46" i="8" l="1"/>
  <c r="G39" i="8" l="1"/>
  <c r="G42" i="8" s="1"/>
  <c r="G15" i="8"/>
  <c r="G16" i="8" s="1"/>
  <c r="G17" i="8" s="1"/>
  <c r="G18" i="8" s="1"/>
  <c r="G19" i="8" s="1"/>
  <c r="G20" i="8" s="1"/>
  <c r="G21" i="8" l="1"/>
  <c r="G22" i="8" s="1"/>
  <c r="G44" i="8" l="1"/>
  <c r="G48" i="8" s="1"/>
</calcChain>
</file>

<file path=xl/sharedStrings.xml><?xml version="1.0" encoding="utf-8"?>
<sst xmlns="http://schemas.openxmlformats.org/spreadsheetml/2006/main" count="481" uniqueCount="105">
  <si>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</si>
  <si>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</si>
  <si>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</si>
  <si>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</si>
  <si>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</si>
  <si>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</si>
  <si>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</si>
  <si>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</si>
  <si>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</si>
  <si>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</si>
  <si>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</si>
  <si>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</si>
  <si>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</si>
  <si>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</si>
  <si>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</si>
  <si>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</si>
  <si>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</si>
  <si>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</si>
  <si>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</si>
  <si>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</si>
  <si>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</si>
  <si>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</si>
  <si>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</si>
  <si>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</si>
  <si>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</si>
  <si>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</si>
  <si>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</si>
  <si>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</si>
  <si>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</si>
  <si>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</si>
  <si>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</si>
  <si>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</si>
  <si>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</si>
  <si>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</si>
  <si>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</si>
  <si>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</si>
  <si>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</si>
  <si>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</si>
  <si>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</si>
  <si>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</si>
  <si>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</si>
  <si>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</si>
  <si>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</si>
  <si>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</si>
  <si>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</si>
  <si>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</si>
  <si>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</si>
  <si>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</si>
  <si>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Less Adjustment for Order amounts remaining to be amortized at end of review period June 2025</t>
  </si>
  <si>
    <t>From Case No. 2025-00013 (Over)/Under-Recovery</t>
  </si>
  <si>
    <t>From Case No. 2025-00013 Recovery</t>
  </si>
  <si>
    <t>2025-00013</t>
  </si>
  <si>
    <t>Clark Energy - Calculation of (Over)/Under Recovery</t>
  </si>
  <si>
    <t>Monthly recovery (per month for six months)</t>
  </si>
  <si>
    <t>Staff DR1 Response 2 - Clark Energy Surcharge Summary.xlsx</t>
  </si>
  <si>
    <t>Clark Energy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</si>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</sst>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0" fontId="0" fillId="0" borderId="10" xfId="0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2" fillId="0" borderId="0" xfId="0" applyFont="1" applyAlignment="1">
      <alignment horizontal="center"/>
    </xf>
    <xf numFmtId="5" fontId="0" fillId="3" borderId="9" xfId="0" applyNumberFormat="1" applyFill="1" applyBorder="1"/>
    <xf numFmtId="5" fontId="0" fillId="3" borderId="5" xfId="0" applyNumberFormat="1" applyFill="1" applyBorder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75" t="s">
        <v>52</v>
      </c>
      <c r="C4" s="76"/>
      <c r="D4" s="76"/>
      <c r="E4" s="76"/>
      <c r="F4" s="76"/>
      <c r="G4" s="77"/>
    </row>
    <row r="5" spans="1:8" ht="14.25" customHeight="1" x14ac:dyDescent="0.2">
      <c r="B5" s="78"/>
      <c r="C5" s="79"/>
      <c r="D5" s="79"/>
      <c r="E5" s="79"/>
      <c r="F5" s="79"/>
      <c r="G5" s="80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B12" s="2">
        <v>1</v>
      </c>
      <c r="C12" s="81" t="s">
        <v>15</v>
      </c>
      <c r="D12" s="82"/>
      <c r="E12" s="82"/>
      <c r="F12" s="82"/>
      <c r="G12" s="83"/>
    </row>
    <row r="13" spans="1:8" x14ac:dyDescent="0.2">
      <c r="B13" s="2" t="s">
        <v>16</v>
      </c>
      <c r="C13" s="8" t="s">
        <v>49</v>
      </c>
      <c r="D13" s="8"/>
      <c r="E13" s="8"/>
      <c r="F13" s="9"/>
      <c r="G13" s="10">
        <v>-176102</v>
      </c>
    </row>
    <row r="14" spans="1:8" x14ac:dyDescent="0.2">
      <c r="A14" s="59"/>
      <c r="B14" s="5" t="s">
        <v>17</v>
      </c>
      <c r="C14" s="8" t="s">
        <v>18</v>
      </c>
      <c r="D14" s="8"/>
      <c r="E14" s="8"/>
      <c r="F14" s="11"/>
      <c r="G14" s="12">
        <f>G13</f>
        <v>-176102</v>
      </c>
      <c r="H14" s="59"/>
    </row>
    <row r="15" spans="1:8" x14ac:dyDescent="0.2">
      <c r="A15" s="32"/>
      <c r="B15" s="4">
        <v>2</v>
      </c>
      <c r="C15" s="13">
        <v>45658</v>
      </c>
      <c r="D15" s="51">
        <f>743434-172</f>
        <v>743262</v>
      </c>
      <c r="E15" s="52">
        <v>811658.19</v>
      </c>
      <c r="F15" s="14">
        <f t="shared" ref="F15:F22" si="0">D15-E15</f>
        <v>-68396.189999999944</v>
      </c>
      <c r="G15" s="12">
        <f t="shared" ref="G15:G22" si="1">G14+F15</f>
        <v>-244498.18999999994</v>
      </c>
      <c r="H15" s="32"/>
    </row>
    <row r="16" spans="1:8" x14ac:dyDescent="0.2">
      <c r="B16" s="4">
        <v>3</v>
      </c>
      <c r="C16" s="15">
        <v>45689</v>
      </c>
      <c r="D16" s="53">
        <f>976934-161</f>
        <v>976773</v>
      </c>
      <c r="E16" s="54">
        <f>793370</f>
        <v>793370</v>
      </c>
      <c r="F16" s="16">
        <f t="shared" si="0"/>
        <v>183403</v>
      </c>
      <c r="G16" s="17">
        <f t="shared" si="1"/>
        <v>-61095.189999999944</v>
      </c>
    </row>
    <row r="17" spans="2:7" x14ac:dyDescent="0.2">
      <c r="B17" s="4">
        <v>4</v>
      </c>
      <c r="C17" s="15">
        <v>45717</v>
      </c>
      <c r="D17" s="53">
        <f>667327-124</f>
        <v>667203</v>
      </c>
      <c r="E17" s="54">
        <v>515182.53</v>
      </c>
      <c r="F17" s="16">
        <f t="shared" si="0"/>
        <v>152020.46999999997</v>
      </c>
      <c r="G17" s="17">
        <f t="shared" si="1"/>
        <v>90925.280000000028</v>
      </c>
    </row>
    <row r="18" spans="2:7" x14ac:dyDescent="0.2">
      <c r="B18" s="4">
        <v>5</v>
      </c>
      <c r="C18" s="15">
        <v>45748</v>
      </c>
      <c r="D18" s="53">
        <f>272589-71</f>
        <v>272518</v>
      </c>
      <c r="E18" s="54">
        <v>276352.89</v>
      </c>
      <c r="F18" s="16">
        <f t="shared" si="0"/>
        <v>-3834.890000000014</v>
      </c>
      <c r="G18" s="17">
        <f t="shared" si="1"/>
        <v>87090.390000000014</v>
      </c>
    </row>
    <row r="19" spans="2:7" x14ac:dyDescent="0.2">
      <c r="B19" s="4">
        <v>6</v>
      </c>
      <c r="C19" s="15">
        <v>45778</v>
      </c>
      <c r="D19" s="53">
        <f>291049-100</f>
        <v>290949</v>
      </c>
      <c r="E19" s="54">
        <v>303939.57</v>
      </c>
      <c r="F19" s="16">
        <f t="shared" si="0"/>
        <v>-12990.570000000007</v>
      </c>
      <c r="G19" s="17">
        <f t="shared" si="1"/>
        <v>74099.820000000007</v>
      </c>
    </row>
    <row r="20" spans="2:7" x14ac:dyDescent="0.2">
      <c r="B20" s="4">
        <v>7</v>
      </c>
      <c r="C20" s="15">
        <v>45809</v>
      </c>
      <c r="D20" s="53">
        <f>380479-149</f>
        <v>380330</v>
      </c>
      <c r="E20" s="54">
        <v>490024.8</v>
      </c>
      <c r="F20" s="18">
        <f t="shared" si="0"/>
        <v>-109694.79999999999</v>
      </c>
      <c r="G20" s="19">
        <f t="shared" si="1"/>
        <v>-35594.979999999981</v>
      </c>
    </row>
    <row r="21" spans="2:7" x14ac:dyDescent="0.2">
      <c r="B21" s="20" t="s">
        <v>19</v>
      </c>
      <c r="C21" s="13">
        <v>45839</v>
      </c>
      <c r="D21" s="51">
        <f>585094-177</f>
        <v>584917</v>
      </c>
      <c r="E21" s="52">
        <v>658141.12</v>
      </c>
      <c r="F21" s="14">
        <f t="shared" si="0"/>
        <v>-73224.12</v>
      </c>
      <c r="G21" s="12">
        <f t="shared" si="1"/>
        <v>-108819.09999999998</v>
      </c>
    </row>
    <row r="22" spans="2:7" x14ac:dyDescent="0.2">
      <c r="B22" s="21" t="s">
        <v>20</v>
      </c>
      <c r="C22" s="22">
        <v>45870</v>
      </c>
      <c r="D22" s="60">
        <f>796898-0</f>
        <v>796898</v>
      </c>
      <c r="E22" s="61">
        <v>798798.25</v>
      </c>
      <c r="F22" s="18">
        <f t="shared" si="0"/>
        <v>-1900.25</v>
      </c>
      <c r="G22" s="19">
        <f t="shared" si="1"/>
        <v>-110719.34999999998</v>
      </c>
    </row>
    <row r="23" spans="2:7" x14ac:dyDescent="0.2">
      <c r="B23" s="5"/>
      <c r="C23" s="23" t="s">
        <v>48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5" t="s">
        <v>50</v>
      </c>
      <c r="D30" s="35">
        <f>-G13</f>
        <v>176102</v>
      </c>
      <c r="E30" s="35">
        <f>D60</f>
        <v>0</v>
      </c>
      <c r="F30" s="55"/>
      <c r="G30" s="35">
        <f t="shared" ref="G30" si="2">D30+E30</f>
        <v>176102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176102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140507.02000000002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G33/6</f>
        <v>23417.83666666667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-176102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176102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140507.02000000002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140507.02000000002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7"/>
      <c r="G52" s="57"/>
    </row>
    <row r="53" spans="2:7" x14ac:dyDescent="0.2">
      <c r="B53" s="32"/>
      <c r="C53" s="5" t="s">
        <v>10</v>
      </c>
      <c r="D53" s="5" t="s">
        <v>51</v>
      </c>
      <c r="E53" s="27"/>
      <c r="F53" s="57"/>
      <c r="G53" s="57"/>
    </row>
    <row r="54" spans="2:7" x14ac:dyDescent="0.2">
      <c r="C54" s="13">
        <v>45658</v>
      </c>
      <c r="D54" s="46">
        <v>0</v>
      </c>
      <c r="E54" s="58"/>
      <c r="F54" s="56"/>
      <c r="G54" s="56"/>
    </row>
    <row r="55" spans="2:7" x14ac:dyDescent="0.2">
      <c r="C55" s="15">
        <v>45689</v>
      </c>
      <c r="D55" s="47">
        <v>0</v>
      </c>
      <c r="E55" s="58"/>
      <c r="F55" s="56"/>
      <c r="G55" s="56"/>
    </row>
    <row r="56" spans="2:7" x14ac:dyDescent="0.2">
      <c r="C56" s="15">
        <v>45717</v>
      </c>
      <c r="D56" s="47">
        <v>0</v>
      </c>
      <c r="E56" s="58"/>
      <c r="F56" s="56"/>
      <c r="G56" s="56"/>
    </row>
    <row r="57" spans="2:7" x14ac:dyDescent="0.2">
      <c r="C57" s="15">
        <v>45748</v>
      </c>
      <c r="D57" s="47">
        <v>0</v>
      </c>
      <c r="E57" s="58"/>
      <c r="F57" s="56"/>
      <c r="G57" s="56"/>
    </row>
    <row r="58" spans="2:7" x14ac:dyDescent="0.2">
      <c r="C58" s="15">
        <v>45778</v>
      </c>
      <c r="D58" s="47">
        <v>0</v>
      </c>
      <c r="E58" s="58"/>
      <c r="F58" s="56"/>
      <c r="G58" s="56"/>
    </row>
    <row r="59" spans="2:7" x14ac:dyDescent="0.2">
      <c r="C59" s="15">
        <v>45809</v>
      </c>
      <c r="D59" s="48">
        <v>0</v>
      </c>
      <c r="E59" s="58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3FB6-17F9-41CB-9C2F-DA5D26B648C9}">
  <dimension ref="A1:F25"/>
  <sheetViews>
    <sheetView workbookViewId="0">
      <selection activeCell="D31" sqref="D31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Clark Energy Surcharge Summary.xlsx</v>
      </c>
    </row>
    <row r="3" spans="1:6" ht="15" x14ac:dyDescent="0.25">
      <c r="C3" s="84" t="s">
        <v>55</v>
      </c>
      <c r="D3" s="84"/>
      <c r="E3" s="84"/>
    </row>
    <row r="4" spans="1:6" ht="15" x14ac:dyDescent="0.25">
      <c r="B4" s="84" t="s">
        <v>56</v>
      </c>
      <c r="C4" s="84"/>
      <c r="D4" s="84"/>
      <c r="E4" s="84"/>
      <c r="F4" s="84"/>
    </row>
    <row r="6" spans="1:6" ht="15" thickBot="1" x14ac:dyDescent="0.25">
      <c r="E6" s="63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64">
        <f>'A - 05-31-22'!G33</f>
        <v>43653.779999999912</v>
      </c>
      <c r="F8" s="65" t="str">
        <f>IF(E8&gt;0,"Under-Recovery","Over-Recovery")</f>
        <v>Under-Recovery</v>
      </c>
    </row>
    <row r="9" spans="1:6" x14ac:dyDescent="0.2">
      <c r="B9" t="s">
        <v>60</v>
      </c>
      <c r="E9" s="64">
        <f>'B - 11-30-22'!G35</f>
        <v>-42281.260000000126</v>
      </c>
      <c r="F9" s="65" t="str">
        <f t="shared" ref="F9:F13" si="0">IF(E9&gt;0,"Under-Recovery","Over-Recovery")</f>
        <v>Over-Recovery</v>
      </c>
    </row>
    <row r="10" spans="1:6" x14ac:dyDescent="0.2">
      <c r="B10" t="s">
        <v>61</v>
      </c>
      <c r="E10" s="64">
        <f>'C - 05-31-23'!G37</f>
        <v>31887.130000000005</v>
      </c>
      <c r="F10" s="65" t="str">
        <f t="shared" si="0"/>
        <v>Under-Recovery</v>
      </c>
    </row>
    <row r="11" spans="1:6" x14ac:dyDescent="0.2">
      <c r="B11" t="s">
        <v>62</v>
      </c>
      <c r="E11" s="64">
        <f>'D - 11-30-23'!G39</f>
        <v>-133695.93000000005</v>
      </c>
      <c r="F11" s="65" t="str">
        <f t="shared" si="0"/>
        <v>Over-Recovery</v>
      </c>
    </row>
    <row r="12" spans="1:6" x14ac:dyDescent="0.2">
      <c r="B12" t="s">
        <v>63</v>
      </c>
      <c r="E12" s="64">
        <f>'E - 05-31-24'!G41</f>
        <v>69995.790000000037</v>
      </c>
      <c r="F12" s="65" t="str">
        <f t="shared" si="0"/>
        <v>Under-Recovery</v>
      </c>
    </row>
    <row r="13" spans="1:6" x14ac:dyDescent="0.2">
      <c r="B13" t="s">
        <v>64</v>
      </c>
      <c r="E13" s="64">
        <f>'F - 11-30-24'!G43</f>
        <v>-145661.82</v>
      </c>
      <c r="F13" s="65" t="str">
        <f t="shared" si="0"/>
        <v>Over-Recovery</v>
      </c>
    </row>
    <row r="14" spans="1:6" x14ac:dyDescent="0.2">
      <c r="E14" s="64"/>
    </row>
    <row r="15" spans="1:6" ht="15" thickBot="1" x14ac:dyDescent="0.25">
      <c r="B15" t="s">
        <v>65</v>
      </c>
      <c r="E15" s="66">
        <f>SUM(E8:E13)</f>
        <v>-176102.31000000023</v>
      </c>
      <c r="F15" s="65" t="str">
        <f>IF(E15&gt;0,"Under-Recovery","Over-Recovery")</f>
        <v>Over-Recovery</v>
      </c>
    </row>
    <row r="16" spans="1:6" ht="15" thickTop="1" x14ac:dyDescent="0.2"/>
    <row r="20" spans="2:6" ht="15" x14ac:dyDescent="0.25">
      <c r="B20" s="84" t="s">
        <v>66</v>
      </c>
      <c r="C20" s="84"/>
      <c r="D20" s="84"/>
      <c r="E20" s="84"/>
      <c r="F20" s="84"/>
    </row>
    <row r="22" spans="2:6" x14ac:dyDescent="0.2">
      <c r="B22" t="s">
        <v>67</v>
      </c>
      <c r="E22" s="64">
        <f>ROUND(E15/6,0)</f>
        <v>-29350</v>
      </c>
    </row>
    <row r="23" spans="2:6" x14ac:dyDescent="0.2">
      <c r="E23" s="64"/>
    </row>
    <row r="24" spans="2:6" x14ac:dyDescent="0.2">
      <c r="B24" t="s">
        <v>68</v>
      </c>
      <c r="E24" s="64">
        <f>ROUND(E15/12,0)</f>
        <v>-14675</v>
      </c>
    </row>
    <row r="25" spans="2:6" x14ac:dyDescent="0.2">
      <c r="E25" s="64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592A-9B18-4699-8E60-596EA60557A3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-21370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-21370</v>
      </c>
    </row>
    <row r="15" spans="1:7" x14ac:dyDescent="0.2">
      <c r="B15" s="4">
        <v>2</v>
      </c>
      <c r="C15" s="13">
        <v>44562</v>
      </c>
      <c r="D15" s="51">
        <f>650161-216</f>
        <v>649945</v>
      </c>
      <c r="E15" s="52">
        <v>653642.54</v>
      </c>
      <c r="F15" s="14">
        <f t="shared" ref="F15:F22" si="0">D15-E15</f>
        <v>-3697.5400000000373</v>
      </c>
      <c r="G15" s="12">
        <f t="shared" ref="G15:G22" si="1">G14+F15</f>
        <v>-25067.540000000037</v>
      </c>
    </row>
    <row r="16" spans="1:7" x14ac:dyDescent="0.2">
      <c r="B16" s="4">
        <v>3</v>
      </c>
      <c r="C16" s="15">
        <v>44593</v>
      </c>
      <c r="D16" s="53">
        <f>566516-149</f>
        <v>566367</v>
      </c>
      <c r="E16" s="54">
        <v>575850.84</v>
      </c>
      <c r="F16" s="16">
        <f t="shared" si="0"/>
        <v>-9483.8399999999674</v>
      </c>
      <c r="G16" s="17">
        <f t="shared" si="1"/>
        <v>-34551.380000000005</v>
      </c>
    </row>
    <row r="17" spans="2:7" x14ac:dyDescent="0.2">
      <c r="B17" s="4">
        <v>4</v>
      </c>
      <c r="C17" s="15">
        <v>44621</v>
      </c>
      <c r="D17" s="53">
        <f>445473-93</f>
        <v>445380</v>
      </c>
      <c r="E17" s="54">
        <v>387353.2</v>
      </c>
      <c r="F17" s="16">
        <f t="shared" si="0"/>
        <v>58026.799999999988</v>
      </c>
      <c r="G17" s="17">
        <f t="shared" si="1"/>
        <v>23475.419999999984</v>
      </c>
    </row>
    <row r="18" spans="2:7" x14ac:dyDescent="0.2">
      <c r="B18" s="4">
        <v>5</v>
      </c>
      <c r="C18" s="15">
        <v>44652</v>
      </c>
      <c r="D18" s="53">
        <f>297225-116</f>
        <v>297109</v>
      </c>
      <c r="E18" s="54">
        <v>275616.65000000002</v>
      </c>
      <c r="F18" s="16">
        <f t="shared" si="0"/>
        <v>21492.349999999977</v>
      </c>
      <c r="G18" s="17">
        <f t="shared" si="1"/>
        <v>44967.76999999996</v>
      </c>
    </row>
    <row r="19" spans="2:7" x14ac:dyDescent="0.2">
      <c r="B19" s="4">
        <v>6</v>
      </c>
      <c r="C19" s="15">
        <v>44682</v>
      </c>
      <c r="D19" s="53">
        <f>345824-172</f>
        <v>345652</v>
      </c>
      <c r="E19" s="54">
        <v>343063.53</v>
      </c>
      <c r="F19" s="16">
        <f t="shared" si="0"/>
        <v>2588.4699999999721</v>
      </c>
      <c r="G19" s="17">
        <f t="shared" si="1"/>
        <v>47556.239999999932</v>
      </c>
    </row>
    <row r="20" spans="2:7" x14ac:dyDescent="0.2">
      <c r="B20" s="4">
        <v>7</v>
      </c>
      <c r="C20" s="15">
        <v>44713</v>
      </c>
      <c r="D20" s="53">
        <f>368236-174</f>
        <v>368062</v>
      </c>
      <c r="E20" s="54">
        <v>393334.46</v>
      </c>
      <c r="F20" s="18">
        <f t="shared" si="0"/>
        <v>-25272.460000000021</v>
      </c>
      <c r="G20" s="19">
        <f t="shared" si="1"/>
        <v>22283.779999999912</v>
      </c>
    </row>
    <row r="21" spans="2:7" x14ac:dyDescent="0.2">
      <c r="B21" s="20" t="s">
        <v>19</v>
      </c>
      <c r="C21" s="13">
        <v>44743</v>
      </c>
      <c r="D21" s="51">
        <f>514705-74</f>
        <v>514631</v>
      </c>
      <c r="E21" s="52">
        <v>559755.31000000006</v>
      </c>
      <c r="F21" s="14">
        <f t="shared" si="0"/>
        <v>-45124.310000000056</v>
      </c>
      <c r="G21" s="12">
        <f t="shared" si="1"/>
        <v>-22840.530000000144</v>
      </c>
    </row>
    <row r="22" spans="2:7" x14ac:dyDescent="0.2">
      <c r="B22" s="62" t="s">
        <v>20</v>
      </c>
      <c r="C22" s="22">
        <v>44774</v>
      </c>
      <c r="D22" s="60">
        <f>583409-194</f>
        <v>583215</v>
      </c>
      <c r="E22" s="61">
        <v>511843.82</v>
      </c>
      <c r="F22" s="18">
        <f t="shared" si="0"/>
        <v>71371.179999999993</v>
      </c>
      <c r="G22" s="19">
        <f t="shared" si="1"/>
        <v>48530.649999999849</v>
      </c>
    </row>
    <row r="23" spans="2:7" x14ac:dyDescent="0.2">
      <c r="B23" s="5"/>
      <c r="C23" s="23" t="s">
        <v>70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55" t="s">
        <v>71</v>
      </c>
      <c r="D30" s="35">
        <f>-G13</f>
        <v>21370</v>
      </c>
      <c r="E30" s="35">
        <f>D60</f>
        <v>0</v>
      </c>
      <c r="F30" s="55"/>
      <c r="G30" s="35">
        <f>D30+E30</f>
        <v>21370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21370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43653.779999999912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72</v>
      </c>
      <c r="D35" s="8"/>
      <c r="E35" s="8"/>
      <c r="F35" s="9"/>
      <c r="G35" s="35">
        <f>G33/6</f>
        <v>7275.6299999999856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-21370</v>
      </c>
    </row>
    <row r="40" spans="2:7" x14ac:dyDescent="0.2">
      <c r="B40" s="4">
        <v>12</v>
      </c>
      <c r="C40" t="s">
        <v>39</v>
      </c>
      <c r="G40" s="42">
        <f>G31</f>
        <v>21370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43653.779999999912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43653.779999999912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73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68BD-59EC-46D5-B26D-2A3EE80CFA52}">
  <dimension ref="A1:G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-21370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67">
        <f>'A - 05-31-22'!G33</f>
        <v>43653.779999999912</v>
      </c>
    </row>
    <row r="15" spans="1:7" x14ac:dyDescent="0.2">
      <c r="B15" s="5" t="s">
        <v>75</v>
      </c>
      <c r="C15" s="8" t="s">
        <v>18</v>
      </c>
      <c r="D15" s="8"/>
      <c r="E15" s="8"/>
      <c r="F15" s="11"/>
      <c r="G15" s="12">
        <f>G13+G14</f>
        <v>22283.779999999912</v>
      </c>
    </row>
    <row r="16" spans="1:7" x14ac:dyDescent="0.2">
      <c r="B16" s="4">
        <v>2</v>
      </c>
      <c r="C16" s="13">
        <v>44743</v>
      </c>
      <c r="D16" s="51">
        <f>514705-74</f>
        <v>514631</v>
      </c>
      <c r="E16" s="52">
        <v>559755.31000000006</v>
      </c>
      <c r="F16" s="14">
        <f t="shared" ref="F16:F23" si="0">D16-E16</f>
        <v>-45124.310000000056</v>
      </c>
      <c r="G16" s="12">
        <f t="shared" ref="G16:G23" si="1">G15+F16</f>
        <v>-22840.530000000144</v>
      </c>
    </row>
    <row r="17" spans="2:7" x14ac:dyDescent="0.2">
      <c r="B17" s="4">
        <v>3</v>
      </c>
      <c r="C17" s="15">
        <v>44774</v>
      </c>
      <c r="D17" s="53">
        <f>583409-194</f>
        <v>583215</v>
      </c>
      <c r="E17" s="54">
        <v>511843.82</v>
      </c>
      <c r="F17" s="16">
        <f t="shared" si="0"/>
        <v>71371.179999999993</v>
      </c>
      <c r="G17" s="17">
        <f t="shared" si="1"/>
        <v>48530.649999999849</v>
      </c>
    </row>
    <row r="18" spans="2:7" x14ac:dyDescent="0.2">
      <c r="B18" s="4">
        <v>4</v>
      </c>
      <c r="C18" s="15">
        <v>44805</v>
      </c>
      <c r="D18" s="53">
        <f>443361-63</f>
        <v>443298</v>
      </c>
      <c r="E18" s="54">
        <v>430226.16</v>
      </c>
      <c r="F18" s="16">
        <f t="shared" si="0"/>
        <v>13071.840000000026</v>
      </c>
      <c r="G18" s="17">
        <f t="shared" si="1"/>
        <v>61602.489999999874</v>
      </c>
    </row>
    <row r="19" spans="2:7" x14ac:dyDescent="0.2">
      <c r="B19" s="4">
        <v>5</v>
      </c>
      <c r="C19" s="15">
        <v>44835</v>
      </c>
      <c r="D19" s="53">
        <f>305906-0</f>
        <v>305906</v>
      </c>
      <c r="E19" s="54">
        <v>287208.14</v>
      </c>
      <c r="F19" s="16">
        <f t="shared" si="0"/>
        <v>18697.859999999986</v>
      </c>
      <c r="G19" s="17">
        <f t="shared" si="1"/>
        <v>80300.34999999986</v>
      </c>
    </row>
    <row r="20" spans="2:7" x14ac:dyDescent="0.2">
      <c r="B20" s="4">
        <v>6</v>
      </c>
      <c r="C20" s="15">
        <v>44866</v>
      </c>
      <c r="D20" s="53">
        <f>351064-148</f>
        <v>350916</v>
      </c>
      <c r="E20" s="54">
        <v>373240.03</v>
      </c>
      <c r="F20" s="16">
        <f t="shared" si="0"/>
        <v>-22324.030000000028</v>
      </c>
      <c r="G20" s="17">
        <f t="shared" si="1"/>
        <v>57976.319999999832</v>
      </c>
    </row>
    <row r="21" spans="2:7" x14ac:dyDescent="0.2">
      <c r="B21" s="4">
        <v>7</v>
      </c>
      <c r="C21" s="15">
        <v>44896</v>
      </c>
      <c r="D21" s="53">
        <f>460467-63</f>
        <v>460404</v>
      </c>
      <c r="E21" s="54">
        <v>538377.80000000005</v>
      </c>
      <c r="F21" s="18">
        <f t="shared" si="0"/>
        <v>-77973.800000000047</v>
      </c>
      <c r="G21" s="19">
        <f t="shared" si="1"/>
        <v>-19997.480000000214</v>
      </c>
    </row>
    <row r="22" spans="2:7" x14ac:dyDescent="0.2">
      <c r="B22" s="20" t="s">
        <v>19</v>
      </c>
      <c r="C22" s="13">
        <v>44927</v>
      </c>
      <c r="D22" s="51">
        <f>695308--70</f>
        <v>695378</v>
      </c>
      <c r="E22" s="52">
        <v>651823</v>
      </c>
      <c r="F22" s="14">
        <f t="shared" si="0"/>
        <v>43555</v>
      </c>
      <c r="G22" s="12">
        <f t="shared" si="1"/>
        <v>23557.519999999786</v>
      </c>
    </row>
    <row r="23" spans="2:7" x14ac:dyDescent="0.2">
      <c r="B23" s="62" t="s">
        <v>20</v>
      </c>
      <c r="C23" s="22">
        <v>44958</v>
      </c>
      <c r="D23" s="60">
        <f>528234-60</f>
        <v>528174</v>
      </c>
      <c r="E23" s="61">
        <v>481671.89</v>
      </c>
      <c r="F23" s="18">
        <f t="shared" si="0"/>
        <v>46502.109999999986</v>
      </c>
      <c r="G23" s="19">
        <f t="shared" si="1"/>
        <v>70059.629999999772</v>
      </c>
    </row>
    <row r="24" spans="2:7" x14ac:dyDescent="0.2">
      <c r="B24" s="5"/>
      <c r="C24" s="23" t="s">
        <v>76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71</v>
      </c>
      <c r="D31" s="12">
        <f>-G13</f>
        <v>21370</v>
      </c>
      <c r="E31" s="12">
        <f>D62</f>
        <v>0</v>
      </c>
      <c r="F31" s="1"/>
      <c r="G31" s="12">
        <f>D31+E31</f>
        <v>21370</v>
      </c>
    </row>
    <row r="32" spans="2:7" x14ac:dyDescent="0.2">
      <c r="B32" s="27" t="s">
        <v>35</v>
      </c>
      <c r="C32" s="28" t="s">
        <v>77</v>
      </c>
      <c r="D32" s="19">
        <f>-G14</f>
        <v>-43653.779999999912</v>
      </c>
      <c r="E32" s="19">
        <v>0</v>
      </c>
      <c r="F32" s="28"/>
      <c r="G32" s="19">
        <f>D32+E32</f>
        <v>-43653.779999999912</v>
      </c>
    </row>
    <row r="33" spans="2:7" x14ac:dyDescent="0.2">
      <c r="B33" s="5" t="s">
        <v>78</v>
      </c>
      <c r="C33" s="29"/>
      <c r="D33" s="30"/>
      <c r="E33" s="30"/>
      <c r="F33" s="31" t="s">
        <v>36</v>
      </c>
      <c r="G33" s="19">
        <f>G31+G32</f>
        <v>-22283.779999999912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79</v>
      </c>
      <c r="D35" s="8"/>
      <c r="E35" s="8"/>
      <c r="F35" s="9"/>
      <c r="G35" s="35">
        <f>G21+G33</f>
        <v>-42281.260000000126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72</v>
      </c>
      <c r="D37" s="8"/>
      <c r="E37" s="8"/>
      <c r="F37" s="9"/>
      <c r="G37" s="35">
        <f>G35/6</f>
        <v>-7046.8766666666879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22283.779999999912</v>
      </c>
    </row>
    <row r="42" spans="2:7" x14ac:dyDescent="0.2">
      <c r="B42" s="4">
        <v>12</v>
      </c>
      <c r="C42" t="s">
        <v>39</v>
      </c>
      <c r="G42" s="42">
        <f>G33</f>
        <v>-22283.779999999912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-42281.260000000126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-42281.260000000126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73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2531-0A98-4406-8423-432BE2B4E8BC}">
  <dimension ref="A1:G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-21370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67">
        <f>'A - 05-31-22'!G33</f>
        <v>43653.779999999912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67">
        <f>'B - 11-30-22'!G35</f>
        <v>-42281.260000000126</v>
      </c>
    </row>
    <row r="16" spans="1:7" x14ac:dyDescent="0.2">
      <c r="B16" s="5" t="s">
        <v>81</v>
      </c>
      <c r="C16" s="8" t="s">
        <v>18</v>
      </c>
      <c r="D16" s="8"/>
      <c r="E16" s="8"/>
      <c r="F16" s="11"/>
      <c r="G16" s="12">
        <f>G13+G14+G15</f>
        <v>-19997.480000000214</v>
      </c>
    </row>
    <row r="17" spans="2:7" x14ac:dyDescent="0.2">
      <c r="B17" s="4">
        <v>2</v>
      </c>
      <c r="C17" s="13">
        <v>44927</v>
      </c>
      <c r="D17" s="51">
        <f>695308--70</f>
        <v>695378</v>
      </c>
      <c r="E17" s="52">
        <v>651823</v>
      </c>
      <c r="F17" s="14">
        <f t="shared" ref="F17:F24" si="0">D17-E17</f>
        <v>43555</v>
      </c>
      <c r="G17" s="12">
        <f t="shared" ref="G17:G24" si="1">G16+F17</f>
        <v>23557.519999999786</v>
      </c>
    </row>
    <row r="18" spans="2:7" x14ac:dyDescent="0.2">
      <c r="B18" s="4">
        <v>3</v>
      </c>
      <c r="C18" s="15">
        <v>44958</v>
      </c>
      <c r="D18" s="53">
        <f>528234-60</f>
        <v>528174</v>
      </c>
      <c r="E18" s="54">
        <v>481671.89</v>
      </c>
      <c r="F18" s="16">
        <f t="shared" si="0"/>
        <v>46502.109999999986</v>
      </c>
      <c r="G18" s="17">
        <f t="shared" si="1"/>
        <v>70059.629999999772</v>
      </c>
    </row>
    <row r="19" spans="2:7" x14ac:dyDescent="0.2">
      <c r="B19" s="4">
        <v>4</v>
      </c>
      <c r="C19" s="15">
        <v>44986</v>
      </c>
      <c r="D19" s="53">
        <f>268395-41</f>
        <v>268354</v>
      </c>
      <c r="E19" s="54">
        <v>276839.90999999997</v>
      </c>
      <c r="F19" s="16">
        <f t="shared" si="0"/>
        <v>-8485.9099999999744</v>
      </c>
      <c r="G19" s="17">
        <f t="shared" si="1"/>
        <v>61573.719999999797</v>
      </c>
    </row>
    <row r="20" spans="2:7" x14ac:dyDescent="0.2">
      <c r="B20" s="4">
        <v>5</v>
      </c>
      <c r="C20" s="15">
        <v>45017</v>
      </c>
      <c r="D20" s="53">
        <f>343093-55</f>
        <v>343038</v>
      </c>
      <c r="E20" s="54">
        <v>331682.67</v>
      </c>
      <c r="F20" s="16">
        <f t="shared" si="0"/>
        <v>11355.330000000016</v>
      </c>
      <c r="G20" s="17">
        <f t="shared" si="1"/>
        <v>72929.049999999814</v>
      </c>
    </row>
    <row r="21" spans="2:7" x14ac:dyDescent="0.2">
      <c r="B21" s="4">
        <v>6</v>
      </c>
      <c r="C21" s="15">
        <v>45047</v>
      </c>
      <c r="D21" s="53">
        <f>349928-80</f>
        <v>349848</v>
      </c>
      <c r="E21" s="54">
        <v>380473.09</v>
      </c>
      <c r="F21" s="16">
        <f t="shared" si="0"/>
        <v>-30625.090000000026</v>
      </c>
      <c r="G21" s="17">
        <f t="shared" si="1"/>
        <v>42303.959999999788</v>
      </c>
    </row>
    <row r="22" spans="2:7" x14ac:dyDescent="0.2">
      <c r="B22" s="4">
        <v>7</v>
      </c>
      <c r="C22" s="15">
        <v>45078</v>
      </c>
      <c r="D22" s="53">
        <f>354941-82</f>
        <v>354859</v>
      </c>
      <c r="E22" s="54">
        <v>385273.31</v>
      </c>
      <c r="F22" s="18">
        <f t="shared" si="0"/>
        <v>-30414.309999999998</v>
      </c>
      <c r="G22" s="19">
        <f t="shared" si="1"/>
        <v>11889.64999999979</v>
      </c>
    </row>
    <row r="23" spans="2:7" x14ac:dyDescent="0.2">
      <c r="B23" s="20" t="s">
        <v>19</v>
      </c>
      <c r="C23" s="13">
        <v>45108</v>
      </c>
      <c r="D23" s="51">
        <f>411640-105</f>
        <v>411535</v>
      </c>
      <c r="E23" s="52">
        <v>526307</v>
      </c>
      <c r="F23" s="14">
        <f t="shared" si="0"/>
        <v>-114772</v>
      </c>
      <c r="G23" s="12">
        <f t="shared" si="1"/>
        <v>-102882.35000000021</v>
      </c>
    </row>
    <row r="24" spans="2:7" x14ac:dyDescent="0.2">
      <c r="B24" s="62" t="s">
        <v>20</v>
      </c>
      <c r="C24" s="22">
        <v>45139</v>
      </c>
      <c r="D24" s="60">
        <f>556768-114</f>
        <v>556654</v>
      </c>
      <c r="E24" s="61">
        <v>538889.93999999994</v>
      </c>
      <c r="F24" s="18">
        <f t="shared" si="0"/>
        <v>17764.060000000056</v>
      </c>
      <c r="G24" s="19">
        <f t="shared" si="1"/>
        <v>-85118.290000000154</v>
      </c>
    </row>
    <row r="25" spans="2:7" x14ac:dyDescent="0.2">
      <c r="B25" s="5"/>
      <c r="C25" s="23" t="s">
        <v>82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71</v>
      </c>
      <c r="D32" s="12">
        <f>-G13</f>
        <v>21370</v>
      </c>
      <c r="E32" s="12">
        <f>D64</f>
        <v>0</v>
      </c>
      <c r="F32" s="1"/>
      <c r="G32" s="12">
        <f t="shared" ref="G32:G34" si="2">D32+E32</f>
        <v>21370</v>
      </c>
    </row>
    <row r="33" spans="2:7" x14ac:dyDescent="0.2">
      <c r="B33" s="27" t="s">
        <v>35</v>
      </c>
      <c r="C33" s="68" t="s">
        <v>77</v>
      </c>
      <c r="D33" s="17">
        <f>-G14</f>
        <v>-43653.779999999912</v>
      </c>
      <c r="E33" s="17">
        <v>0</v>
      </c>
      <c r="F33" s="3"/>
      <c r="G33" s="17">
        <f t="shared" si="2"/>
        <v>-43653.779999999912</v>
      </c>
    </row>
    <row r="34" spans="2:7" x14ac:dyDescent="0.2">
      <c r="B34" s="27" t="s">
        <v>78</v>
      </c>
      <c r="C34" s="45" t="s">
        <v>83</v>
      </c>
      <c r="D34" s="19">
        <f>-G15</f>
        <v>42281.260000000126</v>
      </c>
      <c r="E34" s="19">
        <v>0</v>
      </c>
      <c r="F34" s="28"/>
      <c r="G34" s="19">
        <f t="shared" si="2"/>
        <v>42281.260000000126</v>
      </c>
    </row>
    <row r="35" spans="2:7" x14ac:dyDescent="0.2">
      <c r="B35" s="5" t="s">
        <v>84</v>
      </c>
      <c r="C35" s="29"/>
      <c r="D35" s="30"/>
      <c r="E35" s="30"/>
      <c r="F35" s="31" t="s">
        <v>36</v>
      </c>
      <c r="G35" s="19">
        <f>G32+G33+G34</f>
        <v>19997.480000000214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85</v>
      </c>
      <c r="D37" s="8"/>
      <c r="E37" s="8"/>
      <c r="F37" s="9"/>
      <c r="G37" s="35">
        <f>G22+G35</f>
        <v>31887.130000000005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72</v>
      </c>
      <c r="D39" s="8"/>
      <c r="E39" s="8"/>
      <c r="F39" s="9"/>
      <c r="G39" s="35">
        <f>G37/6</f>
        <v>5314.5216666666674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-19997.480000000214</v>
      </c>
    </row>
    <row r="44" spans="2:7" x14ac:dyDescent="0.2">
      <c r="B44" s="4">
        <v>12</v>
      </c>
      <c r="C44" t="s">
        <v>39</v>
      </c>
      <c r="G44" s="42">
        <f>G35</f>
        <v>19997.480000000214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31887.130000000005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31887.130000000005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73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4F66-800D-4BD5-8FAB-F72C253A8B6C}">
  <dimension ref="A1:G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-21370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67">
        <f>'A - 05-31-22'!G33</f>
        <v>43653.779999999912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67">
        <f>'B - 11-30-22'!G35</f>
        <v>-42281.260000000126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31887.130000000005</v>
      </c>
    </row>
    <row r="17" spans="2:7" x14ac:dyDescent="0.2">
      <c r="B17" s="5" t="s">
        <v>87</v>
      </c>
      <c r="C17" s="8" t="s">
        <v>18</v>
      </c>
      <c r="D17" s="8"/>
      <c r="E17" s="8"/>
      <c r="F17" s="11"/>
      <c r="G17" s="12">
        <f>G13+G14+G15+G16</f>
        <v>11889.64999999979</v>
      </c>
    </row>
    <row r="18" spans="2:7" x14ac:dyDescent="0.2">
      <c r="B18" s="4">
        <v>2</v>
      </c>
      <c r="C18" s="13">
        <v>45108</v>
      </c>
      <c r="D18" s="51">
        <f>411640-105</f>
        <v>411535</v>
      </c>
      <c r="E18" s="52">
        <v>526307</v>
      </c>
      <c r="F18" s="14">
        <f t="shared" ref="F18:F25" si="0">D18-E18</f>
        <v>-114772</v>
      </c>
      <c r="G18" s="12">
        <f t="shared" ref="G18:G25" si="1">G17+F18</f>
        <v>-102882.35000000021</v>
      </c>
    </row>
    <row r="19" spans="2:7" x14ac:dyDescent="0.2">
      <c r="B19" s="4">
        <v>3</v>
      </c>
      <c r="C19" s="15">
        <v>45139</v>
      </c>
      <c r="D19" s="53">
        <f>556768-114</f>
        <v>556654</v>
      </c>
      <c r="E19" s="54">
        <v>538889.93999999994</v>
      </c>
      <c r="F19" s="16">
        <f t="shared" si="0"/>
        <v>17764.060000000056</v>
      </c>
      <c r="G19" s="17">
        <f t="shared" si="1"/>
        <v>-85118.290000000154</v>
      </c>
    </row>
    <row r="20" spans="2:7" x14ac:dyDescent="0.2">
      <c r="B20" s="4">
        <v>4</v>
      </c>
      <c r="C20" s="15">
        <v>45170</v>
      </c>
      <c r="D20" s="53">
        <f>566624-0</f>
        <v>566624</v>
      </c>
      <c r="E20" s="54">
        <v>537747.64</v>
      </c>
      <c r="F20" s="16">
        <f t="shared" si="0"/>
        <v>28876.359999999986</v>
      </c>
      <c r="G20" s="17">
        <f t="shared" si="1"/>
        <v>-56241.930000000168</v>
      </c>
    </row>
    <row r="21" spans="2:7" x14ac:dyDescent="0.2">
      <c r="B21" s="4">
        <v>5</v>
      </c>
      <c r="C21" s="15">
        <v>45200</v>
      </c>
      <c r="D21" s="53">
        <f>366780-0</f>
        <v>366780</v>
      </c>
      <c r="E21" s="54">
        <v>339141.46</v>
      </c>
      <c r="F21" s="16">
        <f t="shared" si="0"/>
        <v>27638.539999999979</v>
      </c>
      <c r="G21" s="17">
        <f t="shared" si="1"/>
        <v>-28603.390000000189</v>
      </c>
    </row>
    <row r="22" spans="2:7" x14ac:dyDescent="0.2">
      <c r="B22" s="4">
        <v>6</v>
      </c>
      <c r="C22" s="15">
        <v>45231</v>
      </c>
      <c r="D22" s="53">
        <f>314382-91</f>
        <v>314291</v>
      </c>
      <c r="E22" s="54">
        <v>353046.21</v>
      </c>
      <c r="F22" s="16">
        <f t="shared" si="0"/>
        <v>-38755.210000000021</v>
      </c>
      <c r="G22" s="17">
        <f t="shared" si="1"/>
        <v>-67358.60000000021</v>
      </c>
    </row>
    <row r="23" spans="2:7" x14ac:dyDescent="0.2">
      <c r="B23" s="4">
        <v>7</v>
      </c>
      <c r="C23" s="15">
        <v>45261</v>
      </c>
      <c r="D23" s="53">
        <f>484549-110</f>
        <v>484439</v>
      </c>
      <c r="E23" s="54">
        <v>538886.68000000005</v>
      </c>
      <c r="F23" s="18">
        <f t="shared" si="0"/>
        <v>-54447.680000000051</v>
      </c>
      <c r="G23" s="19">
        <f t="shared" si="1"/>
        <v>-121806.28000000026</v>
      </c>
    </row>
    <row r="24" spans="2:7" x14ac:dyDescent="0.2">
      <c r="B24" s="20" t="s">
        <v>19</v>
      </c>
      <c r="C24" s="13">
        <v>45292</v>
      </c>
      <c r="D24" s="51">
        <f>544285-110</f>
        <v>544175</v>
      </c>
      <c r="E24" s="52">
        <v>603345.31999999995</v>
      </c>
      <c r="F24" s="14">
        <f t="shared" si="0"/>
        <v>-59170.319999999949</v>
      </c>
      <c r="G24" s="12">
        <f t="shared" si="1"/>
        <v>-180976.60000000021</v>
      </c>
    </row>
    <row r="25" spans="2:7" x14ac:dyDescent="0.2">
      <c r="B25" s="62" t="s">
        <v>20</v>
      </c>
      <c r="C25" s="22">
        <v>45323</v>
      </c>
      <c r="D25" s="60">
        <f>705794-103</f>
        <v>705691</v>
      </c>
      <c r="E25" s="61">
        <v>588936.61</v>
      </c>
      <c r="F25" s="18">
        <f t="shared" si="0"/>
        <v>116754.39000000001</v>
      </c>
      <c r="G25" s="19">
        <f t="shared" si="1"/>
        <v>-64222.210000000196</v>
      </c>
    </row>
    <row r="26" spans="2:7" x14ac:dyDescent="0.2">
      <c r="B26" s="5"/>
      <c r="C26" s="23" t="s">
        <v>88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69" t="s">
        <v>89</v>
      </c>
      <c r="D33" s="70">
        <f>-G13</f>
        <v>21370</v>
      </c>
      <c r="E33" s="70">
        <f>D66</f>
        <v>0</v>
      </c>
      <c r="F33" s="39"/>
      <c r="G33" s="71">
        <f t="shared" ref="G33:G36" si="2">D33+E33</f>
        <v>21370</v>
      </c>
    </row>
    <row r="34" spans="2:7" x14ac:dyDescent="0.2">
      <c r="B34" s="27" t="s">
        <v>35</v>
      </c>
      <c r="C34" s="72" t="s">
        <v>77</v>
      </c>
      <c r="D34" s="33">
        <f>-G14</f>
        <v>-43653.779999999912</v>
      </c>
      <c r="E34" s="33">
        <v>0</v>
      </c>
      <c r="G34" s="41">
        <f t="shared" si="2"/>
        <v>-43653.779999999912</v>
      </c>
    </row>
    <row r="35" spans="2:7" x14ac:dyDescent="0.2">
      <c r="B35" s="27" t="s">
        <v>78</v>
      </c>
      <c r="C35" s="72" t="s">
        <v>83</v>
      </c>
      <c r="D35" s="33">
        <f>-G15</f>
        <v>42281.260000000126</v>
      </c>
      <c r="E35" s="33">
        <v>0</v>
      </c>
      <c r="G35" s="41">
        <f t="shared" si="2"/>
        <v>42281.260000000126</v>
      </c>
    </row>
    <row r="36" spans="2:7" x14ac:dyDescent="0.2">
      <c r="B36" s="27" t="s">
        <v>84</v>
      </c>
      <c r="C36" s="73" t="s">
        <v>90</v>
      </c>
      <c r="D36" s="74">
        <f>-G16</f>
        <v>-31887.130000000005</v>
      </c>
      <c r="E36" s="74">
        <v>0</v>
      </c>
      <c r="F36" s="44"/>
      <c r="G36" s="42">
        <f t="shared" si="2"/>
        <v>-31887.130000000005</v>
      </c>
    </row>
    <row r="37" spans="2:7" x14ac:dyDescent="0.2">
      <c r="B37" s="5" t="s">
        <v>91</v>
      </c>
      <c r="C37" s="29"/>
      <c r="D37" s="30"/>
      <c r="E37" s="30"/>
      <c r="F37" s="31" t="s">
        <v>36</v>
      </c>
      <c r="G37" s="19">
        <f>G33+G34+G35+G36</f>
        <v>-11889.64999999979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92</v>
      </c>
      <c r="D39" s="8"/>
      <c r="E39" s="8"/>
      <c r="F39" s="9"/>
      <c r="G39" s="35">
        <f>G23+G37</f>
        <v>-133695.93000000005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72</v>
      </c>
      <c r="D41" s="8"/>
      <c r="E41" s="8"/>
      <c r="F41" s="9"/>
      <c r="G41" s="35">
        <f>G39/6</f>
        <v>-22282.65500000001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11889.64999999979</v>
      </c>
    </row>
    <row r="46" spans="2:7" x14ac:dyDescent="0.2">
      <c r="B46" s="4">
        <v>12</v>
      </c>
      <c r="C46" t="s">
        <v>39</v>
      </c>
      <c r="G46" s="42">
        <f>G37</f>
        <v>-11889.64999999979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-133695.93000000005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-133695.93000000005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73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11E9-B51C-43EA-AE58-EED616C3D93C}">
  <dimension ref="A1:G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-21370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67">
        <f>'A - 05-31-22'!G33</f>
        <v>43653.779999999912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67">
        <f>'B - 11-30-22'!G35</f>
        <v>-42281.260000000126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31887.130000000005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-133695.93000000005</v>
      </c>
    </row>
    <row r="18" spans="2:7" x14ac:dyDescent="0.2">
      <c r="B18" s="5" t="s">
        <v>94</v>
      </c>
      <c r="C18" s="8" t="s">
        <v>18</v>
      </c>
      <c r="D18" s="8"/>
      <c r="E18" s="8"/>
      <c r="F18" s="11"/>
      <c r="G18" s="12">
        <f>G13+G14+G15+G16+G17</f>
        <v>-121806.28000000026</v>
      </c>
    </row>
    <row r="19" spans="2:7" x14ac:dyDescent="0.2">
      <c r="B19" s="4">
        <v>2</v>
      </c>
      <c r="C19" s="13">
        <v>45292</v>
      </c>
      <c r="D19" s="51">
        <f>544285-110</f>
        <v>544175</v>
      </c>
      <c r="E19" s="52">
        <v>603345.31999999995</v>
      </c>
      <c r="F19" s="14">
        <f t="shared" ref="F19:F26" si="0">D19-E19</f>
        <v>-59170.319999999949</v>
      </c>
      <c r="G19" s="12">
        <f t="shared" ref="G19:G26" si="1">G18+F19</f>
        <v>-180976.60000000021</v>
      </c>
    </row>
    <row r="20" spans="2:7" x14ac:dyDescent="0.2">
      <c r="B20" s="4">
        <v>3</v>
      </c>
      <c r="C20" s="15">
        <v>45323</v>
      </c>
      <c r="D20" s="53">
        <f>705794-103</f>
        <v>705691</v>
      </c>
      <c r="E20" s="54">
        <v>588936.61</v>
      </c>
      <c r="F20" s="16">
        <f t="shared" si="0"/>
        <v>116754.39000000001</v>
      </c>
      <c r="G20" s="17">
        <f t="shared" si="1"/>
        <v>-64222.210000000196</v>
      </c>
    </row>
    <row r="21" spans="2:7" x14ac:dyDescent="0.2">
      <c r="B21" s="4">
        <v>4</v>
      </c>
      <c r="C21" s="15">
        <v>45352</v>
      </c>
      <c r="D21" s="53">
        <f>485222-99</f>
        <v>485123</v>
      </c>
      <c r="E21" s="54">
        <v>399937.19</v>
      </c>
      <c r="F21" s="16">
        <f t="shared" si="0"/>
        <v>85185.81</v>
      </c>
      <c r="G21" s="17">
        <f t="shared" si="1"/>
        <v>20963.599999999802</v>
      </c>
    </row>
    <row r="22" spans="2:7" x14ac:dyDescent="0.2">
      <c r="B22" s="4">
        <v>5</v>
      </c>
      <c r="C22" s="15">
        <v>45383</v>
      </c>
      <c r="D22" s="53">
        <f>289375-71</f>
        <v>289304</v>
      </c>
      <c r="E22" s="54">
        <v>281745.93</v>
      </c>
      <c r="F22" s="16">
        <f t="shared" si="0"/>
        <v>7558.070000000007</v>
      </c>
      <c r="G22" s="17">
        <f t="shared" si="1"/>
        <v>28521.669999999809</v>
      </c>
    </row>
    <row r="23" spans="2:7" x14ac:dyDescent="0.2">
      <c r="B23" s="4">
        <v>6</v>
      </c>
      <c r="C23" s="15">
        <v>45413</v>
      </c>
      <c r="D23" s="53">
        <f>296939-97</f>
        <v>296842</v>
      </c>
      <c r="E23" s="54">
        <v>348335.84</v>
      </c>
      <c r="F23" s="16">
        <f t="shared" si="0"/>
        <v>-51493.840000000026</v>
      </c>
      <c r="G23" s="17">
        <f t="shared" si="1"/>
        <v>-22972.170000000217</v>
      </c>
    </row>
    <row r="24" spans="2:7" x14ac:dyDescent="0.2">
      <c r="B24" s="4">
        <v>7</v>
      </c>
      <c r="C24" s="15">
        <v>45444</v>
      </c>
      <c r="D24" s="53">
        <f>412254-117</f>
        <v>412137</v>
      </c>
      <c r="E24" s="54">
        <v>426727.32</v>
      </c>
      <c r="F24" s="18">
        <f t="shared" si="0"/>
        <v>-14590.320000000007</v>
      </c>
      <c r="G24" s="19">
        <f t="shared" si="1"/>
        <v>-37562.490000000224</v>
      </c>
    </row>
    <row r="25" spans="2:7" x14ac:dyDescent="0.2">
      <c r="B25" s="20" t="s">
        <v>19</v>
      </c>
      <c r="C25" s="13">
        <v>45474</v>
      </c>
      <c r="D25" s="51">
        <f>606947-147</f>
        <v>606800</v>
      </c>
      <c r="E25" s="52">
        <v>631443.38</v>
      </c>
      <c r="F25" s="14">
        <f t="shared" si="0"/>
        <v>-24643.380000000005</v>
      </c>
      <c r="G25" s="12">
        <f t="shared" si="1"/>
        <v>-62205.870000000228</v>
      </c>
    </row>
    <row r="26" spans="2:7" x14ac:dyDescent="0.2">
      <c r="B26" s="62" t="s">
        <v>20</v>
      </c>
      <c r="C26" s="22">
        <v>45505</v>
      </c>
      <c r="D26" s="60">
        <f>594014-0</f>
        <v>594014</v>
      </c>
      <c r="E26" s="61">
        <v>599557.39</v>
      </c>
      <c r="F26" s="18">
        <f t="shared" si="0"/>
        <v>-5543.390000000014</v>
      </c>
      <c r="G26" s="19">
        <f t="shared" si="1"/>
        <v>-67749.260000000242</v>
      </c>
    </row>
    <row r="27" spans="2:7" x14ac:dyDescent="0.2">
      <c r="B27" s="5"/>
      <c r="C27" s="23" t="s">
        <v>95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89</v>
      </c>
      <c r="D34" s="12">
        <f>-G13</f>
        <v>21370</v>
      </c>
      <c r="E34" s="12">
        <f>D68</f>
        <v>-14248</v>
      </c>
      <c r="F34" s="1"/>
      <c r="G34" s="12">
        <f t="shared" ref="G34:G38" si="2">D34+E34</f>
        <v>7122</v>
      </c>
    </row>
    <row r="35" spans="2:7" x14ac:dyDescent="0.2">
      <c r="B35" s="27" t="s">
        <v>35</v>
      </c>
      <c r="C35" s="3" t="s">
        <v>77</v>
      </c>
      <c r="D35" s="17">
        <f>-G14</f>
        <v>-43653.779999999912</v>
      </c>
      <c r="E35" s="17">
        <v>0</v>
      </c>
      <c r="F35" s="3"/>
      <c r="G35" s="17">
        <f t="shared" si="2"/>
        <v>-43653.779999999912</v>
      </c>
    </row>
    <row r="36" spans="2:7" x14ac:dyDescent="0.2">
      <c r="B36" s="27" t="s">
        <v>78</v>
      </c>
      <c r="C36" s="3" t="s">
        <v>83</v>
      </c>
      <c r="D36" s="17">
        <f>-G15</f>
        <v>42281.260000000126</v>
      </c>
      <c r="E36" s="17">
        <v>0</v>
      </c>
      <c r="F36" s="3"/>
      <c r="G36" s="17">
        <f t="shared" si="2"/>
        <v>42281.260000000126</v>
      </c>
    </row>
    <row r="37" spans="2:7" x14ac:dyDescent="0.2">
      <c r="B37" s="27" t="s">
        <v>84</v>
      </c>
      <c r="C37" s="3" t="s">
        <v>90</v>
      </c>
      <c r="D37" s="17">
        <f>-G16</f>
        <v>-31887.130000000005</v>
      </c>
      <c r="E37" s="17">
        <v>0</v>
      </c>
      <c r="F37" s="3"/>
      <c r="G37" s="17">
        <f t="shared" si="2"/>
        <v>-31887.130000000005</v>
      </c>
    </row>
    <row r="38" spans="2:7" x14ac:dyDescent="0.2">
      <c r="B38" s="27" t="s">
        <v>91</v>
      </c>
      <c r="C38" s="28" t="s">
        <v>96</v>
      </c>
      <c r="D38" s="19">
        <f>-G17</f>
        <v>133695.93000000005</v>
      </c>
      <c r="E38" s="19">
        <v>0</v>
      </c>
      <c r="F38" s="28"/>
      <c r="G38" s="19">
        <f t="shared" si="2"/>
        <v>133695.93000000005</v>
      </c>
    </row>
    <row r="39" spans="2:7" x14ac:dyDescent="0.2">
      <c r="B39" s="5" t="s">
        <v>97</v>
      </c>
      <c r="C39" s="29"/>
      <c r="D39" s="30"/>
      <c r="E39" s="30"/>
      <c r="F39" s="31" t="s">
        <v>36</v>
      </c>
      <c r="G39" s="19">
        <f>G34+G35+G36+G37+G38</f>
        <v>107558.28000000026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98</v>
      </c>
      <c r="D41" s="8"/>
      <c r="E41" s="8"/>
      <c r="F41" s="9"/>
      <c r="G41" s="35">
        <f>G24+G39</f>
        <v>69995.790000000037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72</v>
      </c>
      <c r="D43" s="8"/>
      <c r="E43" s="8"/>
      <c r="F43" s="9"/>
      <c r="G43" s="35">
        <f>G41/6</f>
        <v>11665.965000000006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-121806.28000000026</v>
      </c>
    </row>
    <row r="48" spans="2:7" x14ac:dyDescent="0.2">
      <c r="B48" s="4">
        <v>12</v>
      </c>
      <c r="C48" t="s">
        <v>39</v>
      </c>
      <c r="G48" s="42">
        <f>G39</f>
        <v>107558.28000000026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-14248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69995.790000000037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84243.790000000037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-14248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73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-3562</v>
      </c>
      <c r="E64" s="16"/>
      <c r="F64" s="33"/>
      <c r="G64" s="33"/>
    </row>
    <row r="65" spans="3:7" x14ac:dyDescent="0.2">
      <c r="C65" s="15">
        <v>45383</v>
      </c>
      <c r="D65" s="17">
        <v>-3562</v>
      </c>
      <c r="E65" s="16"/>
      <c r="F65" s="33"/>
      <c r="G65" s="33"/>
    </row>
    <row r="66" spans="3:7" x14ac:dyDescent="0.2">
      <c r="C66" s="15">
        <v>45413</v>
      </c>
      <c r="D66" s="17">
        <v>-3562</v>
      </c>
      <c r="E66" s="16"/>
      <c r="F66" s="33"/>
      <c r="G66" s="33"/>
    </row>
    <row r="67" spans="3:7" x14ac:dyDescent="0.2">
      <c r="C67" s="15">
        <v>45444</v>
      </c>
      <c r="D67" s="19">
        <v>-3562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-14248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4F22-1927-429E-B00F-524303676091}">
  <dimension ref="A1:G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Clark Energy Surcharge Summary.xlsx</v>
      </c>
    </row>
    <row r="4" spans="1:7" ht="14.25" customHeight="1" x14ac:dyDescent="0.2">
      <c r="B4" s="75" t="s">
        <v>52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81" t="s">
        <v>15</v>
      </c>
      <c r="D12" s="82"/>
      <c r="E12" s="82"/>
      <c r="F12" s="82"/>
      <c r="G12" s="83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-7122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67">
        <f>'A - 05-31-22'!G33</f>
        <v>43653.779999999912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67">
        <f>'B - 11-30-22'!G35</f>
        <v>-42281.260000000126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31887.130000000005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-133695.93000000005</v>
      </c>
    </row>
    <row r="18" spans="2:7" x14ac:dyDescent="0.2">
      <c r="B18" s="4" t="s">
        <v>94</v>
      </c>
      <c r="C18" s="8" t="s">
        <v>99</v>
      </c>
      <c r="D18" s="8"/>
      <c r="E18" s="8"/>
      <c r="F18" s="11"/>
      <c r="G18" s="51">
        <f>'E - 05-31-24'!G41</f>
        <v>69995.790000000037</v>
      </c>
    </row>
    <row r="19" spans="2:7" x14ac:dyDescent="0.2">
      <c r="B19" s="5" t="s">
        <v>100</v>
      </c>
      <c r="C19" s="8" t="s">
        <v>18</v>
      </c>
      <c r="D19" s="8"/>
      <c r="E19" s="8"/>
      <c r="F19" s="11"/>
      <c r="G19" s="12">
        <f>G13+G14+G15+G16+G17+G18</f>
        <v>-37562.490000000224</v>
      </c>
    </row>
    <row r="20" spans="2:7" x14ac:dyDescent="0.2">
      <c r="B20" s="4">
        <v>2</v>
      </c>
      <c r="C20" s="13">
        <v>45474</v>
      </c>
      <c r="D20" s="51">
        <f>606947-147</f>
        <v>606800</v>
      </c>
      <c r="E20" s="52">
        <v>631443.38</v>
      </c>
      <c r="F20" s="14">
        <f t="shared" ref="F20:F27" si="0">D20-E20</f>
        <v>-24643.380000000005</v>
      </c>
      <c r="G20" s="12">
        <f t="shared" ref="G20:G27" si="1">G19+F20</f>
        <v>-62205.870000000228</v>
      </c>
    </row>
    <row r="21" spans="2:7" x14ac:dyDescent="0.2">
      <c r="B21" s="4">
        <v>3</v>
      </c>
      <c r="C21" s="15">
        <v>45505</v>
      </c>
      <c r="D21" s="53">
        <f>594014-0</f>
        <v>594014</v>
      </c>
      <c r="E21" s="54">
        <v>599557.39</v>
      </c>
      <c r="F21" s="16">
        <f t="shared" si="0"/>
        <v>-5543.390000000014</v>
      </c>
      <c r="G21" s="17">
        <f t="shared" si="1"/>
        <v>-67749.260000000242</v>
      </c>
    </row>
    <row r="22" spans="2:7" x14ac:dyDescent="0.2">
      <c r="B22" s="4">
        <v>4</v>
      </c>
      <c r="C22" s="15">
        <v>45536</v>
      </c>
      <c r="D22" s="53">
        <f>511328-0</f>
        <v>511328</v>
      </c>
      <c r="E22" s="54">
        <v>471624.63</v>
      </c>
      <c r="F22" s="16">
        <f t="shared" si="0"/>
        <v>39703.369999999995</v>
      </c>
      <c r="G22" s="17">
        <f t="shared" si="1"/>
        <v>-28045.890000000247</v>
      </c>
    </row>
    <row r="23" spans="2:7" x14ac:dyDescent="0.2">
      <c r="B23" s="4">
        <v>5</v>
      </c>
      <c r="C23" s="15">
        <v>45566</v>
      </c>
      <c r="D23" s="53">
        <f>470932-0</f>
        <v>470932</v>
      </c>
      <c r="E23" s="54">
        <v>444058.06</v>
      </c>
      <c r="F23" s="16">
        <f t="shared" si="0"/>
        <v>26873.940000000002</v>
      </c>
      <c r="G23" s="17">
        <f t="shared" si="1"/>
        <v>-1171.9500000002445</v>
      </c>
    </row>
    <row r="24" spans="2:7" x14ac:dyDescent="0.2">
      <c r="B24" s="4">
        <v>6</v>
      </c>
      <c r="C24" s="15">
        <v>45597</v>
      </c>
      <c r="D24" s="53">
        <f>383447-132</f>
        <v>383315</v>
      </c>
      <c r="E24" s="54">
        <v>457956.74</v>
      </c>
      <c r="F24" s="16">
        <f t="shared" si="0"/>
        <v>-74641.739999999991</v>
      </c>
      <c r="G24" s="17">
        <f t="shared" si="1"/>
        <v>-75813.690000000235</v>
      </c>
    </row>
    <row r="25" spans="2:7" x14ac:dyDescent="0.2">
      <c r="B25" s="4">
        <v>7</v>
      </c>
      <c r="C25" s="15">
        <v>45627</v>
      </c>
      <c r="D25" s="53">
        <f>467164-145</f>
        <v>467019</v>
      </c>
      <c r="E25" s="54">
        <v>567307.62</v>
      </c>
      <c r="F25" s="18">
        <f t="shared" si="0"/>
        <v>-100288.62</v>
      </c>
      <c r="G25" s="19">
        <f t="shared" si="1"/>
        <v>-176102.31000000023</v>
      </c>
    </row>
    <row r="26" spans="2:7" x14ac:dyDescent="0.2">
      <c r="B26" s="20" t="s">
        <v>19</v>
      </c>
      <c r="C26" s="13">
        <v>45658</v>
      </c>
      <c r="D26" s="51">
        <f>743434-172</f>
        <v>743262</v>
      </c>
      <c r="E26" s="52">
        <v>811658.19</v>
      </c>
      <c r="F26" s="14">
        <f t="shared" si="0"/>
        <v>-68396.189999999944</v>
      </c>
      <c r="G26" s="12">
        <f t="shared" si="1"/>
        <v>-244498.50000000017</v>
      </c>
    </row>
    <row r="27" spans="2:7" x14ac:dyDescent="0.2">
      <c r="B27" s="62" t="s">
        <v>20</v>
      </c>
      <c r="C27" s="22">
        <v>45689</v>
      </c>
      <c r="D27" s="60">
        <f>976934-161</f>
        <v>976773</v>
      </c>
      <c r="E27" s="61">
        <f>793370</f>
        <v>793370</v>
      </c>
      <c r="F27" s="18">
        <f t="shared" si="0"/>
        <v>183403</v>
      </c>
      <c r="G27" s="19">
        <f t="shared" si="1"/>
        <v>-61095.500000000175</v>
      </c>
    </row>
    <row r="28" spans="2:7" x14ac:dyDescent="0.2">
      <c r="B28" s="5"/>
      <c r="C28" s="23" t="s">
        <v>101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89</v>
      </c>
      <c r="D35" s="12">
        <f t="shared" ref="D35:D40" si="2">-G13</f>
        <v>7122</v>
      </c>
      <c r="E35" s="12">
        <f>D70</f>
        <v>-7122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77</v>
      </c>
      <c r="D36" s="17">
        <f t="shared" si="2"/>
        <v>-43653.779999999912</v>
      </c>
      <c r="E36" s="17">
        <v>0</v>
      </c>
      <c r="F36" s="3"/>
      <c r="G36" s="17">
        <f t="shared" si="3"/>
        <v>-43653.779999999912</v>
      </c>
    </row>
    <row r="37" spans="2:7" x14ac:dyDescent="0.2">
      <c r="B37" s="27" t="s">
        <v>78</v>
      </c>
      <c r="C37" s="3" t="s">
        <v>83</v>
      </c>
      <c r="D37" s="17">
        <f t="shared" si="2"/>
        <v>42281.260000000126</v>
      </c>
      <c r="E37" s="17">
        <v>0</v>
      </c>
      <c r="F37" s="3"/>
      <c r="G37" s="17">
        <f t="shared" si="3"/>
        <v>42281.260000000126</v>
      </c>
    </row>
    <row r="38" spans="2:7" x14ac:dyDescent="0.2">
      <c r="B38" s="27" t="s">
        <v>84</v>
      </c>
      <c r="C38" s="3" t="s">
        <v>90</v>
      </c>
      <c r="D38" s="17">
        <f t="shared" si="2"/>
        <v>-31887.130000000005</v>
      </c>
      <c r="E38" s="17">
        <v>0</v>
      </c>
      <c r="F38" s="3"/>
      <c r="G38" s="17">
        <f t="shared" si="3"/>
        <v>-31887.130000000005</v>
      </c>
    </row>
    <row r="39" spans="2:7" x14ac:dyDescent="0.2">
      <c r="B39" s="27" t="s">
        <v>91</v>
      </c>
      <c r="C39" s="3" t="s">
        <v>96</v>
      </c>
      <c r="D39" s="17">
        <f t="shared" si="2"/>
        <v>133695.93000000005</v>
      </c>
      <c r="E39" s="17">
        <v>0</v>
      </c>
      <c r="F39" s="3"/>
      <c r="G39" s="17">
        <f t="shared" si="3"/>
        <v>133695.93000000005</v>
      </c>
    </row>
    <row r="40" spans="2:7" x14ac:dyDescent="0.2">
      <c r="B40" s="27" t="s">
        <v>97</v>
      </c>
      <c r="C40" s="28" t="s">
        <v>102</v>
      </c>
      <c r="D40" s="19">
        <f t="shared" si="2"/>
        <v>-69995.790000000037</v>
      </c>
      <c r="E40" s="19">
        <v>0</v>
      </c>
      <c r="F40" s="28"/>
      <c r="G40" s="19">
        <f t="shared" si="3"/>
        <v>-69995.790000000037</v>
      </c>
    </row>
    <row r="41" spans="2:7" x14ac:dyDescent="0.2">
      <c r="B41" s="5" t="s">
        <v>103</v>
      </c>
      <c r="C41" s="29"/>
      <c r="D41" s="30"/>
      <c r="E41" s="30"/>
      <c r="F41" s="31" t="s">
        <v>36</v>
      </c>
      <c r="G41" s="19">
        <f>G35+G36+G37+G38+G39+G40</f>
        <v>30440.490000000224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-145661.82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72</v>
      </c>
      <c r="D45" s="8"/>
      <c r="E45" s="8"/>
      <c r="F45" s="9"/>
      <c r="G45" s="35">
        <f>G43/6</f>
        <v>-24276.97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-37562.490000000224</v>
      </c>
    </row>
    <row r="50" spans="2:7" x14ac:dyDescent="0.2">
      <c r="B50" s="4">
        <v>12</v>
      </c>
      <c r="C50" t="s">
        <v>39</v>
      </c>
      <c r="G50" s="42">
        <f>G41</f>
        <v>30440.490000000224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-7122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-145661.82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-138539.82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-7122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73</v>
      </c>
      <c r="E63" s="27"/>
      <c r="F63" s="32"/>
      <c r="G63" s="32"/>
    </row>
    <row r="64" spans="2:7" x14ac:dyDescent="0.2">
      <c r="C64" s="13">
        <v>45474</v>
      </c>
      <c r="D64" s="12">
        <v>-3562</v>
      </c>
      <c r="E64" s="16"/>
      <c r="F64" s="33"/>
      <c r="G64" s="33"/>
    </row>
    <row r="65" spans="3:7" x14ac:dyDescent="0.2">
      <c r="C65" s="15">
        <v>45505</v>
      </c>
      <c r="D65" s="17">
        <v>-3560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-7122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2025-10-15T15:34:54Z</dcterms:modified>
</cp:coreProperties>
</file>