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te Schedules\Environmental Surcharge Case 2025-00266\"/>
    </mc:Choice>
  </mc:AlternateContent>
  <xr:revisionPtr revIDLastSave="0" documentId="13_ncr:1_{59515D5A-703E-4397-A380-AF7CE727DC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 Recovery" sheetId="1" r:id="rId1"/>
    <sheet name="Recover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0">'No Recovery'!$B$4:$T$277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8" i="3" l="1"/>
  <c r="I286" i="3"/>
  <c r="H286" i="3"/>
  <c r="G286" i="3"/>
  <c r="F286" i="3"/>
  <c r="E286" i="3"/>
  <c r="I285" i="3"/>
  <c r="I284" i="3"/>
  <c r="G284" i="3"/>
  <c r="I282" i="3"/>
  <c r="H282" i="3"/>
  <c r="G282" i="3"/>
  <c r="F282" i="3"/>
  <c r="E282" i="3"/>
  <c r="I281" i="3"/>
  <c r="I280" i="3"/>
  <c r="X273" i="3"/>
  <c r="R273" i="3"/>
  <c r="J273" i="3"/>
  <c r="I273" i="3"/>
  <c r="F273" i="3"/>
  <c r="K273" i="3" s="1"/>
  <c r="M273" i="3" s="1"/>
  <c r="O273" i="3" s="1"/>
  <c r="X272" i="3"/>
  <c r="R272" i="3"/>
  <c r="I272" i="3"/>
  <c r="F272" i="3"/>
  <c r="X271" i="3"/>
  <c r="S271" i="3"/>
  <c r="R271" i="3"/>
  <c r="I271" i="3"/>
  <c r="F271" i="3"/>
  <c r="X270" i="3"/>
  <c r="S270" i="3"/>
  <c r="R270" i="3"/>
  <c r="J270" i="3"/>
  <c r="K270" i="3" s="1"/>
  <c r="M270" i="3" s="1"/>
  <c r="O270" i="3" s="1"/>
  <c r="T270" i="3" s="1"/>
  <c r="I270" i="3"/>
  <c r="F270" i="3"/>
  <c r="X269" i="3"/>
  <c r="R269" i="3"/>
  <c r="K269" i="3"/>
  <c r="M269" i="3" s="1"/>
  <c r="O269" i="3" s="1"/>
  <c r="J269" i="3"/>
  <c r="I269" i="3"/>
  <c r="F269" i="3"/>
  <c r="X268" i="3"/>
  <c r="S268" i="3"/>
  <c r="R268" i="3"/>
  <c r="J268" i="3"/>
  <c r="K268" i="3" s="1"/>
  <c r="M268" i="3" s="1"/>
  <c r="O268" i="3" s="1"/>
  <c r="I268" i="3"/>
  <c r="F268" i="3"/>
  <c r="X267" i="3"/>
  <c r="R267" i="3"/>
  <c r="K267" i="3"/>
  <c r="M267" i="3" s="1"/>
  <c r="O267" i="3" s="1"/>
  <c r="J267" i="3"/>
  <c r="I267" i="3"/>
  <c r="F267" i="3"/>
  <c r="X266" i="3"/>
  <c r="S266" i="3"/>
  <c r="R266" i="3"/>
  <c r="J266" i="3"/>
  <c r="K266" i="3" s="1"/>
  <c r="M266" i="3" s="1"/>
  <c r="O266" i="3" s="1"/>
  <c r="I266" i="3"/>
  <c r="F266" i="3"/>
  <c r="X265" i="3"/>
  <c r="R265" i="3"/>
  <c r="K265" i="3"/>
  <c r="M265" i="3" s="1"/>
  <c r="O265" i="3" s="1"/>
  <c r="J265" i="3"/>
  <c r="I265" i="3"/>
  <c r="F265" i="3"/>
  <c r="X264" i="3"/>
  <c r="R264" i="3"/>
  <c r="J264" i="3"/>
  <c r="K264" i="3" s="1"/>
  <c r="M264" i="3" s="1"/>
  <c r="O264" i="3" s="1"/>
  <c r="I264" i="3"/>
  <c r="F264" i="3"/>
  <c r="X263" i="3"/>
  <c r="R263" i="3"/>
  <c r="K263" i="3"/>
  <c r="M263" i="3" s="1"/>
  <c r="O263" i="3" s="1"/>
  <c r="J263" i="3"/>
  <c r="I263" i="3"/>
  <c r="F263" i="3"/>
  <c r="X262" i="3"/>
  <c r="R262" i="3"/>
  <c r="S273" i="3" s="1"/>
  <c r="J262" i="3"/>
  <c r="K262" i="3" s="1"/>
  <c r="M262" i="3" s="1"/>
  <c r="O262" i="3" s="1"/>
  <c r="I262" i="3"/>
  <c r="F262" i="3"/>
  <c r="V261" i="3"/>
  <c r="X261" i="3" s="1"/>
  <c r="R261" i="3"/>
  <c r="S272" i="3" s="1"/>
  <c r="I261" i="3"/>
  <c r="J271" i="3" s="1"/>
  <c r="K271" i="3" s="1"/>
  <c r="M271" i="3" s="1"/>
  <c r="O271" i="3" s="1"/>
  <c r="T271" i="3" s="1"/>
  <c r="F261" i="3"/>
  <c r="X260" i="3"/>
  <c r="R260" i="3"/>
  <c r="K260" i="3"/>
  <c r="M260" i="3" s="1"/>
  <c r="O260" i="3" s="1"/>
  <c r="I260" i="3"/>
  <c r="F260" i="3"/>
  <c r="X259" i="3"/>
  <c r="R259" i="3"/>
  <c r="M259" i="3"/>
  <c r="O259" i="3" s="1"/>
  <c r="K259" i="3"/>
  <c r="J259" i="3"/>
  <c r="I259" i="3"/>
  <c r="F259" i="3"/>
  <c r="X258" i="3"/>
  <c r="R258" i="3"/>
  <c r="S269" i="3" s="1"/>
  <c r="J258" i="3"/>
  <c r="I258" i="3"/>
  <c r="F258" i="3"/>
  <c r="K258" i="3" s="1"/>
  <c r="M258" i="3" s="1"/>
  <c r="O258" i="3" s="1"/>
  <c r="X257" i="3"/>
  <c r="R257" i="3"/>
  <c r="M257" i="3"/>
  <c r="O257" i="3" s="1"/>
  <c r="K257" i="3"/>
  <c r="J257" i="3"/>
  <c r="I257" i="3"/>
  <c r="F257" i="3"/>
  <c r="X256" i="3"/>
  <c r="R256" i="3"/>
  <c r="J256" i="3"/>
  <c r="I256" i="3"/>
  <c r="F256" i="3"/>
  <c r="K256" i="3" s="1"/>
  <c r="M256" i="3" s="1"/>
  <c r="O256" i="3" s="1"/>
  <c r="X255" i="3"/>
  <c r="R255" i="3"/>
  <c r="M255" i="3"/>
  <c r="O255" i="3" s="1"/>
  <c r="K255" i="3"/>
  <c r="J255" i="3"/>
  <c r="I255" i="3"/>
  <c r="F255" i="3"/>
  <c r="X254" i="3"/>
  <c r="R254" i="3"/>
  <c r="S254" i="3" s="1"/>
  <c r="T255" i="3" s="1"/>
  <c r="M254" i="3"/>
  <c r="O254" i="3" s="1"/>
  <c r="J254" i="3"/>
  <c r="K254" i="3" s="1"/>
  <c r="I254" i="3"/>
  <c r="F254" i="3"/>
  <c r="X253" i="3"/>
  <c r="R253" i="3"/>
  <c r="M253" i="3"/>
  <c r="O253" i="3" s="1"/>
  <c r="K253" i="3"/>
  <c r="J253" i="3"/>
  <c r="I253" i="3"/>
  <c r="F253" i="3"/>
  <c r="X252" i="3"/>
  <c r="R252" i="3"/>
  <c r="S263" i="3" s="1"/>
  <c r="J252" i="3"/>
  <c r="K252" i="3" s="1"/>
  <c r="M252" i="3" s="1"/>
  <c r="O252" i="3" s="1"/>
  <c r="I252" i="3"/>
  <c r="F252" i="3"/>
  <c r="X251" i="3"/>
  <c r="R251" i="3"/>
  <c r="M251" i="3"/>
  <c r="O251" i="3" s="1"/>
  <c r="K251" i="3"/>
  <c r="J251" i="3"/>
  <c r="I251" i="3"/>
  <c r="J261" i="3" s="1"/>
  <c r="K261" i="3" s="1"/>
  <c r="M261" i="3" s="1"/>
  <c r="O261" i="3" s="1"/>
  <c r="F251" i="3"/>
  <c r="X250" i="3"/>
  <c r="R250" i="3"/>
  <c r="S250" i="3" s="1"/>
  <c r="J250" i="3"/>
  <c r="I250" i="3"/>
  <c r="F250" i="3"/>
  <c r="K250" i="3" s="1"/>
  <c r="M250" i="3" s="1"/>
  <c r="O250" i="3" s="1"/>
  <c r="X249" i="3"/>
  <c r="R249" i="3"/>
  <c r="M249" i="3"/>
  <c r="O249" i="3" s="1"/>
  <c r="K249" i="3"/>
  <c r="J249" i="3"/>
  <c r="I249" i="3"/>
  <c r="J260" i="3" s="1"/>
  <c r="F249" i="3"/>
  <c r="X248" i="3"/>
  <c r="R248" i="3"/>
  <c r="J248" i="3"/>
  <c r="I248" i="3"/>
  <c r="F248" i="3"/>
  <c r="K248" i="3" s="1"/>
  <c r="M248" i="3" s="1"/>
  <c r="O248" i="3" s="1"/>
  <c r="X247" i="3"/>
  <c r="R247" i="3"/>
  <c r="M247" i="3"/>
  <c r="O247" i="3" s="1"/>
  <c r="K247" i="3"/>
  <c r="J247" i="3"/>
  <c r="I247" i="3"/>
  <c r="F247" i="3"/>
  <c r="X246" i="3"/>
  <c r="R246" i="3"/>
  <c r="K246" i="3"/>
  <c r="M246" i="3" s="1"/>
  <c r="O246" i="3" s="1"/>
  <c r="J246" i="3"/>
  <c r="I246" i="3"/>
  <c r="F246" i="3"/>
  <c r="X245" i="3"/>
  <c r="R245" i="3"/>
  <c r="M245" i="3"/>
  <c r="O245" i="3" s="1"/>
  <c r="K245" i="3"/>
  <c r="J245" i="3"/>
  <c r="I245" i="3"/>
  <c r="F245" i="3"/>
  <c r="X244" i="3"/>
  <c r="R244" i="3"/>
  <c r="J244" i="3"/>
  <c r="I244" i="3"/>
  <c r="F244" i="3"/>
  <c r="K244" i="3" s="1"/>
  <c r="M244" i="3" s="1"/>
  <c r="O244" i="3" s="1"/>
  <c r="X243" i="3"/>
  <c r="R243" i="3"/>
  <c r="M243" i="3"/>
  <c r="O243" i="3" s="1"/>
  <c r="K243" i="3"/>
  <c r="J243" i="3"/>
  <c r="I243" i="3"/>
  <c r="F243" i="3"/>
  <c r="X242" i="3"/>
  <c r="R242" i="3"/>
  <c r="J242" i="3"/>
  <c r="I242" i="3"/>
  <c r="F242" i="3"/>
  <c r="K242" i="3" s="1"/>
  <c r="M242" i="3" s="1"/>
  <c r="O242" i="3" s="1"/>
  <c r="X241" i="3"/>
  <c r="R241" i="3"/>
  <c r="M241" i="3"/>
  <c r="O241" i="3" s="1"/>
  <c r="K241" i="3"/>
  <c r="J241" i="3"/>
  <c r="I241" i="3"/>
  <c r="F241" i="3"/>
  <c r="X240" i="3"/>
  <c r="R240" i="3"/>
  <c r="J240" i="3"/>
  <c r="K240" i="3" s="1"/>
  <c r="M240" i="3" s="1"/>
  <c r="O240" i="3" s="1"/>
  <c r="I240" i="3"/>
  <c r="F240" i="3"/>
  <c r="X239" i="3"/>
  <c r="R239" i="3"/>
  <c r="M239" i="3"/>
  <c r="O239" i="3" s="1"/>
  <c r="K239" i="3"/>
  <c r="J239" i="3"/>
  <c r="I239" i="3"/>
  <c r="F239" i="3"/>
  <c r="X238" i="3"/>
  <c r="R238" i="3"/>
  <c r="J238" i="3"/>
  <c r="I238" i="3"/>
  <c r="F238" i="3"/>
  <c r="K238" i="3" s="1"/>
  <c r="M238" i="3" s="1"/>
  <c r="O238" i="3" s="1"/>
  <c r="X237" i="3"/>
  <c r="R237" i="3"/>
  <c r="M237" i="3"/>
  <c r="O237" i="3" s="1"/>
  <c r="K237" i="3"/>
  <c r="J237" i="3"/>
  <c r="I237" i="3"/>
  <c r="F237" i="3"/>
  <c r="X236" i="3"/>
  <c r="R236" i="3"/>
  <c r="M236" i="3"/>
  <c r="O236" i="3" s="1"/>
  <c r="J236" i="3"/>
  <c r="I236" i="3"/>
  <c r="F236" i="3"/>
  <c r="K236" i="3" s="1"/>
  <c r="X235" i="3"/>
  <c r="R235" i="3"/>
  <c r="M235" i="3"/>
  <c r="O235" i="3" s="1"/>
  <c r="K235" i="3"/>
  <c r="J235" i="3"/>
  <c r="I235" i="3"/>
  <c r="F235" i="3"/>
  <c r="X234" i="3"/>
  <c r="R234" i="3"/>
  <c r="J234" i="3"/>
  <c r="K234" i="3" s="1"/>
  <c r="M234" i="3" s="1"/>
  <c r="O234" i="3" s="1"/>
  <c r="I234" i="3"/>
  <c r="F234" i="3"/>
  <c r="X233" i="3"/>
  <c r="R233" i="3"/>
  <c r="M233" i="3"/>
  <c r="O233" i="3" s="1"/>
  <c r="K233" i="3"/>
  <c r="J233" i="3"/>
  <c r="I233" i="3"/>
  <c r="F233" i="3"/>
  <c r="X232" i="3"/>
  <c r="R232" i="3"/>
  <c r="J232" i="3"/>
  <c r="I232" i="3"/>
  <c r="F232" i="3"/>
  <c r="K232" i="3" s="1"/>
  <c r="M232" i="3" s="1"/>
  <c r="O232" i="3" s="1"/>
  <c r="X231" i="3"/>
  <c r="R231" i="3"/>
  <c r="M231" i="3"/>
  <c r="O231" i="3" s="1"/>
  <c r="K231" i="3"/>
  <c r="J231" i="3"/>
  <c r="I231" i="3"/>
  <c r="F231" i="3"/>
  <c r="X230" i="3"/>
  <c r="R230" i="3"/>
  <c r="J230" i="3"/>
  <c r="I230" i="3"/>
  <c r="F230" i="3"/>
  <c r="K230" i="3" s="1"/>
  <c r="M230" i="3" s="1"/>
  <c r="O230" i="3" s="1"/>
  <c r="X229" i="3"/>
  <c r="R229" i="3"/>
  <c r="J229" i="3"/>
  <c r="K229" i="3" s="1"/>
  <c r="M229" i="3" s="1"/>
  <c r="O229" i="3" s="1"/>
  <c r="I229" i="3"/>
  <c r="F229" i="3"/>
  <c r="X228" i="3"/>
  <c r="R228" i="3"/>
  <c r="J228" i="3"/>
  <c r="K228" i="3" s="1"/>
  <c r="M228" i="3" s="1"/>
  <c r="O228" i="3" s="1"/>
  <c r="I228" i="3"/>
  <c r="F228" i="3"/>
  <c r="X227" i="3"/>
  <c r="R227" i="3"/>
  <c r="J227" i="3"/>
  <c r="K227" i="3" s="1"/>
  <c r="M227" i="3" s="1"/>
  <c r="O227" i="3" s="1"/>
  <c r="I227" i="3"/>
  <c r="F227" i="3"/>
  <c r="X226" i="3"/>
  <c r="R226" i="3"/>
  <c r="J226" i="3"/>
  <c r="I226" i="3"/>
  <c r="F226" i="3"/>
  <c r="X225" i="3"/>
  <c r="R225" i="3"/>
  <c r="I225" i="3"/>
  <c r="F225" i="3"/>
  <c r="X224" i="3"/>
  <c r="R224" i="3"/>
  <c r="I224" i="3"/>
  <c r="F224" i="3"/>
  <c r="X223" i="3"/>
  <c r="R223" i="3"/>
  <c r="I223" i="3"/>
  <c r="F223" i="3"/>
  <c r="X222" i="3"/>
  <c r="R222" i="3"/>
  <c r="I222" i="3"/>
  <c r="F222" i="3"/>
  <c r="X221" i="3"/>
  <c r="R221" i="3"/>
  <c r="I221" i="3"/>
  <c r="F221" i="3"/>
  <c r="X220" i="3"/>
  <c r="R220" i="3"/>
  <c r="J220" i="3"/>
  <c r="K220" i="3" s="1"/>
  <c r="M220" i="3" s="1"/>
  <c r="O220" i="3" s="1"/>
  <c r="I220" i="3"/>
  <c r="F220" i="3"/>
  <c r="X219" i="3"/>
  <c r="R219" i="3"/>
  <c r="I219" i="3"/>
  <c r="F219" i="3"/>
  <c r="X218" i="3"/>
  <c r="R218" i="3"/>
  <c r="I218" i="3"/>
  <c r="F218" i="3"/>
  <c r="X217" i="3"/>
  <c r="R217" i="3"/>
  <c r="I217" i="3"/>
  <c r="F217" i="3"/>
  <c r="X216" i="3"/>
  <c r="R216" i="3"/>
  <c r="I216" i="3"/>
  <c r="F216" i="3"/>
  <c r="X215" i="3"/>
  <c r="R215" i="3"/>
  <c r="I215" i="3"/>
  <c r="F215" i="3"/>
  <c r="X214" i="3"/>
  <c r="V214" i="3"/>
  <c r="R214" i="3"/>
  <c r="I214" i="3"/>
  <c r="F214" i="3"/>
  <c r="X213" i="3"/>
  <c r="R213" i="3"/>
  <c r="I213" i="3"/>
  <c r="F213" i="3"/>
  <c r="X212" i="3"/>
  <c r="R212" i="3"/>
  <c r="I212" i="3"/>
  <c r="F212" i="3"/>
  <c r="X211" i="3"/>
  <c r="R211" i="3"/>
  <c r="I211" i="3"/>
  <c r="F211" i="3"/>
  <c r="X210" i="3"/>
  <c r="R210" i="3"/>
  <c r="S210" i="3" s="1"/>
  <c r="I210" i="3"/>
  <c r="F210" i="3"/>
  <c r="X209" i="3"/>
  <c r="R209" i="3"/>
  <c r="I209" i="3"/>
  <c r="F209" i="3"/>
  <c r="X208" i="3"/>
  <c r="R208" i="3"/>
  <c r="I208" i="3"/>
  <c r="F208" i="3"/>
  <c r="X207" i="3"/>
  <c r="R207" i="3"/>
  <c r="I207" i="3"/>
  <c r="F207" i="3"/>
  <c r="V206" i="3"/>
  <c r="X206" i="3" s="1"/>
  <c r="R206" i="3"/>
  <c r="I206" i="3"/>
  <c r="F206" i="3"/>
  <c r="X205" i="3"/>
  <c r="R205" i="3"/>
  <c r="I205" i="3"/>
  <c r="F205" i="3"/>
  <c r="X204" i="3"/>
  <c r="R204" i="3"/>
  <c r="I204" i="3"/>
  <c r="F204" i="3"/>
  <c r="X203" i="3"/>
  <c r="R203" i="3"/>
  <c r="I203" i="3"/>
  <c r="F203" i="3"/>
  <c r="X202" i="3"/>
  <c r="R202" i="3"/>
  <c r="I202" i="3"/>
  <c r="F202" i="3"/>
  <c r="X201" i="3"/>
  <c r="R201" i="3"/>
  <c r="I201" i="3"/>
  <c r="F201" i="3"/>
  <c r="X200" i="3"/>
  <c r="R200" i="3"/>
  <c r="I200" i="3"/>
  <c r="J208" i="3" s="1"/>
  <c r="F200" i="3"/>
  <c r="V199" i="3"/>
  <c r="X199" i="3" s="1"/>
  <c r="R199" i="3"/>
  <c r="I199" i="3"/>
  <c r="F199" i="3"/>
  <c r="X198" i="3"/>
  <c r="R198" i="3"/>
  <c r="I198" i="3"/>
  <c r="F198" i="3"/>
  <c r="X197" i="3"/>
  <c r="R197" i="3"/>
  <c r="I197" i="3"/>
  <c r="F197" i="3"/>
  <c r="X196" i="3"/>
  <c r="R196" i="3"/>
  <c r="I196" i="3"/>
  <c r="F196" i="3"/>
  <c r="X195" i="3"/>
  <c r="R195" i="3"/>
  <c r="I195" i="3"/>
  <c r="F195" i="3"/>
  <c r="X194" i="3"/>
  <c r="R194" i="3"/>
  <c r="I194" i="3"/>
  <c r="F194" i="3"/>
  <c r="V193" i="3"/>
  <c r="X193" i="3" s="1"/>
  <c r="R193" i="3"/>
  <c r="I193" i="3"/>
  <c r="F193" i="3"/>
  <c r="X192" i="3"/>
  <c r="R192" i="3"/>
  <c r="I192" i="3"/>
  <c r="J200" i="3" s="1"/>
  <c r="K200" i="3" s="1"/>
  <c r="O200" i="3" s="1"/>
  <c r="F192" i="3"/>
  <c r="X191" i="3"/>
  <c r="R191" i="3"/>
  <c r="I191" i="3"/>
  <c r="F191" i="3"/>
  <c r="X190" i="3"/>
  <c r="R190" i="3"/>
  <c r="I190" i="3"/>
  <c r="F190" i="3"/>
  <c r="X189" i="3"/>
  <c r="R189" i="3"/>
  <c r="I189" i="3"/>
  <c r="J191" i="3" s="1"/>
  <c r="K191" i="3" s="1"/>
  <c r="O191" i="3" s="1"/>
  <c r="F189" i="3"/>
  <c r="X188" i="3"/>
  <c r="R188" i="3"/>
  <c r="I188" i="3"/>
  <c r="F188" i="3"/>
  <c r="R187" i="3"/>
  <c r="I187" i="3"/>
  <c r="F187" i="3"/>
  <c r="X186" i="3"/>
  <c r="V186" i="3"/>
  <c r="R186" i="3"/>
  <c r="I186" i="3"/>
  <c r="F186" i="3"/>
  <c r="X185" i="3"/>
  <c r="R185" i="3"/>
  <c r="I185" i="3"/>
  <c r="F185" i="3"/>
  <c r="X184" i="3"/>
  <c r="R184" i="3"/>
  <c r="I184" i="3"/>
  <c r="J193" i="3" s="1"/>
  <c r="K193" i="3" s="1"/>
  <c r="O193" i="3" s="1"/>
  <c r="F184" i="3"/>
  <c r="X183" i="3"/>
  <c r="R183" i="3"/>
  <c r="I183" i="3"/>
  <c r="F183" i="3"/>
  <c r="X182" i="3"/>
  <c r="R182" i="3"/>
  <c r="I182" i="3"/>
  <c r="F182" i="3"/>
  <c r="X181" i="3"/>
  <c r="R181" i="3"/>
  <c r="I181" i="3"/>
  <c r="F181" i="3"/>
  <c r="W180" i="3"/>
  <c r="X180" i="3" s="1"/>
  <c r="R180" i="3"/>
  <c r="I180" i="3"/>
  <c r="F180" i="3"/>
  <c r="X179" i="3"/>
  <c r="S179" i="3"/>
  <c r="R179" i="3"/>
  <c r="I179" i="3"/>
  <c r="F179" i="3"/>
  <c r="X178" i="3"/>
  <c r="V178" i="3"/>
  <c r="R178" i="3"/>
  <c r="I178" i="3"/>
  <c r="F178" i="3"/>
  <c r="X177" i="3"/>
  <c r="R177" i="3"/>
  <c r="I177" i="3"/>
  <c r="F177" i="3"/>
  <c r="X176" i="3"/>
  <c r="R176" i="3"/>
  <c r="I176" i="3"/>
  <c r="F176" i="3"/>
  <c r="X175" i="3"/>
  <c r="R175" i="3"/>
  <c r="I175" i="3"/>
  <c r="F175" i="3"/>
  <c r="X174" i="3"/>
  <c r="R174" i="3"/>
  <c r="I174" i="3"/>
  <c r="F174" i="3"/>
  <c r="X173" i="3"/>
  <c r="R173" i="3"/>
  <c r="S183" i="3" s="1"/>
  <c r="I173" i="3"/>
  <c r="F173" i="3"/>
  <c r="S172" i="3"/>
  <c r="R172" i="3"/>
  <c r="I172" i="3"/>
  <c r="F172" i="3"/>
  <c r="R171" i="3"/>
  <c r="I171" i="3"/>
  <c r="F171" i="3"/>
  <c r="W170" i="3"/>
  <c r="X170" i="3" s="1"/>
  <c r="R170" i="3"/>
  <c r="I170" i="3"/>
  <c r="F170" i="3"/>
  <c r="X169" i="3"/>
  <c r="R169" i="3"/>
  <c r="I169" i="3"/>
  <c r="F169" i="3"/>
  <c r="X168" i="3"/>
  <c r="R168" i="3"/>
  <c r="S178" i="3" s="1"/>
  <c r="I168" i="3"/>
  <c r="F168" i="3"/>
  <c r="X167" i="3"/>
  <c r="R167" i="3"/>
  <c r="I167" i="3"/>
  <c r="F167" i="3"/>
  <c r="X166" i="3"/>
  <c r="R166" i="3"/>
  <c r="I166" i="3"/>
  <c r="F166" i="3"/>
  <c r="X165" i="3"/>
  <c r="R165" i="3"/>
  <c r="I165" i="3"/>
  <c r="F165" i="3"/>
  <c r="X164" i="3"/>
  <c r="R164" i="3"/>
  <c r="I164" i="3"/>
  <c r="F164" i="3"/>
  <c r="X163" i="3"/>
  <c r="R163" i="3"/>
  <c r="I163" i="3"/>
  <c r="F163" i="3"/>
  <c r="X162" i="3"/>
  <c r="R162" i="3"/>
  <c r="I162" i="3"/>
  <c r="F162" i="3"/>
  <c r="X161" i="3"/>
  <c r="R161" i="3"/>
  <c r="I161" i="3"/>
  <c r="F161" i="3"/>
  <c r="X160" i="3"/>
  <c r="R160" i="3"/>
  <c r="I160" i="3"/>
  <c r="F160" i="3"/>
  <c r="S159" i="3"/>
  <c r="R159" i="3"/>
  <c r="I159" i="3"/>
  <c r="F159" i="3"/>
  <c r="X158" i="3"/>
  <c r="R158" i="3"/>
  <c r="I158" i="3"/>
  <c r="F158" i="3"/>
  <c r="X157" i="3"/>
  <c r="R157" i="3"/>
  <c r="I157" i="3"/>
  <c r="F157" i="3"/>
  <c r="X156" i="3"/>
  <c r="R156" i="3"/>
  <c r="S167" i="3" s="1"/>
  <c r="I156" i="3"/>
  <c r="F156" i="3"/>
  <c r="X155" i="3"/>
  <c r="R155" i="3"/>
  <c r="I155" i="3"/>
  <c r="F155" i="3"/>
  <c r="X154" i="3"/>
  <c r="R154" i="3"/>
  <c r="I154" i="3"/>
  <c r="F154" i="3"/>
  <c r="X153" i="3"/>
  <c r="R153" i="3"/>
  <c r="I153" i="3"/>
  <c r="F153" i="3"/>
  <c r="R152" i="3"/>
  <c r="I152" i="3"/>
  <c r="F152" i="3"/>
  <c r="R151" i="3"/>
  <c r="I151" i="3"/>
  <c r="J151" i="3" s="1"/>
  <c r="F151" i="3"/>
  <c r="R150" i="3"/>
  <c r="I150" i="3"/>
  <c r="F150" i="3"/>
  <c r="R149" i="3"/>
  <c r="I149" i="3"/>
  <c r="F149" i="3"/>
  <c r="R148" i="3"/>
  <c r="I148" i="3"/>
  <c r="F148" i="3"/>
  <c r="R147" i="3"/>
  <c r="I147" i="3"/>
  <c r="F147" i="3"/>
  <c r="R146" i="3"/>
  <c r="I146" i="3"/>
  <c r="F146" i="3"/>
  <c r="R145" i="3"/>
  <c r="I145" i="3"/>
  <c r="F145" i="3"/>
  <c r="R144" i="3"/>
  <c r="I144" i="3"/>
  <c r="F144" i="3"/>
  <c r="R143" i="3"/>
  <c r="I143" i="3"/>
  <c r="F143" i="3"/>
  <c r="R142" i="3"/>
  <c r="I142" i="3"/>
  <c r="F142" i="3"/>
  <c r="X141" i="3"/>
  <c r="R141" i="3"/>
  <c r="I141" i="3"/>
  <c r="F141" i="3"/>
  <c r="X140" i="3"/>
  <c r="R140" i="3"/>
  <c r="I140" i="3"/>
  <c r="F140" i="3"/>
  <c r="X139" i="3"/>
  <c r="R139" i="3"/>
  <c r="I139" i="3"/>
  <c r="J150" i="3" s="1"/>
  <c r="F139" i="3"/>
  <c r="X138" i="3"/>
  <c r="R138" i="3"/>
  <c r="I138" i="3"/>
  <c r="F138" i="3"/>
  <c r="X137" i="3"/>
  <c r="R137" i="3"/>
  <c r="I137" i="3"/>
  <c r="F137" i="3"/>
  <c r="X136" i="3"/>
  <c r="R136" i="3"/>
  <c r="I136" i="3"/>
  <c r="F136" i="3"/>
  <c r="R135" i="3"/>
  <c r="I135" i="3"/>
  <c r="F135" i="3"/>
  <c r="X134" i="3"/>
  <c r="R134" i="3"/>
  <c r="S145" i="3" s="1"/>
  <c r="I134" i="3"/>
  <c r="F134" i="3"/>
  <c r="X133" i="3"/>
  <c r="R133" i="3"/>
  <c r="I133" i="3"/>
  <c r="F133" i="3"/>
  <c r="X132" i="3"/>
  <c r="R132" i="3"/>
  <c r="I132" i="3"/>
  <c r="F132" i="3"/>
  <c r="X131" i="3"/>
  <c r="S131" i="3"/>
  <c r="R131" i="3"/>
  <c r="I131" i="3"/>
  <c r="F131" i="3"/>
  <c r="X130" i="3"/>
  <c r="R130" i="3"/>
  <c r="I130" i="3"/>
  <c r="F130" i="3"/>
  <c r="X129" i="3"/>
  <c r="R129" i="3"/>
  <c r="I129" i="3"/>
  <c r="F129" i="3"/>
  <c r="X128" i="3"/>
  <c r="R128" i="3"/>
  <c r="I128" i="3"/>
  <c r="F128" i="3"/>
  <c r="R127" i="3"/>
  <c r="I127" i="3"/>
  <c r="J138" i="3" s="1"/>
  <c r="F127" i="3"/>
  <c r="R126" i="3"/>
  <c r="I126" i="3"/>
  <c r="F126" i="3"/>
  <c r="R125" i="3"/>
  <c r="I125" i="3"/>
  <c r="F125" i="3"/>
  <c r="K125" i="3" s="1"/>
  <c r="O125" i="3" s="1"/>
  <c r="T125" i="3" s="1"/>
  <c r="R124" i="3"/>
  <c r="I124" i="3"/>
  <c r="F124" i="3"/>
  <c r="R123" i="3"/>
  <c r="I123" i="3"/>
  <c r="F123" i="3"/>
  <c r="S122" i="3"/>
  <c r="R122" i="3"/>
  <c r="J122" i="3"/>
  <c r="I122" i="3"/>
  <c r="F122" i="3"/>
  <c r="R121" i="3"/>
  <c r="I121" i="3"/>
  <c r="F121" i="3"/>
  <c r="R120" i="3"/>
  <c r="I120" i="3"/>
  <c r="J125" i="3" s="1"/>
  <c r="F120" i="3"/>
  <c r="R119" i="3"/>
  <c r="I119" i="3"/>
  <c r="F119" i="3"/>
  <c r="R118" i="3"/>
  <c r="I118" i="3"/>
  <c r="F118" i="3"/>
  <c r="S117" i="3"/>
  <c r="R117" i="3"/>
  <c r="I117" i="3"/>
  <c r="F117" i="3"/>
  <c r="R116" i="3"/>
  <c r="I116" i="3"/>
  <c r="F116" i="3"/>
  <c r="R115" i="3"/>
  <c r="I115" i="3"/>
  <c r="F115" i="3"/>
  <c r="R114" i="3"/>
  <c r="I114" i="3"/>
  <c r="F114" i="3"/>
  <c r="R113" i="3"/>
  <c r="S124" i="3" s="1"/>
  <c r="I113" i="3"/>
  <c r="F113" i="3"/>
  <c r="R112" i="3"/>
  <c r="S123" i="3" s="1"/>
  <c r="I112" i="3"/>
  <c r="J123" i="3" s="1"/>
  <c r="F112" i="3"/>
  <c r="R111" i="3"/>
  <c r="I111" i="3"/>
  <c r="F111" i="3"/>
  <c r="R110" i="3"/>
  <c r="I110" i="3"/>
  <c r="F110" i="3"/>
  <c r="R109" i="3"/>
  <c r="I109" i="3"/>
  <c r="F109" i="3"/>
  <c r="R108" i="3"/>
  <c r="I108" i="3"/>
  <c r="F108" i="3"/>
  <c r="R107" i="3"/>
  <c r="I107" i="3"/>
  <c r="F107" i="3"/>
  <c r="R106" i="3"/>
  <c r="I106" i="3"/>
  <c r="F106" i="3"/>
  <c r="R105" i="3"/>
  <c r="I105" i="3"/>
  <c r="F105" i="3"/>
  <c r="R104" i="3"/>
  <c r="I104" i="3"/>
  <c r="G104" i="3"/>
  <c r="F104" i="3"/>
  <c r="R103" i="3"/>
  <c r="I103" i="3"/>
  <c r="G103" i="3"/>
  <c r="F103" i="3"/>
  <c r="R102" i="3"/>
  <c r="G102" i="3"/>
  <c r="I102" i="3" s="1"/>
  <c r="F102" i="3"/>
  <c r="R101" i="3"/>
  <c r="G101" i="3"/>
  <c r="I101" i="3" s="1"/>
  <c r="F101" i="3"/>
  <c r="R100" i="3"/>
  <c r="G100" i="3"/>
  <c r="I100" i="3" s="1"/>
  <c r="F100" i="3"/>
  <c r="R99" i="3"/>
  <c r="G99" i="3"/>
  <c r="I99" i="3" s="1"/>
  <c r="D99" i="3"/>
  <c r="F99" i="3" s="1"/>
  <c r="R98" i="3"/>
  <c r="I98" i="3"/>
  <c r="G98" i="3"/>
  <c r="D98" i="3"/>
  <c r="F98" i="3" s="1"/>
  <c r="R97" i="3"/>
  <c r="G97" i="3"/>
  <c r="I97" i="3" s="1"/>
  <c r="D97" i="3"/>
  <c r="F97" i="3" s="1"/>
  <c r="R96" i="3"/>
  <c r="I96" i="3"/>
  <c r="G96" i="3"/>
  <c r="D96" i="3"/>
  <c r="F96" i="3" s="1"/>
  <c r="R95" i="3"/>
  <c r="G95" i="3"/>
  <c r="I95" i="3" s="1"/>
  <c r="D95" i="3"/>
  <c r="F95" i="3" s="1"/>
  <c r="K95" i="3" s="1"/>
  <c r="O95" i="3" s="1"/>
  <c r="R94" i="3"/>
  <c r="S94" i="3" s="1"/>
  <c r="N94" i="3"/>
  <c r="G94" i="3"/>
  <c r="I94" i="3" s="1"/>
  <c r="F94" i="3"/>
  <c r="D94" i="3"/>
  <c r="R93" i="3"/>
  <c r="N93" i="3"/>
  <c r="G93" i="3"/>
  <c r="I93" i="3" s="1"/>
  <c r="D93" i="3"/>
  <c r="F93" i="3" s="1"/>
  <c r="R92" i="3"/>
  <c r="N92" i="3"/>
  <c r="G92" i="3"/>
  <c r="I92" i="3" s="1"/>
  <c r="F92" i="3"/>
  <c r="D92" i="3"/>
  <c r="R91" i="3"/>
  <c r="N91" i="3"/>
  <c r="G91" i="3"/>
  <c r="I91" i="3" s="1"/>
  <c r="F91" i="3"/>
  <c r="D91" i="3"/>
  <c r="R90" i="3"/>
  <c r="N90" i="3"/>
  <c r="I90" i="3"/>
  <c r="G90" i="3"/>
  <c r="F90" i="3"/>
  <c r="D90" i="3"/>
  <c r="R89" i="3"/>
  <c r="N89" i="3"/>
  <c r="G89" i="3"/>
  <c r="I89" i="3" s="1"/>
  <c r="F89" i="3"/>
  <c r="D89" i="3"/>
  <c r="R88" i="3"/>
  <c r="N88" i="3"/>
  <c r="I88" i="3"/>
  <c r="G88" i="3"/>
  <c r="F88" i="3"/>
  <c r="D88" i="3"/>
  <c r="R87" i="3"/>
  <c r="N87" i="3"/>
  <c r="G87" i="3"/>
  <c r="I87" i="3" s="1"/>
  <c r="D87" i="3"/>
  <c r="F87" i="3" s="1"/>
  <c r="R86" i="3"/>
  <c r="N86" i="3"/>
  <c r="I86" i="3"/>
  <c r="G86" i="3"/>
  <c r="D86" i="3"/>
  <c r="F86" i="3" s="1"/>
  <c r="R85" i="3"/>
  <c r="N85" i="3"/>
  <c r="I85" i="3"/>
  <c r="G85" i="3"/>
  <c r="E85" i="3"/>
  <c r="D85" i="3"/>
  <c r="F85" i="3" s="1"/>
  <c r="R84" i="3"/>
  <c r="N84" i="3"/>
  <c r="G84" i="3"/>
  <c r="I84" i="3" s="1"/>
  <c r="J95" i="3" s="1"/>
  <c r="E84" i="3"/>
  <c r="D84" i="3"/>
  <c r="F84" i="3" s="1"/>
  <c r="R83" i="3"/>
  <c r="G83" i="3"/>
  <c r="I83" i="3" s="1"/>
  <c r="F83" i="3"/>
  <c r="D83" i="3"/>
  <c r="R82" i="3"/>
  <c r="G82" i="3"/>
  <c r="I82" i="3" s="1"/>
  <c r="J92" i="3" s="1"/>
  <c r="K92" i="3" s="1"/>
  <c r="O92" i="3" s="1"/>
  <c r="F82" i="3"/>
  <c r="R81" i="3"/>
  <c r="G81" i="3"/>
  <c r="I81" i="3" s="1"/>
  <c r="F81" i="3"/>
  <c r="R80" i="3"/>
  <c r="G80" i="3"/>
  <c r="I80" i="3" s="1"/>
  <c r="F80" i="3"/>
  <c r="R79" i="3"/>
  <c r="G79" i="3"/>
  <c r="I79" i="3" s="1"/>
  <c r="F79" i="3"/>
  <c r="R78" i="3"/>
  <c r="S78" i="3" s="1"/>
  <c r="I78" i="3"/>
  <c r="G78" i="3"/>
  <c r="F78" i="3"/>
  <c r="R77" i="3"/>
  <c r="G77" i="3"/>
  <c r="I77" i="3" s="1"/>
  <c r="F77" i="3"/>
  <c r="R76" i="3"/>
  <c r="I76" i="3"/>
  <c r="G76" i="3"/>
  <c r="F76" i="3"/>
  <c r="R75" i="3"/>
  <c r="G75" i="3"/>
  <c r="I75" i="3" s="1"/>
  <c r="F75" i="3"/>
  <c r="R74" i="3"/>
  <c r="I74" i="3"/>
  <c r="G74" i="3"/>
  <c r="F74" i="3"/>
  <c r="S73" i="3"/>
  <c r="R73" i="3"/>
  <c r="I73" i="3"/>
  <c r="G73" i="3"/>
  <c r="F73" i="3"/>
  <c r="R72" i="3"/>
  <c r="I72" i="3"/>
  <c r="G72" i="3"/>
  <c r="F72" i="3"/>
  <c r="R71" i="3"/>
  <c r="G71" i="3"/>
  <c r="I71" i="3" s="1"/>
  <c r="F71" i="3"/>
  <c r="R70" i="3"/>
  <c r="I70" i="3"/>
  <c r="G70" i="3"/>
  <c r="F70" i="3"/>
  <c r="S69" i="3"/>
  <c r="R69" i="3"/>
  <c r="N69" i="3"/>
  <c r="N70" i="3" s="1"/>
  <c r="N71" i="3" s="1"/>
  <c r="N72" i="3" s="1"/>
  <c r="N73" i="3" s="1"/>
  <c r="I69" i="3"/>
  <c r="G69" i="3"/>
  <c r="F69" i="3"/>
  <c r="R68" i="3"/>
  <c r="I68" i="3"/>
  <c r="G68" i="3"/>
  <c r="F68" i="3"/>
  <c r="R67" i="3"/>
  <c r="G67" i="3"/>
  <c r="I67" i="3" s="1"/>
  <c r="F67" i="3"/>
  <c r="R66" i="3"/>
  <c r="S66" i="3" s="1"/>
  <c r="I66" i="3"/>
  <c r="J77" i="3" s="1"/>
  <c r="G66" i="3"/>
  <c r="F66" i="3"/>
  <c r="R65" i="3"/>
  <c r="G65" i="3"/>
  <c r="I65" i="3" s="1"/>
  <c r="F65" i="3"/>
  <c r="R64" i="3"/>
  <c r="G64" i="3"/>
  <c r="I64" i="3" s="1"/>
  <c r="J75" i="3" s="1"/>
  <c r="K75" i="3" s="1"/>
  <c r="O75" i="3" s="1"/>
  <c r="F64" i="3"/>
  <c r="R63" i="3"/>
  <c r="I63" i="3"/>
  <c r="G63" i="3"/>
  <c r="F63" i="3"/>
  <c r="R62" i="3"/>
  <c r="G62" i="3"/>
  <c r="I62" i="3" s="1"/>
  <c r="F62" i="3"/>
  <c r="R61" i="3"/>
  <c r="I61" i="3"/>
  <c r="G61" i="3"/>
  <c r="F61" i="3"/>
  <c r="R60" i="3"/>
  <c r="G60" i="3"/>
  <c r="I60" i="3" s="1"/>
  <c r="F60" i="3"/>
  <c r="R59" i="3"/>
  <c r="S64" i="3" s="1"/>
  <c r="I59" i="3"/>
  <c r="G59" i="3"/>
  <c r="F59" i="3"/>
  <c r="R58" i="3"/>
  <c r="G58" i="3"/>
  <c r="I58" i="3" s="1"/>
  <c r="F58" i="3"/>
  <c r="R57" i="3"/>
  <c r="I57" i="3"/>
  <c r="G57" i="3"/>
  <c r="F57" i="3"/>
  <c r="R56" i="3"/>
  <c r="I56" i="3"/>
  <c r="G56" i="3"/>
  <c r="F56" i="3"/>
  <c r="R55" i="3"/>
  <c r="I55" i="3"/>
  <c r="G55" i="3"/>
  <c r="F55" i="3"/>
  <c r="R54" i="3"/>
  <c r="I54" i="3"/>
  <c r="G54" i="3"/>
  <c r="F54" i="3"/>
  <c r="R53" i="3"/>
  <c r="G53" i="3"/>
  <c r="I53" i="3" s="1"/>
  <c r="F53" i="3"/>
  <c r="R52" i="3"/>
  <c r="G52" i="3"/>
  <c r="I52" i="3" s="1"/>
  <c r="F52" i="3"/>
  <c r="R51" i="3"/>
  <c r="G51" i="3"/>
  <c r="I51" i="3" s="1"/>
  <c r="F51" i="3"/>
  <c r="R50" i="3"/>
  <c r="S61" i="3" s="1"/>
  <c r="G50" i="3"/>
  <c r="I50" i="3" s="1"/>
  <c r="F50" i="3"/>
  <c r="R49" i="3"/>
  <c r="I49" i="3"/>
  <c r="G49" i="3"/>
  <c r="F49" i="3"/>
  <c r="R48" i="3"/>
  <c r="G48" i="3"/>
  <c r="I48" i="3" s="1"/>
  <c r="F48" i="3"/>
  <c r="R47" i="3"/>
  <c r="G47" i="3"/>
  <c r="I47" i="3" s="1"/>
  <c r="F47" i="3"/>
  <c r="R46" i="3"/>
  <c r="G46" i="3"/>
  <c r="I46" i="3" s="1"/>
  <c r="F46" i="3"/>
  <c r="R45" i="3"/>
  <c r="G45" i="3"/>
  <c r="I45" i="3" s="1"/>
  <c r="F45" i="3"/>
  <c r="R44" i="3"/>
  <c r="P44" i="3"/>
  <c r="G44" i="3"/>
  <c r="I44" i="3" s="1"/>
  <c r="F44" i="3"/>
  <c r="R43" i="3"/>
  <c r="I43" i="3"/>
  <c r="G43" i="3"/>
  <c r="F43" i="3"/>
  <c r="S42" i="3"/>
  <c r="R42" i="3"/>
  <c r="G42" i="3"/>
  <c r="I42" i="3" s="1"/>
  <c r="F42" i="3"/>
  <c r="R41" i="3"/>
  <c r="G41" i="3"/>
  <c r="I41" i="3" s="1"/>
  <c r="F41" i="3"/>
  <c r="R40" i="3"/>
  <c r="S48" i="3" s="1"/>
  <c r="I40" i="3"/>
  <c r="G40" i="3"/>
  <c r="F40" i="3"/>
  <c r="S39" i="3"/>
  <c r="R39" i="3"/>
  <c r="G39" i="3"/>
  <c r="I39" i="3" s="1"/>
  <c r="F39" i="3"/>
  <c r="R38" i="3"/>
  <c r="G38" i="3"/>
  <c r="I38" i="3" s="1"/>
  <c r="F38" i="3"/>
  <c r="R37" i="3"/>
  <c r="I37" i="3"/>
  <c r="G37" i="3"/>
  <c r="F37" i="3"/>
  <c r="R36" i="3"/>
  <c r="G36" i="3"/>
  <c r="I36" i="3" s="1"/>
  <c r="F36" i="3"/>
  <c r="R35" i="3"/>
  <c r="S46" i="3" s="1"/>
  <c r="G35" i="3"/>
  <c r="I35" i="3" s="1"/>
  <c r="F35" i="3"/>
  <c r="R34" i="3"/>
  <c r="S45" i="3" s="1"/>
  <c r="G34" i="3"/>
  <c r="I34" i="3" s="1"/>
  <c r="F34" i="3"/>
  <c r="R33" i="3"/>
  <c r="G33" i="3"/>
  <c r="I33" i="3" s="1"/>
  <c r="F33" i="3"/>
  <c r="R32" i="3"/>
  <c r="G32" i="3"/>
  <c r="I32" i="3" s="1"/>
  <c r="F32" i="3"/>
  <c r="R31" i="3"/>
  <c r="I31" i="3"/>
  <c r="F31" i="3"/>
  <c r="R30" i="3"/>
  <c r="I30" i="3"/>
  <c r="R29" i="3"/>
  <c r="I29" i="3"/>
  <c r="R28" i="3"/>
  <c r="I28" i="3"/>
  <c r="R27" i="3"/>
  <c r="I27" i="3"/>
  <c r="R26" i="3"/>
  <c r="I26" i="3"/>
  <c r="R25" i="3"/>
  <c r="I25" i="3"/>
  <c r="R24" i="3"/>
  <c r="I24" i="3"/>
  <c r="R23" i="3"/>
  <c r="S34" i="3" s="1"/>
  <c r="I23" i="3"/>
  <c r="R22" i="3"/>
  <c r="S31" i="3" s="1"/>
  <c r="I22" i="3"/>
  <c r="R21" i="3"/>
  <c r="I21" i="3"/>
  <c r="R20" i="3"/>
  <c r="I20" i="3"/>
  <c r="R19" i="3"/>
  <c r="I19" i="3"/>
  <c r="G284" i="1"/>
  <c r="X273" i="1"/>
  <c r="F273" i="1"/>
  <c r="I273" i="1"/>
  <c r="J273" i="1" s="1"/>
  <c r="R273" i="1"/>
  <c r="S273" i="1" s="1"/>
  <c r="X272" i="1"/>
  <c r="F272" i="1"/>
  <c r="I272" i="1"/>
  <c r="R272" i="1"/>
  <c r="X271" i="1"/>
  <c r="F271" i="1"/>
  <c r="I271" i="1"/>
  <c r="R271" i="1"/>
  <c r="J49" i="3" l="1"/>
  <c r="J47" i="3"/>
  <c r="J48" i="3"/>
  <c r="K48" i="3" s="1"/>
  <c r="O48" i="3" s="1"/>
  <c r="J38" i="3"/>
  <c r="K38" i="3" s="1"/>
  <c r="O38" i="3" s="1"/>
  <c r="J42" i="3"/>
  <c r="K42" i="3" s="1"/>
  <c r="O42" i="3" s="1"/>
  <c r="T191" i="3"/>
  <c r="J113" i="3"/>
  <c r="J112" i="3"/>
  <c r="K112" i="3" s="1"/>
  <c r="O112" i="3" s="1"/>
  <c r="T112" i="3" s="1"/>
  <c r="K58" i="3"/>
  <c r="O58" i="3" s="1"/>
  <c r="T58" i="3" s="1"/>
  <c r="T75" i="3"/>
  <c r="K136" i="3"/>
  <c r="O136" i="3" s="1"/>
  <c r="J163" i="3"/>
  <c r="K163" i="3" s="1"/>
  <c r="O163" i="3" s="1"/>
  <c r="T163" i="3" s="1"/>
  <c r="K195" i="3"/>
  <c r="O195" i="3" s="1"/>
  <c r="T195" i="3" s="1"/>
  <c r="T248" i="3"/>
  <c r="J103" i="3"/>
  <c r="K103" i="3" s="1"/>
  <c r="O103" i="3" s="1"/>
  <c r="T103" i="3" s="1"/>
  <c r="J102" i="3"/>
  <c r="K102" i="3" s="1"/>
  <c r="O102" i="3" s="1"/>
  <c r="J98" i="3"/>
  <c r="K98" i="3" s="1"/>
  <c r="O98" i="3" s="1"/>
  <c r="T98" i="3" s="1"/>
  <c r="J146" i="3"/>
  <c r="K146" i="3" s="1"/>
  <c r="O146" i="3" s="1"/>
  <c r="T146" i="3" s="1"/>
  <c r="J206" i="3"/>
  <c r="J205" i="3"/>
  <c r="S99" i="3"/>
  <c r="J137" i="3"/>
  <c r="K137" i="3" s="1"/>
  <c r="O137" i="3" s="1"/>
  <c r="T137" i="3" s="1"/>
  <c r="J136" i="3"/>
  <c r="J195" i="3"/>
  <c r="T232" i="3"/>
  <c r="T200" i="3"/>
  <c r="T236" i="3"/>
  <c r="J53" i="3"/>
  <c r="K53" i="3" s="1"/>
  <c r="O53" i="3" s="1"/>
  <c r="T53" i="3" s="1"/>
  <c r="J51" i="3"/>
  <c r="K51" i="3" s="1"/>
  <c r="O51" i="3" s="1"/>
  <c r="T51" i="3" s="1"/>
  <c r="K117" i="3"/>
  <c r="O117" i="3" s="1"/>
  <c r="T117" i="3" s="1"/>
  <c r="J139" i="3"/>
  <c r="K139" i="3" s="1"/>
  <c r="O139" i="3" s="1"/>
  <c r="T139" i="3" s="1"/>
  <c r="T250" i="3"/>
  <c r="J69" i="3"/>
  <c r="K69" i="3" s="1"/>
  <c r="O69" i="3" s="1"/>
  <c r="T69" i="3" s="1"/>
  <c r="J67" i="3"/>
  <c r="J34" i="3"/>
  <c r="K34" i="3" s="1"/>
  <c r="O34" i="3" s="1"/>
  <c r="J33" i="3"/>
  <c r="J31" i="3"/>
  <c r="K31" i="3" s="1"/>
  <c r="O31" i="3" s="1"/>
  <c r="J59" i="3"/>
  <c r="K59" i="3" s="1"/>
  <c r="O59" i="3" s="1"/>
  <c r="J58" i="3"/>
  <c r="J187" i="3"/>
  <c r="J186" i="3"/>
  <c r="K186" i="3" s="1"/>
  <c r="O186" i="3" s="1"/>
  <c r="T186" i="3" s="1"/>
  <c r="T227" i="3"/>
  <c r="K157" i="3"/>
  <c r="O157" i="3" s="1"/>
  <c r="J176" i="3"/>
  <c r="K176" i="3" s="1"/>
  <c r="O176" i="3" s="1"/>
  <c r="T176" i="3" s="1"/>
  <c r="J90" i="3"/>
  <c r="K90" i="3" s="1"/>
  <c r="O90" i="3" s="1"/>
  <c r="T90" i="3" s="1"/>
  <c r="S113" i="3"/>
  <c r="S109" i="3"/>
  <c r="S111" i="3"/>
  <c r="S112" i="3"/>
  <c r="S107" i="3"/>
  <c r="T242" i="3"/>
  <c r="K173" i="3"/>
  <c r="O173" i="3" s="1"/>
  <c r="T173" i="3" s="1"/>
  <c r="J40" i="3"/>
  <c r="J109" i="3"/>
  <c r="K109" i="3" s="1"/>
  <c r="O109" i="3" s="1"/>
  <c r="J57" i="3"/>
  <c r="J54" i="3"/>
  <c r="K54" i="3" s="1"/>
  <c r="O54" i="3" s="1"/>
  <c r="T54" i="3" s="1"/>
  <c r="J55" i="3"/>
  <c r="K55" i="3" s="1"/>
  <c r="O55" i="3" s="1"/>
  <c r="T55" i="3" s="1"/>
  <c r="K160" i="3"/>
  <c r="O160" i="3" s="1"/>
  <c r="T160" i="3" s="1"/>
  <c r="T244" i="3"/>
  <c r="J89" i="3"/>
  <c r="J82" i="3"/>
  <c r="K82" i="3" s="1"/>
  <c r="O82" i="3" s="1"/>
  <c r="T82" i="3" s="1"/>
  <c r="S206" i="3"/>
  <c r="S205" i="3"/>
  <c r="S204" i="3"/>
  <c r="S221" i="3"/>
  <c r="S220" i="3"/>
  <c r="S265" i="3"/>
  <c r="T266" i="3" s="1"/>
  <c r="S264" i="3"/>
  <c r="T265" i="3" s="1"/>
  <c r="J96" i="3"/>
  <c r="S202" i="3"/>
  <c r="S199" i="3"/>
  <c r="S201" i="3"/>
  <c r="S243" i="3"/>
  <c r="S242" i="3"/>
  <c r="T243" i="3" s="1"/>
  <c r="S232" i="3"/>
  <c r="S234" i="3"/>
  <c r="T235" i="3" s="1"/>
  <c r="S236" i="3"/>
  <c r="J65" i="3"/>
  <c r="K65" i="3" s="1"/>
  <c r="O65" i="3" s="1"/>
  <c r="T65" i="3" s="1"/>
  <c r="T264" i="3"/>
  <c r="S92" i="3"/>
  <c r="S191" i="3"/>
  <c r="T220" i="3"/>
  <c r="J73" i="3"/>
  <c r="K73" i="3" s="1"/>
  <c r="O73" i="3" s="1"/>
  <c r="T73" i="3" s="1"/>
  <c r="J72" i="3"/>
  <c r="K72" i="3" s="1"/>
  <c r="O72" i="3" s="1"/>
  <c r="T72" i="3" s="1"/>
  <c r="T95" i="3"/>
  <c r="J167" i="3"/>
  <c r="K167" i="3" s="1"/>
  <c r="O167" i="3" s="1"/>
  <c r="T167" i="3" s="1"/>
  <c r="J160" i="3"/>
  <c r="J159" i="3"/>
  <c r="K159" i="3" s="1"/>
  <c r="O159" i="3" s="1"/>
  <c r="J162" i="3"/>
  <c r="K162" i="3" s="1"/>
  <c r="O162" i="3" s="1"/>
  <c r="J157" i="3"/>
  <c r="J66" i="3"/>
  <c r="K66" i="3" s="1"/>
  <c r="O66" i="3" s="1"/>
  <c r="S81" i="3"/>
  <c r="K122" i="3"/>
  <c r="O122" i="3" s="1"/>
  <c r="T122" i="3" s="1"/>
  <c r="S152" i="3"/>
  <c r="S153" i="3"/>
  <c r="S148" i="3"/>
  <c r="J62" i="3"/>
  <c r="K62" i="3" s="1"/>
  <c r="O62" i="3" s="1"/>
  <c r="T62" i="3" s="1"/>
  <c r="J60" i="3"/>
  <c r="K60" i="3" s="1"/>
  <c r="O60" i="3" s="1"/>
  <c r="T92" i="3"/>
  <c r="S105" i="3"/>
  <c r="S104" i="3"/>
  <c r="S103" i="3"/>
  <c r="T247" i="3"/>
  <c r="J79" i="3"/>
  <c r="K79" i="3" s="1"/>
  <c r="O79" i="3" s="1"/>
  <c r="T79" i="3" s="1"/>
  <c r="S50" i="3"/>
  <c r="J46" i="3"/>
  <c r="K46" i="3" s="1"/>
  <c r="O46" i="3" s="1"/>
  <c r="T46" i="3" s="1"/>
  <c r="J35" i="3"/>
  <c r="K35" i="3" s="1"/>
  <c r="O35" i="3" s="1"/>
  <c r="T35" i="3" s="1"/>
  <c r="J133" i="3"/>
  <c r="J132" i="3"/>
  <c r="K132" i="3" s="1"/>
  <c r="O132" i="3" s="1"/>
  <c r="T132" i="3" s="1"/>
  <c r="S142" i="3"/>
  <c r="S169" i="3"/>
  <c r="S170" i="3"/>
  <c r="S198" i="3"/>
  <c r="S195" i="3"/>
  <c r="S194" i="3"/>
  <c r="S197" i="3"/>
  <c r="S188" i="3"/>
  <c r="S187" i="3"/>
  <c r="J147" i="3"/>
  <c r="K147" i="3" s="1"/>
  <c r="O147" i="3" s="1"/>
  <c r="T147" i="3" s="1"/>
  <c r="J141" i="3"/>
  <c r="K141" i="3" s="1"/>
  <c r="O141" i="3" s="1"/>
  <c r="J143" i="3"/>
  <c r="K143" i="3" s="1"/>
  <c r="O143" i="3" s="1"/>
  <c r="S74" i="3"/>
  <c r="J86" i="3"/>
  <c r="J119" i="3"/>
  <c r="K119" i="3" s="1"/>
  <c r="O119" i="3" s="1"/>
  <c r="J158" i="3"/>
  <c r="K158" i="3" s="1"/>
  <c r="O158" i="3" s="1"/>
  <c r="J180" i="3"/>
  <c r="S262" i="3"/>
  <c r="T263" i="3" s="1"/>
  <c r="J71" i="3"/>
  <c r="K71" i="3" s="1"/>
  <c r="O71" i="3" s="1"/>
  <c r="T71" i="3" s="1"/>
  <c r="S86" i="3"/>
  <c r="S83" i="3"/>
  <c r="S85" i="3"/>
  <c r="S79" i="3"/>
  <c r="J101" i="3"/>
  <c r="J99" i="3"/>
  <c r="K99" i="3" s="1"/>
  <c r="O99" i="3" s="1"/>
  <c r="T99" i="3" s="1"/>
  <c r="K100" i="3"/>
  <c r="O100" i="3" s="1"/>
  <c r="T100" i="3" s="1"/>
  <c r="J129" i="3"/>
  <c r="K129" i="3" s="1"/>
  <c r="O129" i="3" s="1"/>
  <c r="T129" i="3" s="1"/>
  <c r="S150" i="3"/>
  <c r="K178" i="3"/>
  <c r="O178" i="3" s="1"/>
  <c r="T178" i="3" s="1"/>
  <c r="S181" i="3"/>
  <c r="S231" i="3"/>
  <c r="S230" i="3"/>
  <c r="T231" i="3"/>
  <c r="S247" i="3"/>
  <c r="S246" i="3"/>
  <c r="K67" i="3"/>
  <c r="O67" i="3" s="1"/>
  <c r="T67" i="3" s="1"/>
  <c r="J97" i="3"/>
  <c r="J106" i="3"/>
  <c r="K106" i="3" s="1"/>
  <c r="O106" i="3" s="1"/>
  <c r="J105" i="3"/>
  <c r="K208" i="3"/>
  <c r="O208" i="3" s="1"/>
  <c r="J94" i="3"/>
  <c r="K94" i="3" s="1"/>
  <c r="O94" i="3" s="1"/>
  <c r="S164" i="3"/>
  <c r="S160" i="3"/>
  <c r="K189" i="3"/>
  <c r="O189" i="3" s="1"/>
  <c r="K197" i="3"/>
  <c r="O197" i="3" s="1"/>
  <c r="S215" i="3"/>
  <c r="S41" i="3"/>
  <c r="K40" i="3"/>
  <c r="O40" i="3" s="1"/>
  <c r="T40" i="3" s="1"/>
  <c r="K44" i="3"/>
  <c r="O44" i="3" s="1"/>
  <c r="T44" i="3" s="1"/>
  <c r="S62" i="3"/>
  <c r="S102" i="3"/>
  <c r="J120" i="3"/>
  <c r="J140" i="3"/>
  <c r="K140" i="3" s="1"/>
  <c r="O140" i="3" s="1"/>
  <c r="S176" i="3"/>
  <c r="K170" i="3"/>
  <c r="O170" i="3" s="1"/>
  <c r="S192" i="3"/>
  <c r="S35" i="3"/>
  <c r="J50" i="3"/>
  <c r="K50" i="3" s="1"/>
  <c r="O50" i="3" s="1"/>
  <c r="T50" i="3" s="1"/>
  <c r="J83" i="3"/>
  <c r="K83" i="3" s="1"/>
  <c r="O83" i="3" s="1"/>
  <c r="S90" i="3"/>
  <c r="K84" i="3"/>
  <c r="O84" i="3" s="1"/>
  <c r="T84" i="3" s="1"/>
  <c r="J111" i="3"/>
  <c r="K111" i="3" s="1"/>
  <c r="O111" i="3" s="1"/>
  <c r="S115" i="3"/>
  <c r="J145" i="3"/>
  <c r="K145" i="3" s="1"/>
  <c r="O145" i="3" s="1"/>
  <c r="T145" i="3" s="1"/>
  <c r="K166" i="3"/>
  <c r="O166" i="3" s="1"/>
  <c r="T166" i="3" s="1"/>
  <c r="S208" i="3"/>
  <c r="T228" i="3"/>
  <c r="T261" i="3"/>
  <c r="S214" i="3"/>
  <c r="S77" i="3"/>
  <c r="S76" i="3"/>
  <c r="S89" i="3"/>
  <c r="S88" i="3"/>
  <c r="J170" i="3"/>
  <c r="J171" i="3"/>
  <c r="J184" i="3"/>
  <c r="K184" i="3" s="1"/>
  <c r="O184" i="3" s="1"/>
  <c r="T184" i="3" s="1"/>
  <c r="J183" i="3"/>
  <c r="K183" i="3" s="1"/>
  <c r="O183" i="3" s="1"/>
  <c r="J199" i="3"/>
  <c r="K199" i="3" s="1"/>
  <c r="O199" i="3" s="1"/>
  <c r="T258" i="3"/>
  <c r="K86" i="3"/>
  <c r="O86" i="3" s="1"/>
  <c r="J74" i="3"/>
  <c r="K74" i="3" s="1"/>
  <c r="O74" i="3" s="1"/>
  <c r="T74" i="3" s="1"/>
  <c r="S93" i="3"/>
  <c r="J134" i="3"/>
  <c r="K134" i="3" s="1"/>
  <c r="O134" i="3" s="1"/>
  <c r="T134" i="3" s="1"/>
  <c r="J168" i="3"/>
  <c r="K168" i="3" s="1"/>
  <c r="O168" i="3" s="1"/>
  <c r="T168" i="3" s="1"/>
  <c r="K169" i="3"/>
  <c r="O169" i="3" s="1"/>
  <c r="J203" i="3"/>
  <c r="K203" i="3" s="1"/>
  <c r="O203" i="3" s="1"/>
  <c r="T203" i="3" s="1"/>
  <c r="J201" i="3"/>
  <c r="K201" i="3" s="1"/>
  <c r="O201" i="3" s="1"/>
  <c r="T201" i="3" s="1"/>
  <c r="J202" i="3"/>
  <c r="K202" i="3" s="1"/>
  <c r="O202" i="3" s="1"/>
  <c r="J211" i="3"/>
  <c r="J210" i="3"/>
  <c r="K153" i="3"/>
  <c r="O153" i="3" s="1"/>
  <c r="S63" i="3"/>
  <c r="S119" i="3"/>
  <c r="J164" i="3"/>
  <c r="S184" i="3"/>
  <c r="J219" i="3"/>
  <c r="K219" i="3" s="1"/>
  <c r="M219" i="3" s="1"/>
  <c r="O219" i="3" s="1"/>
  <c r="J216" i="3"/>
  <c r="K216" i="3" s="1"/>
  <c r="M216" i="3" s="1"/>
  <c r="O216" i="3" s="1"/>
  <c r="T216" i="3" s="1"/>
  <c r="S43" i="3"/>
  <c r="K93" i="3"/>
  <c r="O93" i="3" s="1"/>
  <c r="T93" i="3" s="1"/>
  <c r="J148" i="3"/>
  <c r="K148" i="3" s="1"/>
  <c r="O148" i="3" s="1"/>
  <c r="T148" i="3" s="1"/>
  <c r="S180" i="3"/>
  <c r="S189" i="3"/>
  <c r="S186" i="3"/>
  <c r="K57" i="3"/>
  <c r="O57" i="3" s="1"/>
  <c r="J116" i="3"/>
  <c r="K116" i="3" s="1"/>
  <c r="O116" i="3" s="1"/>
  <c r="J115" i="3"/>
  <c r="K115" i="3" s="1"/>
  <c r="O115" i="3" s="1"/>
  <c r="T115" i="3" s="1"/>
  <c r="S126" i="3"/>
  <c r="K150" i="3"/>
  <c r="O150" i="3" s="1"/>
  <c r="S171" i="3"/>
  <c r="S173" i="3"/>
  <c r="J182" i="3"/>
  <c r="K182" i="3" s="1"/>
  <c r="O182" i="3" s="1"/>
  <c r="T182" i="3" s="1"/>
  <c r="J197" i="3"/>
  <c r="K210" i="3"/>
  <c r="M210" i="3" s="1"/>
  <c r="O210" i="3" s="1"/>
  <c r="T210" i="3" s="1"/>
  <c r="J100" i="3"/>
  <c r="J81" i="3"/>
  <c r="K81" i="3" s="1"/>
  <c r="O81" i="3" s="1"/>
  <c r="T81" i="3" s="1"/>
  <c r="S157" i="3"/>
  <c r="J173" i="3"/>
  <c r="T193" i="3"/>
  <c r="S252" i="3"/>
  <c r="T253" i="3" s="1"/>
  <c r="S58" i="3"/>
  <c r="S33" i="3"/>
  <c r="S32" i="3"/>
  <c r="J78" i="3"/>
  <c r="K78" i="3" s="1"/>
  <c r="O78" i="3" s="1"/>
  <c r="T78" i="3" s="1"/>
  <c r="J124" i="3"/>
  <c r="K124" i="3" s="1"/>
  <c r="O124" i="3" s="1"/>
  <c r="T124" i="3" s="1"/>
  <c r="J43" i="3"/>
  <c r="S54" i="3"/>
  <c r="S55" i="3"/>
  <c r="J131" i="3"/>
  <c r="K131" i="3" s="1"/>
  <c r="O131" i="3" s="1"/>
  <c r="K33" i="3"/>
  <c r="O33" i="3" s="1"/>
  <c r="T33" i="3" s="1"/>
  <c r="S71" i="3"/>
  <c r="S98" i="3"/>
  <c r="K105" i="3"/>
  <c r="O105" i="3" s="1"/>
  <c r="J121" i="3"/>
  <c r="K121" i="3" s="1"/>
  <c r="O121" i="3" s="1"/>
  <c r="S156" i="3"/>
  <c r="S155" i="3"/>
  <c r="S177" i="3"/>
  <c r="J194" i="3"/>
  <c r="K194" i="3" s="1"/>
  <c r="O194" i="3" s="1"/>
  <c r="T194" i="3" s="1"/>
  <c r="S245" i="3"/>
  <c r="T246" i="3" s="1"/>
  <c r="S244" i="3"/>
  <c r="T245" i="3" s="1"/>
  <c r="S37" i="3"/>
  <c r="J52" i="3"/>
  <c r="K52" i="3" s="1"/>
  <c r="O52" i="3" s="1"/>
  <c r="J56" i="3"/>
  <c r="J80" i="3"/>
  <c r="S116" i="3"/>
  <c r="S132" i="3"/>
  <c r="S127" i="3"/>
  <c r="J149" i="3"/>
  <c r="K155" i="3"/>
  <c r="O155" i="3" s="1"/>
  <c r="S162" i="3"/>
  <c r="S175" i="3"/>
  <c r="S68" i="3"/>
  <c r="S70" i="3"/>
  <c r="S51" i="3"/>
  <c r="J64" i="3"/>
  <c r="K64" i="3" s="1"/>
  <c r="O64" i="3" s="1"/>
  <c r="T64" i="3" s="1"/>
  <c r="S100" i="3"/>
  <c r="K85" i="3"/>
  <c r="O85" i="3" s="1"/>
  <c r="S108" i="3"/>
  <c r="J127" i="3"/>
  <c r="S121" i="3"/>
  <c r="S133" i="3"/>
  <c r="S136" i="3"/>
  <c r="K142" i="3"/>
  <c r="O142" i="3" s="1"/>
  <c r="J190" i="3"/>
  <c r="K190" i="3" s="1"/>
  <c r="O190" i="3" s="1"/>
  <c r="S193" i="3"/>
  <c r="J198" i="3"/>
  <c r="J225" i="3"/>
  <c r="K225" i="3" s="1"/>
  <c r="M225" i="3" s="1"/>
  <c r="O225" i="3" s="1"/>
  <c r="J224" i="3"/>
  <c r="K224" i="3" s="1"/>
  <c r="M224" i="3" s="1"/>
  <c r="O224" i="3" s="1"/>
  <c r="T224" i="3" s="1"/>
  <c r="J218" i="3"/>
  <c r="K218" i="3" s="1"/>
  <c r="M218" i="3" s="1"/>
  <c r="O218" i="3" s="1"/>
  <c r="T218" i="3" s="1"/>
  <c r="J93" i="3"/>
  <c r="S261" i="3"/>
  <c r="T262" i="3" s="1"/>
  <c r="S258" i="3"/>
  <c r="T259" i="3" s="1"/>
  <c r="S59" i="3"/>
  <c r="S114" i="3"/>
  <c r="J177" i="3"/>
  <c r="K177" i="3" s="1"/>
  <c r="O177" i="3" s="1"/>
  <c r="T177" i="3" s="1"/>
  <c r="S44" i="3"/>
  <c r="J91" i="3"/>
  <c r="S140" i="3"/>
  <c r="S40" i="3"/>
  <c r="S67" i="3"/>
  <c r="J68" i="3"/>
  <c r="K68" i="3" s="1"/>
  <c r="O68" i="3" s="1"/>
  <c r="T68" i="3" s="1"/>
  <c r="J84" i="3"/>
  <c r="S52" i="3"/>
  <c r="S53" i="3"/>
  <c r="S72" i="3"/>
  <c r="J88" i="3"/>
  <c r="K88" i="3" s="1"/>
  <c r="O88" i="3" s="1"/>
  <c r="T88" i="3" s="1"/>
  <c r="J87" i="3"/>
  <c r="K87" i="3" s="1"/>
  <c r="O87" i="3" s="1"/>
  <c r="T87" i="3" s="1"/>
  <c r="S97" i="3"/>
  <c r="K151" i="3"/>
  <c r="O151" i="3" s="1"/>
  <c r="S166" i="3"/>
  <c r="S36" i="3"/>
  <c r="S56" i="3"/>
  <c r="S95" i="3"/>
  <c r="S101" i="3"/>
  <c r="K96" i="3"/>
  <c r="O96" i="3" s="1"/>
  <c r="J110" i="3"/>
  <c r="S161" i="3"/>
  <c r="S174" i="3"/>
  <c r="J189" i="3"/>
  <c r="S203" i="3"/>
  <c r="K205" i="3"/>
  <c r="O205" i="3" s="1"/>
  <c r="S219" i="3"/>
  <c r="S216" i="3"/>
  <c r="S218" i="3"/>
  <c r="T237" i="3"/>
  <c r="J36" i="3"/>
  <c r="K36" i="3"/>
  <c r="O36" i="3" s="1"/>
  <c r="T36" i="3" s="1"/>
  <c r="K49" i="3"/>
  <c r="O49" i="3" s="1"/>
  <c r="T49" i="3" s="1"/>
  <c r="S87" i="3"/>
  <c r="J104" i="3"/>
  <c r="K104" i="3" s="1"/>
  <c r="O104" i="3" s="1"/>
  <c r="S120" i="3"/>
  <c r="S168" i="3"/>
  <c r="K180" i="3"/>
  <c r="O180" i="3" s="1"/>
  <c r="T180" i="3" s="1"/>
  <c r="S49" i="3"/>
  <c r="S75" i="3"/>
  <c r="K80" i="3"/>
  <c r="O80" i="3" s="1"/>
  <c r="J107" i="3"/>
  <c r="K110" i="3"/>
  <c r="O110" i="3" s="1"/>
  <c r="S125" i="3"/>
  <c r="S129" i="3"/>
  <c r="K127" i="3"/>
  <c r="O127" i="3" s="1"/>
  <c r="T127" i="3" s="1"/>
  <c r="S144" i="3"/>
  <c r="S143" i="3"/>
  <c r="J213" i="3"/>
  <c r="K213" i="3" s="1"/>
  <c r="M213" i="3" s="1"/>
  <c r="O213" i="3" s="1"/>
  <c r="T213" i="3" s="1"/>
  <c r="J212" i="3"/>
  <c r="K212" i="3" s="1"/>
  <c r="M212" i="3" s="1"/>
  <c r="O212" i="3" s="1"/>
  <c r="S241" i="3"/>
  <c r="S240" i="3"/>
  <c r="T241" i="3" s="1"/>
  <c r="S259" i="3"/>
  <c r="T260" i="3" s="1"/>
  <c r="K222" i="3"/>
  <c r="M222" i="3" s="1"/>
  <c r="O222" i="3" s="1"/>
  <c r="T222" i="3" s="1"/>
  <c r="S138" i="3"/>
  <c r="K43" i="3"/>
  <c r="O43" i="3" s="1"/>
  <c r="T43" i="3" s="1"/>
  <c r="J85" i="3"/>
  <c r="J126" i="3"/>
  <c r="K126" i="3" s="1"/>
  <c r="O126" i="3" s="1"/>
  <c r="S134" i="3"/>
  <c r="J169" i="3"/>
  <c r="J172" i="3"/>
  <c r="K172" i="3" s="1"/>
  <c r="O172" i="3" s="1"/>
  <c r="J181" i="3"/>
  <c r="S213" i="3"/>
  <c r="K206" i="3"/>
  <c r="O206" i="3" s="1"/>
  <c r="S212" i="3"/>
  <c r="S249" i="3"/>
  <c r="S248" i="3"/>
  <c r="T249" i="3" s="1"/>
  <c r="T251" i="3"/>
  <c r="K164" i="3"/>
  <c r="O164" i="3" s="1"/>
  <c r="T164" i="3" s="1"/>
  <c r="S38" i="3"/>
  <c r="S106" i="3"/>
  <c r="J130" i="3"/>
  <c r="K130" i="3" s="1"/>
  <c r="O130" i="3" s="1"/>
  <c r="T130" i="3" s="1"/>
  <c r="S151" i="3"/>
  <c r="S196" i="3"/>
  <c r="S209" i="3"/>
  <c r="J39" i="3"/>
  <c r="K39" i="3" s="1"/>
  <c r="O39" i="3" s="1"/>
  <c r="S96" i="3"/>
  <c r="J117" i="3"/>
  <c r="S185" i="3"/>
  <c r="J204" i="3"/>
  <c r="K204" i="3" s="1"/>
  <c r="O204" i="3" s="1"/>
  <c r="S223" i="3"/>
  <c r="S57" i="3"/>
  <c r="J61" i="3"/>
  <c r="K61" i="3" s="1"/>
  <c r="O61" i="3" s="1"/>
  <c r="T61" i="3" s="1"/>
  <c r="K89" i="3"/>
  <c r="O89" i="3" s="1"/>
  <c r="T89" i="3" s="1"/>
  <c r="K97" i="3"/>
  <c r="O97" i="3" s="1"/>
  <c r="T97" i="3" s="1"/>
  <c r="J179" i="3"/>
  <c r="K179" i="3" s="1"/>
  <c r="O179" i="3" s="1"/>
  <c r="T179" i="3" s="1"/>
  <c r="K175" i="3"/>
  <c r="O175" i="3" s="1"/>
  <c r="T175" i="3" s="1"/>
  <c r="J188" i="3"/>
  <c r="K188" i="3" s="1"/>
  <c r="O188" i="3" s="1"/>
  <c r="K181" i="3"/>
  <c r="O181" i="3" s="1"/>
  <c r="T181" i="3" s="1"/>
  <c r="J221" i="3"/>
  <c r="K221" i="3" s="1"/>
  <c r="M221" i="3" s="1"/>
  <c r="O221" i="3" s="1"/>
  <c r="T221" i="3" s="1"/>
  <c r="S233" i="3"/>
  <c r="T234" i="3" s="1"/>
  <c r="T233" i="3"/>
  <c r="S238" i="3"/>
  <c r="T239" i="3" s="1"/>
  <c r="S158" i="3"/>
  <c r="S200" i="3"/>
  <c r="S229" i="3"/>
  <c r="T230" i="3" s="1"/>
  <c r="S228" i="3"/>
  <c r="T229" i="3" s="1"/>
  <c r="S190" i="3"/>
  <c r="K171" i="3"/>
  <c r="O171" i="3" s="1"/>
  <c r="T269" i="3"/>
  <c r="J37" i="3"/>
  <c r="K37" i="3" s="1"/>
  <c r="O37" i="3" s="1"/>
  <c r="S30" i="3"/>
  <c r="J70" i="3"/>
  <c r="K70" i="3" s="1"/>
  <c r="O70" i="3" s="1"/>
  <c r="T70" i="3" s="1"/>
  <c r="S82" i="3"/>
  <c r="J108" i="3"/>
  <c r="K108" i="3" s="1"/>
  <c r="O108" i="3" s="1"/>
  <c r="T108" i="3" s="1"/>
  <c r="J114" i="3"/>
  <c r="K114" i="3" s="1"/>
  <c r="O114" i="3" s="1"/>
  <c r="T114" i="3" s="1"/>
  <c r="K107" i="3"/>
  <c r="O107" i="3" s="1"/>
  <c r="T107" i="3" s="1"/>
  <c r="S130" i="3"/>
  <c r="J135" i="3"/>
  <c r="K135" i="3" s="1"/>
  <c r="O135" i="3" s="1"/>
  <c r="T135" i="3" s="1"/>
  <c r="S182" i="3"/>
  <c r="J178" i="3"/>
  <c r="J192" i="3"/>
  <c r="K192" i="3" s="1"/>
  <c r="O192" i="3" s="1"/>
  <c r="S222" i="3"/>
  <c r="K226" i="3"/>
  <c r="M226" i="3" s="1"/>
  <c r="O226" i="3" s="1"/>
  <c r="S267" i="3"/>
  <c r="T268" i="3" s="1"/>
  <c r="S165" i="3"/>
  <c r="J44" i="3"/>
  <c r="K77" i="3"/>
  <c r="O77" i="3" s="1"/>
  <c r="T77" i="3" s="1"/>
  <c r="K91" i="3"/>
  <c r="O91" i="3" s="1"/>
  <c r="S147" i="3"/>
  <c r="S207" i="3"/>
  <c r="J45" i="3"/>
  <c r="K45" i="3" s="1"/>
  <c r="O45" i="3" s="1"/>
  <c r="K56" i="3"/>
  <c r="O56" i="3" s="1"/>
  <c r="T56" i="3" s="1"/>
  <c r="S84" i="3"/>
  <c r="K120" i="3"/>
  <c r="O120" i="3" s="1"/>
  <c r="T120" i="3" s="1"/>
  <c r="S135" i="3"/>
  <c r="S139" i="3"/>
  <c r="S141" i="3"/>
  <c r="K138" i="3"/>
  <c r="O138" i="3" s="1"/>
  <c r="J156" i="3"/>
  <c r="J155" i="3"/>
  <c r="S226" i="3"/>
  <c r="S256" i="3"/>
  <c r="T257" i="3" s="1"/>
  <c r="T267" i="3"/>
  <c r="S137" i="3"/>
  <c r="K149" i="3"/>
  <c r="O149" i="3" s="1"/>
  <c r="J165" i="3"/>
  <c r="K165" i="3" s="1"/>
  <c r="O165" i="3" s="1"/>
  <c r="T165" i="3" s="1"/>
  <c r="J166" i="3"/>
  <c r="K174" i="3"/>
  <c r="O174" i="3" s="1"/>
  <c r="T174" i="3" s="1"/>
  <c r="K187" i="3"/>
  <c r="O187" i="3" s="1"/>
  <c r="K198" i="3"/>
  <c r="O198" i="3" s="1"/>
  <c r="J214" i="3"/>
  <c r="K214" i="3" s="1"/>
  <c r="M214" i="3" s="1"/>
  <c r="O214" i="3" s="1"/>
  <c r="T214" i="3" s="1"/>
  <c r="S239" i="3"/>
  <c r="T240" i="3" s="1"/>
  <c r="S110" i="3"/>
  <c r="K113" i="3"/>
  <c r="O113" i="3" s="1"/>
  <c r="T113" i="3" s="1"/>
  <c r="K123" i="3"/>
  <c r="O123" i="3" s="1"/>
  <c r="T123" i="3" s="1"/>
  <c r="J142" i="3"/>
  <c r="J154" i="3"/>
  <c r="K154" i="3" s="1"/>
  <c r="O154" i="3" s="1"/>
  <c r="S163" i="3"/>
  <c r="J185" i="3"/>
  <c r="J209" i="3"/>
  <c r="K211" i="3"/>
  <c r="M211" i="3" s="1"/>
  <c r="O211" i="3" s="1"/>
  <c r="T211" i="3" s="1"/>
  <c r="S257" i="3"/>
  <c r="J118" i="3"/>
  <c r="K118" i="3" s="1"/>
  <c r="O118" i="3" s="1"/>
  <c r="T118" i="3" s="1"/>
  <c r="J63" i="3"/>
  <c r="K63" i="3" s="1"/>
  <c r="O63" i="3" s="1"/>
  <c r="T63" i="3" s="1"/>
  <c r="S154" i="3"/>
  <c r="J161" i="3"/>
  <c r="K161" i="3" s="1"/>
  <c r="O161" i="3" s="1"/>
  <c r="K185" i="3"/>
  <c r="O185" i="3" s="1"/>
  <c r="S253" i="3"/>
  <c r="T254" i="3" s="1"/>
  <c r="S255" i="3"/>
  <c r="T256" i="3" s="1"/>
  <c r="S65" i="3"/>
  <c r="K101" i="3"/>
  <c r="O101" i="3" s="1"/>
  <c r="J128" i="3"/>
  <c r="K128" i="3" s="1"/>
  <c r="O128" i="3" s="1"/>
  <c r="T128" i="3" s="1"/>
  <c r="J32" i="3"/>
  <c r="K32" i="3" s="1"/>
  <c r="O32" i="3" s="1"/>
  <c r="S47" i="3"/>
  <c r="K47" i="3"/>
  <c r="O47" i="3" s="1"/>
  <c r="T47" i="3" s="1"/>
  <c r="S60" i="3"/>
  <c r="S146" i="3"/>
  <c r="J153" i="3"/>
  <c r="J174" i="3"/>
  <c r="J175" i="3"/>
  <c r="J196" i="3"/>
  <c r="K196" i="3"/>
  <c r="O196" i="3" s="1"/>
  <c r="K209" i="3"/>
  <c r="M209" i="3" s="1"/>
  <c r="O209" i="3" s="1"/>
  <c r="S225" i="3"/>
  <c r="J217" i="3"/>
  <c r="K217" i="3" s="1"/>
  <c r="M217" i="3" s="1"/>
  <c r="O217" i="3" s="1"/>
  <c r="T217" i="3" s="1"/>
  <c r="S227" i="3"/>
  <c r="S237" i="3"/>
  <c r="T238" i="3" s="1"/>
  <c r="J76" i="3"/>
  <c r="K76" i="3" s="1"/>
  <c r="O76" i="3" s="1"/>
  <c r="T76" i="3" s="1"/>
  <c r="K133" i="3"/>
  <c r="O133" i="3" s="1"/>
  <c r="T133" i="3" s="1"/>
  <c r="S149" i="3"/>
  <c r="J207" i="3"/>
  <c r="K207" i="3" s="1"/>
  <c r="O207" i="3" s="1"/>
  <c r="T207" i="3" s="1"/>
  <c r="J215" i="3"/>
  <c r="K215" i="3" s="1"/>
  <c r="M215" i="3" s="1"/>
  <c r="O215" i="3" s="1"/>
  <c r="T215" i="3" s="1"/>
  <c r="S217" i="3"/>
  <c r="J223" i="3"/>
  <c r="K223" i="3" s="1"/>
  <c r="M223" i="3" s="1"/>
  <c r="O223" i="3" s="1"/>
  <c r="T223" i="3" s="1"/>
  <c r="J222" i="3"/>
  <c r="S235" i="3"/>
  <c r="S251" i="3"/>
  <c r="T252" i="3" s="1"/>
  <c r="J41" i="3"/>
  <c r="K41" i="3" s="1"/>
  <c r="O41" i="3" s="1"/>
  <c r="T41" i="3" s="1"/>
  <c r="S80" i="3"/>
  <c r="S91" i="3"/>
  <c r="S118" i="3"/>
  <c r="S128" i="3"/>
  <c r="J144" i="3"/>
  <c r="J152" i="3"/>
  <c r="K152" i="3" s="1"/>
  <c r="O152" i="3" s="1"/>
  <c r="T152" i="3" s="1"/>
  <c r="K144" i="3"/>
  <c r="O144" i="3" s="1"/>
  <c r="T144" i="3" s="1"/>
  <c r="K156" i="3"/>
  <c r="O156" i="3" s="1"/>
  <c r="S211" i="3"/>
  <c r="S224" i="3"/>
  <c r="S260" i="3"/>
  <c r="T273" i="3"/>
  <c r="J272" i="3"/>
  <c r="K272" i="3" s="1"/>
  <c r="M272" i="3" s="1"/>
  <c r="O272" i="3" s="1"/>
  <c r="T272" i="3" s="1"/>
  <c r="K273" i="1"/>
  <c r="M273" i="1" s="1"/>
  <c r="O273" i="1" s="1"/>
  <c r="T273" i="1" s="1"/>
  <c r="X270" i="1"/>
  <c r="F270" i="1"/>
  <c r="I270" i="1"/>
  <c r="R270" i="1"/>
  <c r="T187" i="3" l="1"/>
  <c r="T151" i="3"/>
  <c r="T45" i="3"/>
  <c r="T212" i="3"/>
  <c r="T121" i="3"/>
  <c r="T161" i="3"/>
  <c r="T94" i="3"/>
  <c r="T37" i="3"/>
  <c r="T83" i="3"/>
  <c r="T196" i="3"/>
  <c r="T205" i="3"/>
  <c r="T106" i="3"/>
  <c r="T190" i="3"/>
  <c r="T142" i="3"/>
  <c r="T170" i="3"/>
  <c r="T104" i="3"/>
  <c r="T136" i="3"/>
  <c r="T156" i="3"/>
  <c r="T105" i="3"/>
  <c r="T225" i="3"/>
  <c r="T209" i="3"/>
  <c r="T38" i="3"/>
  <c r="T204" i="3"/>
  <c r="T226" i="3"/>
  <c r="T80" i="3"/>
  <c r="T140" i="3"/>
  <c r="T59" i="3"/>
  <c r="T197" i="3"/>
  <c r="T189" i="3"/>
  <c r="T86" i="3"/>
  <c r="T206" i="3"/>
  <c r="T157" i="3"/>
  <c r="T66" i="3"/>
  <c r="T172" i="3"/>
  <c r="T153" i="3"/>
  <c r="T126" i="3"/>
  <c r="T116" i="3"/>
  <c r="T109" i="3"/>
  <c r="T31" i="3"/>
  <c r="T169" i="3"/>
  <c r="T101" i="3"/>
  <c r="T149" i="3"/>
  <c r="T155" i="3"/>
  <c r="T208" i="3"/>
  <c r="T199" i="3"/>
  <c r="T171" i="3"/>
  <c r="T183" i="3"/>
  <c r="T48" i="3"/>
  <c r="T154" i="3"/>
  <c r="T162" i="3"/>
  <c r="T188" i="3"/>
  <c r="T198" i="3"/>
  <c r="T60" i="3"/>
  <c r="T111" i="3"/>
  <c r="T185" i="3"/>
  <c r="T219" i="3"/>
  <c r="T91" i="3"/>
  <c r="T131" i="3"/>
  <c r="T110" i="3"/>
  <c r="T150" i="3"/>
  <c r="T158" i="3"/>
  <c r="T119" i="3"/>
  <c r="T192" i="3"/>
  <c r="T39" i="3"/>
  <c r="T96" i="3"/>
  <c r="T202" i="3"/>
  <c r="T143" i="3"/>
  <c r="T159" i="3"/>
  <c r="T34" i="3"/>
  <c r="T42" i="3"/>
  <c r="T138" i="3"/>
  <c r="T85" i="3"/>
  <c r="T52" i="3"/>
  <c r="T57" i="3"/>
  <c r="T141" i="3"/>
  <c r="T102" i="3"/>
  <c r="X269" i="1"/>
  <c r="F269" i="1"/>
  <c r="I269" i="1"/>
  <c r="R269" i="1"/>
  <c r="X268" i="1" l="1"/>
  <c r="F268" i="1"/>
  <c r="I268" i="1"/>
  <c r="R268" i="1"/>
  <c r="X267" i="1" l="1"/>
  <c r="X266" i="1"/>
  <c r="X265" i="1"/>
  <c r="F267" i="1"/>
  <c r="I267" i="1"/>
  <c r="R267" i="1"/>
  <c r="F266" i="1" l="1"/>
  <c r="I266" i="1"/>
  <c r="R266" i="1"/>
  <c r="F265" i="1" l="1"/>
  <c r="I265" i="1"/>
  <c r="R265" i="1"/>
  <c r="X264" i="1" l="1"/>
  <c r="F264" i="1"/>
  <c r="I264" i="1"/>
  <c r="R264" i="1"/>
  <c r="X263" i="1" l="1"/>
  <c r="F263" i="1"/>
  <c r="I263" i="1"/>
  <c r="R263" i="1"/>
  <c r="X262" i="1" l="1"/>
  <c r="F262" i="1"/>
  <c r="I262" i="1"/>
  <c r="R262" i="1"/>
  <c r="V261" i="1" l="1"/>
  <c r="X261" i="1" s="1"/>
  <c r="F261" i="1"/>
  <c r="I261" i="1"/>
  <c r="J272" i="1" s="1"/>
  <c r="K272" i="1" s="1"/>
  <c r="M272" i="1" s="1"/>
  <c r="O272" i="1" s="1"/>
  <c r="R261" i="1"/>
  <c r="S272" i="1" s="1"/>
  <c r="T272" i="1" l="1"/>
  <c r="X260" i="1"/>
  <c r="F260" i="1"/>
  <c r="I260" i="1"/>
  <c r="J271" i="1" s="1"/>
  <c r="K271" i="1" s="1"/>
  <c r="M271" i="1" s="1"/>
  <c r="O271" i="1" s="1"/>
  <c r="R260" i="1"/>
  <c r="S271" i="1" s="1"/>
  <c r="X259" i="1" l="1"/>
  <c r="F259" i="1"/>
  <c r="I259" i="1"/>
  <c r="J270" i="1" s="1"/>
  <c r="K270" i="1" s="1"/>
  <c r="M270" i="1" s="1"/>
  <c r="O270" i="1" s="1"/>
  <c r="R259" i="1"/>
  <c r="S270" i="1" s="1"/>
  <c r="T271" i="1" s="1"/>
  <c r="X258" i="1" l="1"/>
  <c r="F258" i="1"/>
  <c r="I258" i="1"/>
  <c r="J269" i="1" s="1"/>
  <c r="K269" i="1" s="1"/>
  <c r="M269" i="1" s="1"/>
  <c r="O269" i="1" s="1"/>
  <c r="R258" i="1"/>
  <c r="S269" i="1" s="1"/>
  <c r="T270" i="1" s="1"/>
  <c r="X257" i="1" l="1"/>
  <c r="F257" i="1"/>
  <c r="I257" i="1"/>
  <c r="J268" i="1" s="1"/>
  <c r="K268" i="1" s="1"/>
  <c r="M268" i="1" s="1"/>
  <c r="O268" i="1" s="1"/>
  <c r="R257" i="1"/>
  <c r="S268" i="1" s="1"/>
  <c r="T269" i="1" s="1"/>
  <c r="X256" i="1" l="1"/>
  <c r="F256" i="1"/>
  <c r="I256" i="1"/>
  <c r="J267" i="1" s="1"/>
  <c r="K267" i="1" s="1"/>
  <c r="M267" i="1" s="1"/>
  <c r="O267" i="1" s="1"/>
  <c r="R256" i="1"/>
  <c r="S267" i="1" s="1"/>
  <c r="T268" i="1" s="1"/>
  <c r="F255" i="1" l="1"/>
  <c r="X255" i="1"/>
  <c r="I255" i="1"/>
  <c r="J266" i="1" s="1"/>
  <c r="K266" i="1" s="1"/>
  <c r="M266" i="1" s="1"/>
  <c r="O266" i="1" s="1"/>
  <c r="R255" i="1"/>
  <c r="S266" i="1" s="1"/>
  <c r="T267" i="1" s="1"/>
  <c r="X254" i="1" l="1"/>
  <c r="F254" i="1"/>
  <c r="I254" i="1"/>
  <c r="J265" i="1" s="1"/>
  <c r="K265" i="1" s="1"/>
  <c r="M265" i="1" s="1"/>
  <c r="O265" i="1" s="1"/>
  <c r="R254" i="1"/>
  <c r="S265" i="1" s="1"/>
  <c r="T266" i="1" s="1"/>
  <c r="X253" i="1" l="1"/>
  <c r="F253" i="1"/>
  <c r="I253" i="1"/>
  <c r="J264" i="1" s="1"/>
  <c r="K264" i="1" s="1"/>
  <c r="M264" i="1" s="1"/>
  <c r="O264" i="1" s="1"/>
  <c r="R253" i="1"/>
  <c r="S264" i="1" s="1"/>
  <c r="T265" i="1" s="1"/>
  <c r="F288" i="1" l="1"/>
  <c r="X252" i="1" l="1"/>
  <c r="F252" i="1"/>
  <c r="I252" i="1"/>
  <c r="J263" i="1" s="1"/>
  <c r="R252" i="1"/>
  <c r="S263" i="1" s="1"/>
  <c r="T264" i="1" s="1"/>
  <c r="K263" i="1" l="1"/>
  <c r="M263" i="1" s="1"/>
  <c r="O263" i="1" s="1"/>
  <c r="X251" i="1"/>
  <c r="F251" i="1"/>
  <c r="I251" i="1"/>
  <c r="J262" i="1" s="1"/>
  <c r="K262" i="1" s="1"/>
  <c r="M262" i="1" s="1"/>
  <c r="O262" i="1" s="1"/>
  <c r="R251" i="1"/>
  <c r="S262" i="1" s="1"/>
  <c r="T263" i="1" l="1"/>
  <c r="X250" i="1"/>
  <c r="F250" i="1"/>
  <c r="I250" i="1"/>
  <c r="J261" i="1" s="1"/>
  <c r="K261" i="1" s="1"/>
  <c r="M261" i="1" s="1"/>
  <c r="O261" i="1" s="1"/>
  <c r="R250" i="1"/>
  <c r="S261" i="1" s="1"/>
  <c r="T262" i="1" s="1"/>
  <c r="X249" i="1" l="1"/>
  <c r="F249" i="1"/>
  <c r="I249" i="1"/>
  <c r="J260" i="1" s="1"/>
  <c r="K260" i="1" s="1"/>
  <c r="M260" i="1" s="1"/>
  <c r="O260" i="1" s="1"/>
  <c r="R249" i="1"/>
  <c r="S260" i="1" s="1"/>
  <c r="T261" i="1" s="1"/>
  <c r="X248" i="1" l="1"/>
  <c r="F248" i="1"/>
  <c r="I248" i="1"/>
  <c r="J259" i="1" s="1"/>
  <c r="K259" i="1" s="1"/>
  <c r="M259" i="1" s="1"/>
  <c r="O259" i="1" s="1"/>
  <c r="R248" i="1"/>
  <c r="S259" i="1" s="1"/>
  <c r="T260" i="1" s="1"/>
  <c r="X247" i="1" l="1"/>
  <c r="F247" i="1"/>
  <c r="I247" i="1"/>
  <c r="J258" i="1" s="1"/>
  <c r="K258" i="1" s="1"/>
  <c r="M258" i="1" s="1"/>
  <c r="O258" i="1" s="1"/>
  <c r="R247" i="1"/>
  <c r="S258" i="1" s="1"/>
  <c r="T259" i="1" s="1"/>
  <c r="X246" i="1" l="1"/>
  <c r="F246" i="1"/>
  <c r="I246" i="1"/>
  <c r="J257" i="1" s="1"/>
  <c r="K257" i="1" s="1"/>
  <c r="M257" i="1" s="1"/>
  <c r="O257" i="1" s="1"/>
  <c r="R246" i="1"/>
  <c r="S257" i="1" s="1"/>
  <c r="T258" i="1" s="1"/>
  <c r="X245" i="1" l="1"/>
  <c r="F245" i="1"/>
  <c r="I245" i="1"/>
  <c r="J256" i="1" s="1"/>
  <c r="K256" i="1" s="1"/>
  <c r="M256" i="1" s="1"/>
  <c r="O256" i="1" s="1"/>
  <c r="R245" i="1"/>
  <c r="S256" i="1" s="1"/>
  <c r="T257" i="1" s="1"/>
  <c r="X244" i="1" l="1"/>
  <c r="F244" i="1"/>
  <c r="I244" i="1"/>
  <c r="J255" i="1" s="1"/>
  <c r="K255" i="1" s="1"/>
  <c r="M255" i="1" s="1"/>
  <c r="O255" i="1" s="1"/>
  <c r="R244" i="1"/>
  <c r="S255" i="1" s="1"/>
  <c r="T256" i="1" s="1"/>
  <c r="X243" i="1" l="1"/>
  <c r="F243" i="1"/>
  <c r="I243" i="1"/>
  <c r="J254" i="1" s="1"/>
  <c r="K254" i="1" s="1"/>
  <c r="M254" i="1" s="1"/>
  <c r="O254" i="1" s="1"/>
  <c r="R243" i="1"/>
  <c r="S254" i="1" s="1"/>
  <c r="T255" i="1" s="1"/>
  <c r="X242" i="1" l="1"/>
  <c r="F242" i="1"/>
  <c r="I242" i="1"/>
  <c r="J253" i="1" s="1"/>
  <c r="K253" i="1" s="1"/>
  <c r="M253" i="1" s="1"/>
  <c r="O253" i="1" s="1"/>
  <c r="R242" i="1"/>
  <c r="S253" i="1" s="1"/>
  <c r="T254" i="1" s="1"/>
  <c r="X241" i="1" l="1"/>
  <c r="F241" i="1"/>
  <c r="I241" i="1"/>
  <c r="J252" i="1" s="1"/>
  <c r="K252" i="1" s="1"/>
  <c r="M252" i="1" s="1"/>
  <c r="O252" i="1" s="1"/>
  <c r="R241" i="1"/>
  <c r="S252" i="1" s="1"/>
  <c r="T253" i="1" s="1"/>
  <c r="X240" i="1" l="1"/>
  <c r="F240" i="1"/>
  <c r="I240" i="1"/>
  <c r="J251" i="1" s="1"/>
  <c r="K251" i="1" s="1"/>
  <c r="M251" i="1" s="1"/>
  <c r="O251" i="1" s="1"/>
  <c r="R240" i="1"/>
  <c r="S251" i="1" s="1"/>
  <c r="T252" i="1" s="1"/>
  <c r="X239" i="1" l="1"/>
  <c r="F239" i="1"/>
  <c r="I239" i="1"/>
  <c r="J250" i="1" s="1"/>
  <c r="K250" i="1" s="1"/>
  <c r="M250" i="1" s="1"/>
  <c r="O250" i="1" s="1"/>
  <c r="R239" i="1"/>
  <c r="S250" i="1" s="1"/>
  <c r="T251" i="1" s="1"/>
  <c r="X238" i="1" l="1"/>
  <c r="F238" i="1"/>
  <c r="I238" i="1"/>
  <c r="J249" i="1" s="1"/>
  <c r="K249" i="1" s="1"/>
  <c r="M249" i="1" s="1"/>
  <c r="O249" i="1" s="1"/>
  <c r="R238" i="1"/>
  <c r="S249" i="1" s="1"/>
  <c r="T250" i="1" s="1"/>
  <c r="X237" i="1" l="1"/>
  <c r="F237" i="1"/>
  <c r="I237" i="1"/>
  <c r="J248" i="1" s="1"/>
  <c r="K248" i="1" s="1"/>
  <c r="M248" i="1" s="1"/>
  <c r="O248" i="1" s="1"/>
  <c r="R237" i="1"/>
  <c r="S248" i="1" s="1"/>
  <c r="T249" i="1" s="1"/>
  <c r="X236" i="1" l="1"/>
  <c r="F236" i="1"/>
  <c r="I236" i="1"/>
  <c r="J247" i="1" s="1"/>
  <c r="K247" i="1" s="1"/>
  <c r="M247" i="1" s="1"/>
  <c r="O247" i="1" s="1"/>
  <c r="R236" i="1"/>
  <c r="S247" i="1" s="1"/>
  <c r="T248" i="1" s="1"/>
  <c r="X235" i="1" l="1"/>
  <c r="F235" i="1"/>
  <c r="I235" i="1"/>
  <c r="J246" i="1" s="1"/>
  <c r="K246" i="1" s="1"/>
  <c r="M246" i="1" s="1"/>
  <c r="O246" i="1" s="1"/>
  <c r="R235" i="1"/>
  <c r="S246" i="1" s="1"/>
  <c r="T247" i="1" s="1"/>
  <c r="X234" i="1" l="1"/>
  <c r="F234" i="1"/>
  <c r="I234" i="1"/>
  <c r="J245" i="1" s="1"/>
  <c r="K245" i="1" s="1"/>
  <c r="M245" i="1" s="1"/>
  <c r="O245" i="1" s="1"/>
  <c r="R234" i="1"/>
  <c r="S245" i="1" s="1"/>
  <c r="T246" i="1" s="1"/>
  <c r="X233" i="1" l="1"/>
  <c r="F233" i="1"/>
  <c r="I233" i="1"/>
  <c r="J244" i="1" s="1"/>
  <c r="K244" i="1" s="1"/>
  <c r="M244" i="1" s="1"/>
  <c r="O244" i="1" s="1"/>
  <c r="R233" i="1"/>
  <c r="S244" i="1" s="1"/>
  <c r="T245" i="1" s="1"/>
  <c r="I285" i="1" l="1"/>
  <c r="I284" i="1"/>
  <c r="H282" i="1"/>
  <c r="H286" i="1" s="1"/>
  <c r="G282" i="1"/>
  <c r="G286" i="1" s="1"/>
  <c r="F282" i="1"/>
  <c r="F286" i="1" s="1"/>
  <c r="E282" i="1"/>
  <c r="E286" i="1" s="1"/>
  <c r="I281" i="1"/>
  <c r="I280" i="1"/>
  <c r="I282" i="1" l="1"/>
  <c r="I286" i="1" s="1"/>
  <c r="X232" i="1" l="1"/>
  <c r="F232" i="1"/>
  <c r="I232" i="1"/>
  <c r="R232" i="1"/>
  <c r="S243" i="1" l="1"/>
  <c r="T244" i="1" s="1"/>
  <c r="J243" i="1"/>
  <c r="K243" i="1" s="1"/>
  <c r="M243" i="1" s="1"/>
  <c r="O243" i="1" s="1"/>
  <c r="X231" i="1"/>
  <c r="F231" i="1"/>
  <c r="I231" i="1"/>
  <c r="J242" i="1" s="1"/>
  <c r="K242" i="1" s="1"/>
  <c r="M242" i="1" s="1"/>
  <c r="O242" i="1" s="1"/>
  <c r="R231" i="1"/>
  <c r="S242" i="1" s="1"/>
  <c r="T243" i="1" l="1"/>
  <c r="X230" i="1"/>
  <c r="F230" i="1"/>
  <c r="I230" i="1"/>
  <c r="J241" i="1" s="1"/>
  <c r="K241" i="1" s="1"/>
  <c r="M241" i="1" s="1"/>
  <c r="O241" i="1" s="1"/>
  <c r="R230" i="1"/>
  <c r="S241" i="1" s="1"/>
  <c r="T242" i="1" s="1"/>
  <c r="X229" i="1" l="1"/>
  <c r="F229" i="1"/>
  <c r="I229" i="1"/>
  <c r="J240" i="1" s="1"/>
  <c r="K240" i="1" s="1"/>
  <c r="M240" i="1" s="1"/>
  <c r="O240" i="1" s="1"/>
  <c r="R229" i="1"/>
  <c r="S240" i="1" s="1"/>
  <c r="T241" i="1" s="1"/>
  <c r="X228" i="1" l="1"/>
  <c r="F228" i="1"/>
  <c r="I228" i="1"/>
  <c r="J239" i="1" s="1"/>
  <c r="K239" i="1" s="1"/>
  <c r="M239" i="1" s="1"/>
  <c r="O239" i="1" s="1"/>
  <c r="R228" i="1"/>
  <c r="S239" i="1" s="1"/>
  <c r="T240" i="1" s="1"/>
  <c r="X227" i="1" l="1"/>
  <c r="F227" i="1"/>
  <c r="I227" i="1"/>
  <c r="J238" i="1" s="1"/>
  <c r="K238" i="1" s="1"/>
  <c r="M238" i="1" s="1"/>
  <c r="O238" i="1" s="1"/>
  <c r="R227" i="1"/>
  <c r="S238" i="1" s="1"/>
  <c r="T239" i="1" s="1"/>
  <c r="X226" i="1" l="1"/>
  <c r="F226" i="1"/>
  <c r="I226" i="1"/>
  <c r="J237" i="1" s="1"/>
  <c r="K237" i="1" s="1"/>
  <c r="M237" i="1" s="1"/>
  <c r="O237" i="1" s="1"/>
  <c r="R226" i="1"/>
  <c r="S237" i="1" s="1"/>
  <c r="T238" i="1" s="1"/>
  <c r="X225" i="1" l="1"/>
  <c r="F225" i="1"/>
  <c r="I225" i="1"/>
  <c r="J236" i="1" s="1"/>
  <c r="K236" i="1" s="1"/>
  <c r="M236" i="1" s="1"/>
  <c r="O236" i="1" s="1"/>
  <c r="R225" i="1"/>
  <c r="S236" i="1" s="1"/>
  <c r="T237" i="1" s="1"/>
  <c r="X224" i="1" l="1"/>
  <c r="F224" i="1"/>
  <c r="I224" i="1"/>
  <c r="J235" i="1" s="1"/>
  <c r="K235" i="1" s="1"/>
  <c r="M235" i="1" s="1"/>
  <c r="O235" i="1" s="1"/>
  <c r="R224" i="1"/>
  <c r="S235" i="1" s="1"/>
  <c r="T236" i="1" s="1"/>
  <c r="X223" i="1" l="1"/>
  <c r="F223" i="1"/>
  <c r="I223" i="1"/>
  <c r="J234" i="1" s="1"/>
  <c r="K234" i="1" s="1"/>
  <c r="M234" i="1" s="1"/>
  <c r="O234" i="1" s="1"/>
  <c r="R223" i="1"/>
  <c r="S234" i="1" s="1"/>
  <c r="T235" i="1" s="1"/>
  <c r="X222" i="1" l="1"/>
  <c r="F222" i="1"/>
  <c r="I222" i="1"/>
  <c r="J233" i="1" s="1"/>
  <c r="K233" i="1" s="1"/>
  <c r="M233" i="1" s="1"/>
  <c r="O233" i="1" s="1"/>
  <c r="R222" i="1"/>
  <c r="S233" i="1" s="1"/>
  <c r="T234" i="1" s="1"/>
  <c r="X221" i="1" l="1"/>
  <c r="F221" i="1"/>
  <c r="I221" i="1"/>
  <c r="R221" i="1"/>
  <c r="S232" i="1" l="1"/>
  <c r="T233" i="1" s="1"/>
  <c r="J232" i="1"/>
  <c r="K232" i="1" s="1"/>
  <c r="M232" i="1" s="1"/>
  <c r="O232" i="1" s="1"/>
  <c r="X220" i="1"/>
  <c r="F220" i="1"/>
  <c r="I220" i="1"/>
  <c r="J231" i="1" s="1"/>
  <c r="K231" i="1" s="1"/>
  <c r="R220" i="1"/>
  <c r="S231" i="1" s="1"/>
  <c r="T232" i="1" l="1"/>
  <c r="M231" i="1"/>
  <c r="O231" i="1" s="1"/>
  <c r="X219" i="1"/>
  <c r="F219" i="1"/>
  <c r="I219" i="1"/>
  <c r="J230" i="1" s="1"/>
  <c r="K230" i="1" s="1"/>
  <c r="R219" i="1"/>
  <c r="S230" i="1" s="1"/>
  <c r="T231" i="1" l="1"/>
  <c r="M230" i="1"/>
  <c r="O230" i="1" s="1"/>
  <c r="X218" i="1"/>
  <c r="F218" i="1"/>
  <c r="I218" i="1"/>
  <c r="J229" i="1" s="1"/>
  <c r="K229" i="1" s="1"/>
  <c r="R218" i="1"/>
  <c r="S229" i="1" s="1"/>
  <c r="T230" i="1" l="1"/>
  <c r="M229" i="1"/>
  <c r="O229" i="1" s="1"/>
  <c r="X217" i="1"/>
  <c r="F217" i="1"/>
  <c r="I217" i="1"/>
  <c r="J228" i="1" s="1"/>
  <c r="K228" i="1" s="1"/>
  <c r="R217" i="1"/>
  <c r="S228" i="1" s="1"/>
  <c r="T229" i="1" l="1"/>
  <c r="M228" i="1"/>
  <c r="O228" i="1" s="1"/>
  <c r="X216" i="1"/>
  <c r="F216" i="1"/>
  <c r="I216" i="1"/>
  <c r="J227" i="1" s="1"/>
  <c r="K227" i="1" s="1"/>
  <c r="R216" i="1"/>
  <c r="S227" i="1" s="1"/>
  <c r="T228" i="1" l="1"/>
  <c r="M227" i="1"/>
  <c r="O227" i="1" s="1"/>
  <c r="X215" i="1"/>
  <c r="F215" i="1"/>
  <c r="I215" i="1"/>
  <c r="J226" i="1" s="1"/>
  <c r="K226" i="1" s="1"/>
  <c r="R215" i="1"/>
  <c r="S226" i="1" s="1"/>
  <c r="T227" i="1" l="1"/>
  <c r="M226" i="1"/>
  <c r="O226" i="1" s="1"/>
  <c r="V214" i="1"/>
  <c r="X214" i="1" s="1"/>
  <c r="F214" i="1"/>
  <c r="I214" i="1"/>
  <c r="J225" i="1" s="1"/>
  <c r="K225" i="1" s="1"/>
  <c r="R214" i="1"/>
  <c r="S225" i="1" s="1"/>
  <c r="T226" i="1" l="1"/>
  <c r="M225" i="1"/>
  <c r="O225" i="1" s="1"/>
  <c r="X213" i="1"/>
  <c r="F213" i="1"/>
  <c r="I213" i="1"/>
  <c r="J224" i="1" s="1"/>
  <c r="K224" i="1" s="1"/>
  <c r="R213" i="1"/>
  <c r="S224" i="1" s="1"/>
  <c r="T225" i="1" l="1"/>
  <c r="M224" i="1"/>
  <c r="O224" i="1" s="1"/>
  <c r="X212" i="1"/>
  <c r="F212" i="1"/>
  <c r="I212" i="1"/>
  <c r="J223" i="1" s="1"/>
  <c r="K223" i="1" s="1"/>
  <c r="R212" i="1"/>
  <c r="S223" i="1" s="1"/>
  <c r="T224" i="1" l="1"/>
  <c r="M223" i="1"/>
  <c r="O223" i="1" s="1"/>
  <c r="X211" i="1"/>
  <c r="F211" i="1"/>
  <c r="I211" i="1"/>
  <c r="J222" i="1" s="1"/>
  <c r="K222" i="1" s="1"/>
  <c r="R211" i="1"/>
  <c r="S222" i="1" s="1"/>
  <c r="T223" i="1" l="1"/>
  <c r="M222" i="1"/>
  <c r="O222" i="1" s="1"/>
  <c r="X210" i="1"/>
  <c r="F210" i="1"/>
  <c r="I210" i="1"/>
  <c r="J221" i="1" s="1"/>
  <c r="K221" i="1" s="1"/>
  <c r="M221" i="1" s="1"/>
  <c r="O221" i="1" s="1"/>
  <c r="R210" i="1"/>
  <c r="S221" i="1" s="1"/>
  <c r="T222" i="1" l="1"/>
  <c r="X209" i="1"/>
  <c r="F209" i="1"/>
  <c r="I209" i="1"/>
  <c r="J220" i="1" s="1"/>
  <c r="K220" i="1" s="1"/>
  <c r="M220" i="1" s="1"/>
  <c r="O220" i="1" s="1"/>
  <c r="R209" i="1"/>
  <c r="S220" i="1" s="1"/>
  <c r="T221" i="1" s="1"/>
  <c r="X208" i="1" l="1"/>
  <c r="F208" i="1"/>
  <c r="I208" i="1"/>
  <c r="J219" i="1" s="1"/>
  <c r="K219" i="1" s="1"/>
  <c r="M219" i="1" s="1"/>
  <c r="O219" i="1" s="1"/>
  <c r="R208" i="1"/>
  <c r="S219" i="1" s="1"/>
  <c r="T220" i="1" s="1"/>
  <c r="X207" i="1" l="1"/>
  <c r="F207" i="1"/>
  <c r="I207" i="1"/>
  <c r="J218" i="1" s="1"/>
  <c r="K218" i="1" s="1"/>
  <c r="M218" i="1" s="1"/>
  <c r="O218" i="1" s="1"/>
  <c r="R207" i="1"/>
  <c r="S218" i="1" s="1"/>
  <c r="T219" i="1" s="1"/>
  <c r="V206" i="1" l="1"/>
  <c r="X206" i="1" s="1"/>
  <c r="F206" i="1"/>
  <c r="I206" i="1"/>
  <c r="J217" i="1" s="1"/>
  <c r="K217" i="1" s="1"/>
  <c r="M217" i="1" s="1"/>
  <c r="O217" i="1" s="1"/>
  <c r="R206" i="1"/>
  <c r="S217" i="1" s="1"/>
  <c r="T218" i="1" s="1"/>
  <c r="X205" i="1" l="1"/>
  <c r="F205" i="1"/>
  <c r="I205" i="1"/>
  <c r="J216" i="1" s="1"/>
  <c r="K216" i="1" s="1"/>
  <c r="M216" i="1" s="1"/>
  <c r="O216" i="1" s="1"/>
  <c r="R205" i="1"/>
  <c r="S216" i="1" s="1"/>
  <c r="T217" i="1" s="1"/>
  <c r="X204" i="1" l="1"/>
  <c r="F204" i="1"/>
  <c r="I204" i="1"/>
  <c r="J215" i="1" s="1"/>
  <c r="K215" i="1" s="1"/>
  <c r="M215" i="1" s="1"/>
  <c r="O215" i="1" s="1"/>
  <c r="R204" i="1"/>
  <c r="S215" i="1" s="1"/>
  <c r="T216" i="1" s="1"/>
  <c r="X203" i="1" l="1"/>
  <c r="F203" i="1"/>
  <c r="I203" i="1"/>
  <c r="J214" i="1" s="1"/>
  <c r="K214" i="1" s="1"/>
  <c r="M214" i="1" s="1"/>
  <c r="O214" i="1" s="1"/>
  <c r="R203" i="1"/>
  <c r="S214" i="1" s="1"/>
  <c r="T215" i="1" s="1"/>
  <c r="X202" i="1" l="1"/>
  <c r="F202" i="1"/>
  <c r="I202" i="1"/>
  <c r="J213" i="1" s="1"/>
  <c r="K213" i="1" s="1"/>
  <c r="M213" i="1" s="1"/>
  <c r="O213" i="1" s="1"/>
  <c r="R202" i="1"/>
  <c r="S213" i="1" s="1"/>
  <c r="T214" i="1" s="1"/>
  <c r="X201" i="1" l="1"/>
  <c r="F201" i="1"/>
  <c r="I201" i="1"/>
  <c r="J212" i="1" s="1"/>
  <c r="K212" i="1" s="1"/>
  <c r="M212" i="1" s="1"/>
  <c r="O212" i="1" s="1"/>
  <c r="R201" i="1"/>
  <c r="S212" i="1" s="1"/>
  <c r="T213" i="1" s="1"/>
  <c r="X200" i="1" l="1"/>
  <c r="F200" i="1"/>
  <c r="I200" i="1"/>
  <c r="J211" i="1" s="1"/>
  <c r="K211" i="1" s="1"/>
  <c r="M211" i="1" s="1"/>
  <c r="O211" i="1" s="1"/>
  <c r="R200" i="1"/>
  <c r="S211" i="1" s="1"/>
  <c r="T212" i="1" s="1"/>
  <c r="V199" i="1" l="1"/>
  <c r="X199" i="1" s="1"/>
  <c r="F199" i="1"/>
  <c r="I199" i="1"/>
  <c r="J210" i="1" s="1"/>
  <c r="K210" i="1" s="1"/>
  <c r="M210" i="1" s="1"/>
  <c r="O210" i="1" s="1"/>
  <c r="R199" i="1"/>
  <c r="S210" i="1" s="1"/>
  <c r="T211" i="1" s="1"/>
  <c r="X198" i="1" l="1"/>
  <c r="F198" i="1"/>
  <c r="I198" i="1"/>
  <c r="J209" i="1" s="1"/>
  <c r="K209" i="1" s="1"/>
  <c r="M209" i="1" s="1"/>
  <c r="O209" i="1" s="1"/>
  <c r="R198" i="1"/>
  <c r="S209" i="1" s="1"/>
  <c r="T210" i="1" s="1"/>
  <c r="X197" i="1" l="1"/>
  <c r="F197" i="1"/>
  <c r="I197" i="1"/>
  <c r="J208" i="1" s="1"/>
  <c r="K208" i="1" s="1"/>
  <c r="O208" i="1" s="1"/>
  <c r="R197" i="1"/>
  <c r="S208" i="1" s="1"/>
  <c r="T209" i="1" s="1"/>
  <c r="X196" i="1" l="1"/>
  <c r="F196" i="1"/>
  <c r="I196" i="1"/>
  <c r="J207" i="1" s="1"/>
  <c r="K207" i="1" s="1"/>
  <c r="O207" i="1" s="1"/>
  <c r="R196" i="1"/>
  <c r="S207" i="1" s="1"/>
  <c r="T208" i="1" s="1"/>
  <c r="X195" i="1" l="1"/>
  <c r="F195" i="1"/>
  <c r="I195" i="1"/>
  <c r="J206" i="1" s="1"/>
  <c r="K206" i="1" s="1"/>
  <c r="O206" i="1" s="1"/>
  <c r="R195" i="1"/>
  <c r="S206" i="1" s="1"/>
  <c r="T207" i="1" s="1"/>
  <c r="X194" i="1" l="1"/>
  <c r="F194" i="1"/>
  <c r="I194" i="1"/>
  <c r="J205" i="1" s="1"/>
  <c r="K205" i="1" s="1"/>
  <c r="O205" i="1" s="1"/>
  <c r="R194" i="1"/>
  <c r="S205" i="1" s="1"/>
  <c r="T206" i="1" s="1"/>
  <c r="V193" i="1" l="1"/>
  <c r="X193" i="1" s="1"/>
  <c r="F193" i="1"/>
  <c r="I193" i="1"/>
  <c r="J204" i="1" s="1"/>
  <c r="K204" i="1" s="1"/>
  <c r="O204" i="1" s="1"/>
  <c r="R193" i="1"/>
  <c r="S204" i="1" s="1"/>
  <c r="T205" i="1" s="1"/>
  <c r="X192" i="1" l="1"/>
  <c r="F192" i="1"/>
  <c r="I192" i="1"/>
  <c r="J203" i="1" s="1"/>
  <c r="K203" i="1" s="1"/>
  <c r="O203" i="1" s="1"/>
  <c r="R192" i="1"/>
  <c r="S203" i="1" s="1"/>
  <c r="T204" i="1" s="1"/>
  <c r="X191" i="1" l="1"/>
  <c r="F191" i="1"/>
  <c r="I191" i="1"/>
  <c r="J202" i="1" s="1"/>
  <c r="K202" i="1" s="1"/>
  <c r="O202" i="1" s="1"/>
  <c r="R191" i="1"/>
  <c r="S202" i="1" s="1"/>
  <c r="T203" i="1" s="1"/>
  <c r="F190" i="1" l="1"/>
  <c r="I190" i="1"/>
  <c r="J201" i="1" s="1"/>
  <c r="K201" i="1" s="1"/>
  <c r="O201" i="1" s="1"/>
  <c r="R190" i="1"/>
  <c r="S201" i="1" s="1"/>
  <c r="T202" i="1" s="1"/>
  <c r="X190" i="1"/>
  <c r="X189" i="1" l="1"/>
  <c r="F189" i="1"/>
  <c r="I189" i="1"/>
  <c r="J200" i="1" s="1"/>
  <c r="K200" i="1" s="1"/>
  <c r="O200" i="1" s="1"/>
  <c r="R189" i="1"/>
  <c r="S200" i="1" s="1"/>
  <c r="T201" i="1" s="1"/>
  <c r="X188" i="1" l="1"/>
  <c r="F188" i="1"/>
  <c r="I188" i="1"/>
  <c r="J199" i="1" s="1"/>
  <c r="K199" i="1" s="1"/>
  <c r="O199" i="1" s="1"/>
  <c r="R188" i="1"/>
  <c r="S199" i="1" s="1"/>
  <c r="T200" i="1" s="1"/>
  <c r="F187" i="1" l="1"/>
  <c r="I187" i="1"/>
  <c r="J198" i="1" s="1"/>
  <c r="K198" i="1" s="1"/>
  <c r="O198" i="1" s="1"/>
  <c r="R187" i="1"/>
  <c r="S198" i="1" s="1"/>
  <c r="T199" i="1" s="1"/>
  <c r="V186" i="1" l="1"/>
  <c r="X186" i="1" s="1"/>
  <c r="F186" i="1"/>
  <c r="I186" i="1"/>
  <c r="J197" i="1" s="1"/>
  <c r="K197" i="1" s="1"/>
  <c r="O197" i="1" s="1"/>
  <c r="R186" i="1"/>
  <c r="S197" i="1" s="1"/>
  <c r="T198" i="1" s="1"/>
  <c r="X185" i="1" l="1"/>
  <c r="F185" i="1"/>
  <c r="I185" i="1"/>
  <c r="J196" i="1" s="1"/>
  <c r="K196" i="1" s="1"/>
  <c r="O196" i="1" s="1"/>
  <c r="R185" i="1"/>
  <c r="S196" i="1" s="1"/>
  <c r="T197" i="1" s="1"/>
  <c r="X184" i="1" l="1"/>
  <c r="F184" i="1"/>
  <c r="I184" i="1"/>
  <c r="J195" i="1" s="1"/>
  <c r="K195" i="1" s="1"/>
  <c r="O195" i="1" s="1"/>
  <c r="R184" i="1"/>
  <c r="S195" i="1" s="1"/>
  <c r="T196" i="1" s="1"/>
  <c r="X183" i="1" l="1"/>
  <c r="F183" i="1"/>
  <c r="I183" i="1"/>
  <c r="J194" i="1" s="1"/>
  <c r="K194" i="1" s="1"/>
  <c r="O194" i="1" s="1"/>
  <c r="R183" i="1"/>
  <c r="S194" i="1" s="1"/>
  <c r="T195" i="1" s="1"/>
  <c r="X182" i="1" l="1"/>
  <c r="F182" i="1"/>
  <c r="I182" i="1"/>
  <c r="J193" i="1" s="1"/>
  <c r="K193" i="1" s="1"/>
  <c r="O193" i="1" s="1"/>
  <c r="R182" i="1"/>
  <c r="S193" i="1" s="1"/>
  <c r="T194" i="1" s="1"/>
  <c r="X181" i="1" l="1"/>
  <c r="F181" i="1"/>
  <c r="I181" i="1"/>
  <c r="J192" i="1" s="1"/>
  <c r="K192" i="1" s="1"/>
  <c r="O192" i="1" s="1"/>
  <c r="R181" i="1"/>
  <c r="S192" i="1" s="1"/>
  <c r="T193" i="1" s="1"/>
  <c r="W180" i="1" l="1"/>
  <c r="X180" i="1" s="1"/>
  <c r="F180" i="1"/>
  <c r="I180" i="1"/>
  <c r="J191" i="1" s="1"/>
  <c r="K191" i="1" s="1"/>
  <c r="O191" i="1" s="1"/>
  <c r="R180" i="1"/>
  <c r="S191" i="1" s="1"/>
  <c r="T192" i="1" s="1"/>
  <c r="X179" i="1" l="1"/>
  <c r="F179" i="1"/>
  <c r="I179" i="1"/>
  <c r="J190" i="1" s="1"/>
  <c r="K190" i="1" s="1"/>
  <c r="O190" i="1" s="1"/>
  <c r="R179" i="1"/>
  <c r="S190" i="1" s="1"/>
  <c r="T191" i="1" s="1"/>
  <c r="V178" i="1" l="1"/>
  <c r="X178" i="1" l="1"/>
  <c r="F178" i="1"/>
  <c r="I178" i="1"/>
  <c r="J189" i="1" s="1"/>
  <c r="K189" i="1" s="1"/>
  <c r="O189" i="1" s="1"/>
  <c r="R178" i="1"/>
  <c r="S189" i="1" s="1"/>
  <c r="T190" i="1" s="1"/>
  <c r="X177" i="1" l="1"/>
  <c r="F177" i="1"/>
  <c r="I177" i="1"/>
  <c r="J188" i="1" s="1"/>
  <c r="K188" i="1" s="1"/>
  <c r="O188" i="1" s="1"/>
  <c r="R177" i="1"/>
  <c r="S188" i="1" s="1"/>
  <c r="T189" i="1" s="1"/>
  <c r="X176" i="1" l="1"/>
  <c r="F176" i="1"/>
  <c r="I176" i="1"/>
  <c r="J187" i="1" s="1"/>
  <c r="K187" i="1" s="1"/>
  <c r="O187" i="1" s="1"/>
  <c r="R176" i="1"/>
  <c r="S187" i="1" s="1"/>
  <c r="T188" i="1" s="1"/>
  <c r="X175" i="1" l="1"/>
  <c r="F175" i="1"/>
  <c r="I175" i="1"/>
  <c r="J186" i="1" s="1"/>
  <c r="K186" i="1" s="1"/>
  <c r="O186" i="1" s="1"/>
  <c r="R175" i="1"/>
  <c r="S186" i="1" s="1"/>
  <c r="T187" i="1" s="1"/>
  <c r="X174" i="1" l="1"/>
  <c r="F174" i="1"/>
  <c r="I174" i="1"/>
  <c r="J185" i="1" s="1"/>
  <c r="K185" i="1" s="1"/>
  <c r="O185" i="1" s="1"/>
  <c r="R174" i="1"/>
  <c r="S185" i="1" s="1"/>
  <c r="T186" i="1" s="1"/>
  <c r="X173" i="1" l="1"/>
  <c r="F173" i="1" l="1"/>
  <c r="I173" i="1"/>
  <c r="J184" i="1" s="1"/>
  <c r="K184" i="1" s="1"/>
  <c r="O184" i="1" s="1"/>
  <c r="R173" i="1"/>
  <c r="S184" i="1" s="1"/>
  <c r="T185" i="1" s="1"/>
  <c r="F172" i="1" l="1"/>
  <c r="I172" i="1"/>
  <c r="J183" i="1" s="1"/>
  <c r="K183" i="1" s="1"/>
  <c r="O183" i="1" s="1"/>
  <c r="R172" i="1"/>
  <c r="S183" i="1" s="1"/>
  <c r="T184" i="1" s="1"/>
  <c r="F171" i="1" l="1"/>
  <c r="I171" i="1"/>
  <c r="J182" i="1" s="1"/>
  <c r="K182" i="1" s="1"/>
  <c r="O182" i="1" s="1"/>
  <c r="R171" i="1"/>
  <c r="S182" i="1" s="1"/>
  <c r="T183" i="1" s="1"/>
  <c r="W170" i="1" l="1"/>
  <c r="X170" i="1" l="1"/>
  <c r="F170" i="1"/>
  <c r="I170" i="1"/>
  <c r="J181" i="1" s="1"/>
  <c r="K181" i="1" s="1"/>
  <c r="O181" i="1" s="1"/>
  <c r="R170" i="1"/>
  <c r="S181" i="1" s="1"/>
  <c r="T182" i="1" s="1"/>
  <c r="X169" i="1" l="1"/>
  <c r="F169" i="1"/>
  <c r="I169" i="1"/>
  <c r="J180" i="1" s="1"/>
  <c r="K180" i="1" s="1"/>
  <c r="O180" i="1" s="1"/>
  <c r="R169" i="1"/>
  <c r="S180" i="1" s="1"/>
  <c r="T181" i="1" s="1"/>
  <c r="X168" i="1" l="1"/>
  <c r="F168" i="1"/>
  <c r="I168" i="1"/>
  <c r="J179" i="1" s="1"/>
  <c r="K179" i="1" s="1"/>
  <c r="O179" i="1" s="1"/>
  <c r="R168" i="1"/>
  <c r="S179" i="1" s="1"/>
  <c r="T180" i="1" s="1"/>
  <c r="X167" i="1" l="1"/>
  <c r="F167" i="1"/>
  <c r="I167" i="1"/>
  <c r="J178" i="1" s="1"/>
  <c r="K178" i="1" s="1"/>
  <c r="O178" i="1" s="1"/>
  <c r="R167" i="1"/>
  <c r="S178" i="1" s="1"/>
  <c r="T179" i="1" s="1"/>
  <c r="X166" i="1" l="1"/>
  <c r="F166" i="1"/>
  <c r="I166" i="1"/>
  <c r="J177" i="1" s="1"/>
  <c r="K177" i="1" s="1"/>
  <c r="O177" i="1" s="1"/>
  <c r="R166" i="1"/>
  <c r="S177" i="1" s="1"/>
  <c r="T178" i="1" s="1"/>
  <c r="X165" i="1" l="1"/>
  <c r="F165" i="1"/>
  <c r="I165" i="1"/>
  <c r="J176" i="1" s="1"/>
  <c r="K176" i="1" s="1"/>
  <c r="O176" i="1" s="1"/>
  <c r="R165" i="1"/>
  <c r="S176" i="1" s="1"/>
  <c r="T177" i="1" s="1"/>
  <c r="X164" i="1" l="1"/>
  <c r="F164" i="1"/>
  <c r="I164" i="1"/>
  <c r="J175" i="1" s="1"/>
  <c r="K175" i="1" s="1"/>
  <c r="O175" i="1" s="1"/>
  <c r="R164" i="1"/>
  <c r="S175" i="1" s="1"/>
  <c r="T176" i="1" s="1"/>
  <c r="X163" i="1" l="1"/>
  <c r="F163" i="1"/>
  <c r="I163" i="1"/>
  <c r="J174" i="1" s="1"/>
  <c r="K174" i="1" s="1"/>
  <c r="O174" i="1" s="1"/>
  <c r="R163" i="1"/>
  <c r="S174" i="1" s="1"/>
  <c r="T175" i="1" s="1"/>
  <c r="X162" i="1" l="1"/>
  <c r="F162" i="1"/>
  <c r="I162" i="1"/>
  <c r="J173" i="1" s="1"/>
  <c r="K173" i="1" s="1"/>
  <c r="O173" i="1" s="1"/>
  <c r="R162" i="1"/>
  <c r="S173" i="1" s="1"/>
  <c r="T174" i="1" s="1"/>
  <c r="X161" i="1" l="1"/>
  <c r="F161" i="1"/>
  <c r="I161" i="1"/>
  <c r="J172" i="1" s="1"/>
  <c r="K172" i="1" s="1"/>
  <c r="O172" i="1" s="1"/>
  <c r="R161" i="1"/>
  <c r="S172" i="1" s="1"/>
  <c r="T173" i="1" s="1"/>
  <c r="X160" i="1" l="1"/>
  <c r="F160" i="1" l="1"/>
  <c r="I160" i="1"/>
  <c r="J171" i="1" s="1"/>
  <c r="K171" i="1" s="1"/>
  <c r="O171" i="1" s="1"/>
  <c r="R160" i="1"/>
  <c r="S171" i="1" s="1"/>
  <c r="T172" i="1" s="1"/>
  <c r="F159" i="1" l="1"/>
  <c r="I159" i="1"/>
  <c r="J170" i="1" s="1"/>
  <c r="K170" i="1" s="1"/>
  <c r="O170" i="1" s="1"/>
  <c r="R159" i="1"/>
  <c r="S170" i="1" s="1"/>
  <c r="T171" i="1" s="1"/>
  <c r="X158" i="1" l="1"/>
  <c r="F158" i="1"/>
  <c r="I158" i="1"/>
  <c r="J169" i="1" s="1"/>
  <c r="K169" i="1" s="1"/>
  <c r="O169" i="1" s="1"/>
  <c r="R158" i="1"/>
  <c r="S169" i="1" s="1"/>
  <c r="T170" i="1" s="1"/>
  <c r="F157" i="1" l="1"/>
  <c r="I157" i="1"/>
  <c r="J168" i="1" s="1"/>
  <c r="K168" i="1" s="1"/>
  <c r="O168" i="1" s="1"/>
  <c r="R157" i="1"/>
  <c r="S168" i="1" s="1"/>
  <c r="T169" i="1" s="1"/>
  <c r="X157" i="1"/>
  <c r="F156" i="1"/>
  <c r="I156" i="1"/>
  <c r="R156" i="1"/>
  <c r="X156" i="1"/>
  <c r="X155" i="1"/>
  <c r="F155" i="1"/>
  <c r="I155" i="1"/>
  <c r="R155" i="1"/>
  <c r="S167" i="1" l="1"/>
  <c r="T168" i="1" s="1"/>
  <c r="J167" i="1"/>
  <c r="K167" i="1" s="1"/>
  <c r="O167" i="1" s="1"/>
  <c r="S166" i="1"/>
  <c r="J166" i="1"/>
  <c r="K166" i="1" s="1"/>
  <c r="O166" i="1" s="1"/>
  <c r="X154" i="1"/>
  <c r="F154" i="1"/>
  <c r="I154" i="1"/>
  <c r="J165" i="1" s="1"/>
  <c r="K165" i="1" s="1"/>
  <c r="O165" i="1" s="1"/>
  <c r="R154" i="1"/>
  <c r="S165" i="1" s="1"/>
  <c r="X153" i="1"/>
  <c r="T167" i="1" l="1"/>
  <c r="T166" i="1"/>
  <c r="F153" i="1"/>
  <c r="I153" i="1"/>
  <c r="J164" i="1" s="1"/>
  <c r="K164" i="1" s="1"/>
  <c r="O164" i="1" s="1"/>
  <c r="R153" i="1"/>
  <c r="S164" i="1" s="1"/>
  <c r="T165" i="1" s="1"/>
  <c r="F152" i="1"/>
  <c r="I152" i="1"/>
  <c r="R152" i="1"/>
  <c r="S163" i="1" l="1"/>
  <c r="T164" i="1" s="1"/>
  <c r="J163" i="1"/>
  <c r="K163" i="1" s="1"/>
  <c r="O163" i="1" s="1"/>
  <c r="F151" i="1"/>
  <c r="I151" i="1"/>
  <c r="J162" i="1" s="1"/>
  <c r="K162" i="1" s="1"/>
  <c r="O162" i="1" s="1"/>
  <c r="R151" i="1"/>
  <c r="S162" i="1" s="1"/>
  <c r="F150" i="1"/>
  <c r="I150" i="1"/>
  <c r="R150" i="1"/>
  <c r="F149" i="1"/>
  <c r="I149" i="1"/>
  <c r="R149" i="1"/>
  <c r="F148" i="1"/>
  <c r="I148" i="1"/>
  <c r="R148" i="1"/>
  <c r="F147" i="1"/>
  <c r="I147" i="1"/>
  <c r="R147" i="1"/>
  <c r="T163" i="1" l="1"/>
  <c r="S158" i="1"/>
  <c r="J158" i="1"/>
  <c r="K158" i="1" s="1"/>
  <c r="O158" i="1" s="1"/>
  <c r="S161" i="1"/>
  <c r="T162" i="1" s="1"/>
  <c r="J161" i="1"/>
  <c r="K161" i="1" s="1"/>
  <c r="O161" i="1" s="1"/>
  <c r="J159" i="1"/>
  <c r="K159" i="1" s="1"/>
  <c r="O159" i="1" s="1"/>
  <c r="S159" i="1"/>
  <c r="J160" i="1"/>
  <c r="K160" i="1" s="1"/>
  <c r="O160" i="1" s="1"/>
  <c r="S160" i="1"/>
  <c r="F146" i="1"/>
  <c r="I146" i="1"/>
  <c r="J157" i="1" s="1"/>
  <c r="K157" i="1" s="1"/>
  <c r="O157" i="1" s="1"/>
  <c r="R146" i="1"/>
  <c r="S157" i="1" s="1"/>
  <c r="T160" i="1" l="1"/>
  <c r="T158" i="1"/>
  <c r="T161" i="1"/>
  <c r="T159" i="1"/>
  <c r="F145" i="1"/>
  <c r="I145" i="1"/>
  <c r="J156" i="1" s="1"/>
  <c r="K156" i="1" s="1"/>
  <c r="O156" i="1" s="1"/>
  <c r="R145" i="1"/>
  <c r="S156" i="1" s="1"/>
  <c r="T157" i="1" s="1"/>
  <c r="F144" i="1"/>
  <c r="I144" i="1"/>
  <c r="R144" i="1"/>
  <c r="F143" i="1"/>
  <c r="I143" i="1"/>
  <c r="R143" i="1"/>
  <c r="S154" i="1" l="1"/>
  <c r="J154" i="1"/>
  <c r="K154" i="1" s="1"/>
  <c r="O154" i="1" s="1"/>
  <c r="S155" i="1"/>
  <c r="T156" i="1" s="1"/>
  <c r="J155" i="1"/>
  <c r="K155" i="1" s="1"/>
  <c r="O155" i="1" s="1"/>
  <c r="F142" i="1"/>
  <c r="I142" i="1"/>
  <c r="J153" i="1" s="1"/>
  <c r="K153" i="1" s="1"/>
  <c r="O153" i="1" s="1"/>
  <c r="R142" i="1"/>
  <c r="S153" i="1" s="1"/>
  <c r="X141" i="1"/>
  <c r="F141" i="1"/>
  <c r="I141" i="1"/>
  <c r="R141" i="1"/>
  <c r="X140" i="1"/>
  <c r="F140" i="1"/>
  <c r="I140" i="1"/>
  <c r="R140" i="1"/>
  <c r="J152" i="1" l="1"/>
  <c r="K152" i="1" s="1"/>
  <c r="O152" i="1" s="1"/>
  <c r="S152" i="1"/>
  <c r="T153" i="1" s="1"/>
  <c r="T154" i="1"/>
  <c r="T155" i="1"/>
  <c r="S151" i="1"/>
  <c r="J151" i="1"/>
  <c r="K151" i="1" s="1"/>
  <c r="O151" i="1" s="1"/>
  <c r="X139" i="1"/>
  <c r="F139" i="1"/>
  <c r="I139" i="1"/>
  <c r="J150" i="1" s="1"/>
  <c r="K150" i="1" s="1"/>
  <c r="O150" i="1" s="1"/>
  <c r="R139" i="1"/>
  <c r="S150" i="1" s="1"/>
  <c r="X138" i="1"/>
  <c r="F138" i="1"/>
  <c r="I138" i="1"/>
  <c r="R138" i="1"/>
  <c r="T152" i="1" l="1"/>
  <c r="S149" i="1"/>
  <c r="T150" i="1" s="1"/>
  <c r="T151" i="1"/>
  <c r="J149" i="1"/>
  <c r="K149" i="1" s="1"/>
  <c r="O149" i="1" s="1"/>
  <c r="X137" i="1"/>
  <c r="F137" i="1"/>
  <c r="I137" i="1"/>
  <c r="J148" i="1" s="1"/>
  <c r="K148" i="1" s="1"/>
  <c r="O148" i="1" s="1"/>
  <c r="R137" i="1"/>
  <c r="S148" i="1" s="1"/>
  <c r="X136" i="1"/>
  <c r="F136" i="1"/>
  <c r="I136" i="1"/>
  <c r="R136" i="1"/>
  <c r="F135" i="1"/>
  <c r="I135" i="1"/>
  <c r="R135" i="1"/>
  <c r="X134" i="1"/>
  <c r="F134" i="1"/>
  <c r="I134" i="1"/>
  <c r="R134" i="1"/>
  <c r="X133" i="1"/>
  <c r="F133" i="1"/>
  <c r="I133" i="1"/>
  <c r="R133" i="1"/>
  <c r="X132" i="1"/>
  <c r="F132" i="1"/>
  <c r="I132" i="1"/>
  <c r="R132" i="1"/>
  <c r="X131" i="1"/>
  <c r="F131" i="1"/>
  <c r="I131" i="1"/>
  <c r="R131" i="1"/>
  <c r="X130" i="1"/>
  <c r="F130" i="1"/>
  <c r="I130" i="1"/>
  <c r="R130" i="1"/>
  <c r="X129" i="1"/>
  <c r="X128" i="1"/>
  <c r="T149" i="1" l="1"/>
  <c r="S142" i="1"/>
  <c r="J142" i="1"/>
  <c r="K142" i="1" s="1"/>
  <c r="O142" i="1" s="1"/>
  <c r="S144" i="1"/>
  <c r="J144" i="1"/>
  <c r="K144" i="1" s="1"/>
  <c r="O144" i="1" s="1"/>
  <c r="S141" i="1"/>
  <c r="S143" i="1"/>
  <c r="S145" i="1"/>
  <c r="J147" i="1"/>
  <c r="K147" i="1" s="1"/>
  <c r="O147" i="1" s="1"/>
  <c r="S146" i="1"/>
  <c r="J146" i="1"/>
  <c r="K146" i="1" s="1"/>
  <c r="O146" i="1" s="1"/>
  <c r="J141" i="1"/>
  <c r="K141" i="1" s="1"/>
  <c r="O141" i="1" s="1"/>
  <c r="J143" i="1"/>
  <c r="K143" i="1" s="1"/>
  <c r="O143" i="1" s="1"/>
  <c r="J145" i="1"/>
  <c r="K145" i="1" s="1"/>
  <c r="O145" i="1" s="1"/>
  <c r="S147" i="1"/>
  <c r="T148" i="1" s="1"/>
  <c r="F129" i="1"/>
  <c r="I129" i="1"/>
  <c r="J140" i="1" s="1"/>
  <c r="K140" i="1" s="1"/>
  <c r="O140" i="1" s="1"/>
  <c r="R129" i="1"/>
  <c r="S140" i="1" s="1"/>
  <c r="F128" i="1"/>
  <c r="I128" i="1"/>
  <c r="R128" i="1"/>
  <c r="T145" i="1" l="1"/>
  <c r="T147" i="1"/>
  <c r="T142" i="1"/>
  <c r="T143" i="1"/>
  <c r="T144" i="1"/>
  <c r="T146" i="1"/>
  <c r="T141" i="1"/>
  <c r="J139" i="1"/>
  <c r="K139" i="1" s="1"/>
  <c r="O139" i="1" s="1"/>
  <c r="S139" i="1"/>
  <c r="T140" i="1" s="1"/>
  <c r="F127" i="1" l="1"/>
  <c r="I127" i="1"/>
  <c r="J138" i="1" s="1"/>
  <c r="K138" i="1" s="1"/>
  <c r="O138" i="1" s="1"/>
  <c r="R127" i="1"/>
  <c r="S138" i="1" s="1"/>
  <c r="T139" i="1" s="1"/>
  <c r="F126" i="1"/>
  <c r="I126" i="1"/>
  <c r="R126" i="1"/>
  <c r="F125" i="1"/>
  <c r="I125" i="1"/>
  <c r="R125" i="1"/>
  <c r="F124" i="1"/>
  <c r="I124" i="1"/>
  <c r="R124" i="1"/>
  <c r="F123" i="1"/>
  <c r="I123" i="1"/>
  <c r="R123" i="1"/>
  <c r="F122" i="1"/>
  <c r="I122" i="1"/>
  <c r="R122" i="1"/>
  <c r="R121" i="1"/>
  <c r="I121" i="1"/>
  <c r="F121" i="1"/>
  <c r="F120" i="1"/>
  <c r="I120" i="1"/>
  <c r="R120" i="1"/>
  <c r="F119" i="1"/>
  <c r="I119" i="1"/>
  <c r="R119" i="1"/>
  <c r="F118" i="1"/>
  <c r="I118" i="1"/>
  <c r="R118" i="1"/>
  <c r="R117" i="1"/>
  <c r="I117" i="1"/>
  <c r="F117" i="1"/>
  <c r="R116" i="1"/>
  <c r="I116" i="1"/>
  <c r="F116" i="1"/>
  <c r="R115" i="1"/>
  <c r="I115" i="1"/>
  <c r="F115" i="1"/>
  <c r="J136" i="1" l="1"/>
  <c r="K136" i="1" s="1"/>
  <c r="O136" i="1" s="1"/>
  <c r="S134" i="1"/>
  <c r="S137" i="1"/>
  <c r="T138" i="1" s="1"/>
  <c r="J137" i="1"/>
  <c r="K137" i="1" s="1"/>
  <c r="O137" i="1" s="1"/>
  <c r="S135" i="1"/>
  <c r="J135" i="1"/>
  <c r="K135" i="1" s="1"/>
  <c r="O135" i="1" s="1"/>
  <c r="J134" i="1"/>
  <c r="K134" i="1" s="1"/>
  <c r="O134" i="1" s="1"/>
  <c r="S136" i="1"/>
  <c r="J132" i="1"/>
  <c r="K132" i="1" s="1"/>
  <c r="O132" i="1" s="1"/>
  <c r="J126" i="1"/>
  <c r="K126" i="1" s="1"/>
  <c r="O126" i="1" s="1"/>
  <c r="S126" i="1"/>
  <c r="J128" i="1"/>
  <c r="K128" i="1" s="1"/>
  <c r="O128" i="1" s="1"/>
  <c r="S130" i="1"/>
  <c r="S132" i="1"/>
  <c r="J130" i="1"/>
  <c r="K130" i="1" s="1"/>
  <c r="O130" i="1" s="1"/>
  <c r="S133" i="1"/>
  <c r="J133" i="1"/>
  <c r="K133" i="1" s="1"/>
  <c r="O133" i="1" s="1"/>
  <c r="S131" i="1"/>
  <c r="S128" i="1"/>
  <c r="J131" i="1"/>
  <c r="K131" i="1" s="1"/>
  <c r="O131" i="1" s="1"/>
  <c r="S127" i="1"/>
  <c r="S129" i="1"/>
  <c r="J127" i="1"/>
  <c r="K127" i="1" s="1"/>
  <c r="O127" i="1" s="1"/>
  <c r="J129" i="1"/>
  <c r="K129" i="1" s="1"/>
  <c r="O129" i="1" s="1"/>
  <c r="R114" i="1"/>
  <c r="S125" i="1" s="1"/>
  <c r="I114" i="1"/>
  <c r="J125" i="1" s="1"/>
  <c r="K125" i="1" s="1"/>
  <c r="O125" i="1" s="1"/>
  <c r="F114" i="1"/>
  <c r="R113" i="1"/>
  <c r="I113" i="1"/>
  <c r="F113" i="1"/>
  <c r="T134" i="1" l="1"/>
  <c r="T136" i="1"/>
  <c r="T132" i="1"/>
  <c r="T131" i="1"/>
  <c r="T129" i="1"/>
  <c r="T137" i="1"/>
  <c r="T128" i="1"/>
  <c r="T135" i="1"/>
  <c r="T126" i="1"/>
  <c r="J124" i="1"/>
  <c r="K124" i="1" s="1"/>
  <c r="O124" i="1" s="1"/>
  <c r="S124" i="1"/>
  <c r="T125" i="1" s="1"/>
  <c r="T127" i="1"/>
  <c r="T133" i="1"/>
  <c r="T130" i="1"/>
  <c r="R112" i="1"/>
  <c r="S123" i="1" s="1"/>
  <c r="I112" i="1"/>
  <c r="J123" i="1" s="1"/>
  <c r="K123" i="1" s="1"/>
  <c r="O123" i="1" s="1"/>
  <c r="F112" i="1"/>
  <c r="R111" i="1"/>
  <c r="I111" i="1"/>
  <c r="F111" i="1"/>
  <c r="R110" i="1"/>
  <c r="I110" i="1"/>
  <c r="F110" i="1"/>
  <c r="R109" i="1"/>
  <c r="I109" i="1"/>
  <c r="F109" i="1"/>
  <c r="R108" i="1"/>
  <c r="I108" i="1"/>
  <c r="F108" i="1"/>
  <c r="R107" i="1"/>
  <c r="I107" i="1"/>
  <c r="F107" i="1"/>
  <c r="R106" i="1"/>
  <c r="F106" i="1"/>
  <c r="I106" i="1"/>
  <c r="R105" i="1"/>
  <c r="I105" i="1"/>
  <c r="F105" i="1"/>
  <c r="R104" i="1"/>
  <c r="G104" i="1"/>
  <c r="I104" i="1" s="1"/>
  <c r="F104" i="1"/>
  <c r="R103" i="1"/>
  <c r="G103" i="1"/>
  <c r="I103" i="1" s="1"/>
  <c r="F103" i="1"/>
  <c r="R102" i="1"/>
  <c r="G102" i="1"/>
  <c r="I102" i="1" s="1"/>
  <c r="F102" i="1"/>
  <c r="G101" i="1"/>
  <c r="T124" i="1" l="1"/>
  <c r="J122" i="1"/>
  <c r="K122" i="1" s="1"/>
  <c r="O122" i="1" s="1"/>
  <c r="J113" i="1"/>
  <c r="K113" i="1" s="1"/>
  <c r="O113" i="1" s="1"/>
  <c r="J121" i="1"/>
  <c r="K121" i="1" s="1"/>
  <c r="O121" i="1" s="1"/>
  <c r="S121" i="1"/>
  <c r="S118" i="1"/>
  <c r="J115" i="1"/>
  <c r="K115" i="1" s="1"/>
  <c r="O115" i="1" s="1"/>
  <c r="J114" i="1"/>
  <c r="K114" i="1" s="1"/>
  <c r="O114" i="1" s="1"/>
  <c r="J116" i="1"/>
  <c r="K116" i="1" s="1"/>
  <c r="O116" i="1" s="1"/>
  <c r="S116" i="1"/>
  <c r="S119" i="1"/>
  <c r="J119" i="1"/>
  <c r="K119" i="1" s="1"/>
  <c r="O119" i="1" s="1"/>
  <c r="J117" i="1"/>
  <c r="K117" i="1" s="1"/>
  <c r="O117" i="1" s="1"/>
  <c r="J120" i="1"/>
  <c r="K120" i="1" s="1"/>
  <c r="O120" i="1" s="1"/>
  <c r="S120" i="1"/>
  <c r="S114" i="1"/>
  <c r="S117" i="1"/>
  <c r="S113" i="1"/>
  <c r="S115" i="1"/>
  <c r="J118" i="1"/>
  <c r="K118" i="1" s="1"/>
  <c r="O118" i="1" s="1"/>
  <c r="S122" i="1"/>
  <c r="T123" i="1" s="1"/>
  <c r="R101" i="1"/>
  <c r="S112" i="1" s="1"/>
  <c r="I101" i="1"/>
  <c r="J112" i="1" s="1"/>
  <c r="K112" i="1" s="1"/>
  <c r="O112" i="1" s="1"/>
  <c r="F101" i="1"/>
  <c r="G100" i="1"/>
  <c r="I100" i="1" s="1"/>
  <c r="R100" i="1"/>
  <c r="F100" i="1"/>
  <c r="D99" i="1"/>
  <c r="F99" i="1" s="1"/>
  <c r="R99" i="1"/>
  <c r="R98" i="1"/>
  <c r="G99" i="1"/>
  <c r="I99" i="1" s="1"/>
  <c r="G98" i="1"/>
  <c r="I98" i="1" s="1"/>
  <c r="D98" i="1"/>
  <c r="F98" i="1" s="1"/>
  <c r="R97" i="1"/>
  <c r="G97" i="1"/>
  <c r="I97" i="1" s="1"/>
  <c r="D97" i="1"/>
  <c r="F97" i="1" s="1"/>
  <c r="R96" i="1"/>
  <c r="G96" i="1"/>
  <c r="I96" i="1" s="1"/>
  <c r="D96" i="1"/>
  <c r="F96" i="1" s="1"/>
  <c r="R95" i="1"/>
  <c r="G95" i="1"/>
  <c r="I95" i="1" s="1"/>
  <c r="D95" i="1"/>
  <c r="F95" i="1" s="1"/>
  <c r="R94" i="1"/>
  <c r="I19" i="1"/>
  <c r="R19" i="1"/>
  <c r="I20" i="1"/>
  <c r="R20" i="1"/>
  <c r="I21" i="1"/>
  <c r="R21" i="1"/>
  <c r="I22" i="1"/>
  <c r="R22" i="1"/>
  <c r="I23" i="1"/>
  <c r="R23" i="1"/>
  <c r="I24" i="1"/>
  <c r="R24" i="1"/>
  <c r="I25" i="1"/>
  <c r="R25" i="1"/>
  <c r="I26" i="1"/>
  <c r="R26" i="1"/>
  <c r="I27" i="1"/>
  <c r="R27" i="1"/>
  <c r="I28" i="1"/>
  <c r="R28" i="1"/>
  <c r="I29" i="1"/>
  <c r="R29" i="1"/>
  <c r="I30" i="1"/>
  <c r="R30" i="1"/>
  <c r="F31" i="1"/>
  <c r="I31" i="1"/>
  <c r="R31" i="1"/>
  <c r="F32" i="1"/>
  <c r="G32" i="1"/>
  <c r="I32" i="1" s="1"/>
  <c r="R32" i="1"/>
  <c r="F33" i="1"/>
  <c r="G33" i="1"/>
  <c r="I33" i="1" s="1"/>
  <c r="R33" i="1"/>
  <c r="F34" i="1"/>
  <c r="G34" i="1"/>
  <c r="I34" i="1" s="1"/>
  <c r="R34" i="1"/>
  <c r="F35" i="1"/>
  <c r="G35" i="1"/>
  <c r="I35" i="1" s="1"/>
  <c r="R35" i="1"/>
  <c r="F36" i="1"/>
  <c r="G36" i="1"/>
  <c r="I36" i="1" s="1"/>
  <c r="R36" i="1"/>
  <c r="F37" i="1"/>
  <c r="G37" i="1"/>
  <c r="I37" i="1" s="1"/>
  <c r="R37" i="1"/>
  <c r="F38" i="1"/>
  <c r="G38" i="1"/>
  <c r="I38" i="1" s="1"/>
  <c r="R38" i="1"/>
  <c r="F39" i="1"/>
  <c r="G39" i="1"/>
  <c r="I39" i="1" s="1"/>
  <c r="R39" i="1"/>
  <c r="F40" i="1"/>
  <c r="G40" i="1"/>
  <c r="I40" i="1" s="1"/>
  <c r="R40" i="1"/>
  <c r="F41" i="1"/>
  <c r="G41" i="1"/>
  <c r="I41" i="1" s="1"/>
  <c r="R41" i="1"/>
  <c r="F42" i="1"/>
  <c r="G42" i="1"/>
  <c r="I42" i="1" s="1"/>
  <c r="R42" i="1"/>
  <c r="F43" i="1"/>
  <c r="G43" i="1"/>
  <c r="I43" i="1" s="1"/>
  <c r="R43" i="1"/>
  <c r="F44" i="1"/>
  <c r="G44" i="1"/>
  <c r="I44" i="1" s="1"/>
  <c r="P44" i="1"/>
  <c r="R44" i="1" s="1"/>
  <c r="F45" i="1"/>
  <c r="G45" i="1"/>
  <c r="I45" i="1" s="1"/>
  <c r="R45" i="1"/>
  <c r="F46" i="1"/>
  <c r="G46" i="1"/>
  <c r="I46" i="1" s="1"/>
  <c r="R46" i="1"/>
  <c r="F47" i="1"/>
  <c r="G47" i="1"/>
  <c r="I47" i="1" s="1"/>
  <c r="R47" i="1"/>
  <c r="F48" i="1"/>
  <c r="G48" i="1"/>
  <c r="I48" i="1" s="1"/>
  <c r="R48" i="1"/>
  <c r="F49" i="1"/>
  <c r="G49" i="1"/>
  <c r="I49" i="1" s="1"/>
  <c r="R49" i="1"/>
  <c r="F50" i="1"/>
  <c r="G50" i="1"/>
  <c r="I50" i="1" s="1"/>
  <c r="R50" i="1"/>
  <c r="F51" i="1"/>
  <c r="G51" i="1"/>
  <c r="I51" i="1" s="1"/>
  <c r="R51" i="1"/>
  <c r="F52" i="1"/>
  <c r="G52" i="1"/>
  <c r="I52" i="1" s="1"/>
  <c r="R52" i="1"/>
  <c r="F53" i="1"/>
  <c r="G53" i="1"/>
  <c r="I53" i="1" s="1"/>
  <c r="R53" i="1"/>
  <c r="F54" i="1"/>
  <c r="G54" i="1"/>
  <c r="I54" i="1" s="1"/>
  <c r="R54" i="1"/>
  <c r="F55" i="1"/>
  <c r="G55" i="1"/>
  <c r="I55" i="1" s="1"/>
  <c r="R55" i="1"/>
  <c r="F56" i="1"/>
  <c r="G56" i="1"/>
  <c r="I56" i="1" s="1"/>
  <c r="R56" i="1"/>
  <c r="F57" i="1"/>
  <c r="G57" i="1"/>
  <c r="I57" i="1" s="1"/>
  <c r="R57" i="1"/>
  <c r="F58" i="1"/>
  <c r="G58" i="1"/>
  <c r="I58" i="1" s="1"/>
  <c r="R58" i="1"/>
  <c r="F59" i="1"/>
  <c r="G59" i="1"/>
  <c r="I59" i="1" s="1"/>
  <c r="R59" i="1"/>
  <c r="F60" i="1"/>
  <c r="G60" i="1"/>
  <c r="I60" i="1" s="1"/>
  <c r="R60" i="1"/>
  <c r="F61" i="1"/>
  <c r="G61" i="1"/>
  <c r="I61" i="1" s="1"/>
  <c r="R61" i="1"/>
  <c r="F62" i="1"/>
  <c r="G62" i="1"/>
  <c r="I62" i="1" s="1"/>
  <c r="R62" i="1"/>
  <c r="F63" i="1"/>
  <c r="G63" i="1"/>
  <c r="I63" i="1" s="1"/>
  <c r="R63" i="1"/>
  <c r="F64" i="1"/>
  <c r="G64" i="1"/>
  <c r="I64" i="1" s="1"/>
  <c r="R64" i="1"/>
  <c r="F65" i="1"/>
  <c r="G65" i="1"/>
  <c r="I65" i="1" s="1"/>
  <c r="R65" i="1"/>
  <c r="F66" i="1"/>
  <c r="G66" i="1"/>
  <c r="I66" i="1" s="1"/>
  <c r="R66" i="1"/>
  <c r="F67" i="1"/>
  <c r="G67" i="1"/>
  <c r="I67" i="1" s="1"/>
  <c r="R67" i="1"/>
  <c r="F68" i="1"/>
  <c r="G68" i="1"/>
  <c r="I68" i="1" s="1"/>
  <c r="R68" i="1"/>
  <c r="F69" i="1"/>
  <c r="G69" i="1"/>
  <c r="I69" i="1" s="1"/>
  <c r="N69" i="1"/>
  <c r="N70" i="1" s="1"/>
  <c r="N71" i="1" s="1"/>
  <c r="N72" i="1" s="1"/>
  <c r="N73" i="1" s="1"/>
  <c r="R69" i="1"/>
  <c r="F70" i="1"/>
  <c r="G70" i="1"/>
  <c r="I70" i="1" s="1"/>
  <c r="R70" i="1"/>
  <c r="F71" i="1"/>
  <c r="G71" i="1"/>
  <c r="I71" i="1" s="1"/>
  <c r="R71" i="1"/>
  <c r="F72" i="1"/>
  <c r="G72" i="1"/>
  <c r="I72" i="1" s="1"/>
  <c r="R72" i="1"/>
  <c r="F73" i="1"/>
  <c r="G73" i="1"/>
  <c r="I73" i="1" s="1"/>
  <c r="R73" i="1"/>
  <c r="F74" i="1"/>
  <c r="G74" i="1"/>
  <c r="I74" i="1" s="1"/>
  <c r="R74" i="1"/>
  <c r="F75" i="1"/>
  <c r="G75" i="1"/>
  <c r="I75" i="1" s="1"/>
  <c r="R75" i="1"/>
  <c r="F76" i="1"/>
  <c r="G76" i="1"/>
  <c r="I76" i="1" s="1"/>
  <c r="R76" i="1"/>
  <c r="F77" i="1"/>
  <c r="G77" i="1"/>
  <c r="I77" i="1" s="1"/>
  <c r="R77" i="1"/>
  <c r="F78" i="1"/>
  <c r="G78" i="1"/>
  <c r="I78" i="1" s="1"/>
  <c r="R78" i="1"/>
  <c r="F79" i="1"/>
  <c r="G79" i="1"/>
  <c r="I79" i="1" s="1"/>
  <c r="R79" i="1"/>
  <c r="F80" i="1"/>
  <c r="G80" i="1"/>
  <c r="I80" i="1" s="1"/>
  <c r="R80" i="1"/>
  <c r="F81" i="1"/>
  <c r="G81" i="1"/>
  <c r="I81" i="1" s="1"/>
  <c r="R81" i="1"/>
  <c r="F82" i="1"/>
  <c r="G82" i="1"/>
  <c r="I82" i="1" s="1"/>
  <c r="R82" i="1"/>
  <c r="D83" i="1"/>
  <c r="F83" i="1" s="1"/>
  <c r="G83" i="1"/>
  <c r="I83" i="1" s="1"/>
  <c r="R83" i="1"/>
  <c r="D84" i="1"/>
  <c r="E84" i="1"/>
  <c r="E85" i="1" s="1"/>
  <c r="G84" i="1"/>
  <c r="I84" i="1" s="1"/>
  <c r="N84" i="1"/>
  <c r="R84" i="1"/>
  <c r="D85" i="1"/>
  <c r="G85" i="1"/>
  <c r="I85" i="1" s="1"/>
  <c r="N85" i="1"/>
  <c r="R85" i="1"/>
  <c r="D86" i="1"/>
  <c r="F86" i="1" s="1"/>
  <c r="G86" i="1"/>
  <c r="I86" i="1" s="1"/>
  <c r="N86" i="1"/>
  <c r="R86" i="1"/>
  <c r="D87" i="1"/>
  <c r="F87" i="1" s="1"/>
  <c r="G87" i="1"/>
  <c r="I87" i="1" s="1"/>
  <c r="N87" i="1"/>
  <c r="R87" i="1"/>
  <c r="D88" i="1"/>
  <c r="F88" i="1" s="1"/>
  <c r="G88" i="1"/>
  <c r="I88" i="1" s="1"/>
  <c r="N88" i="1"/>
  <c r="R88" i="1"/>
  <c r="D89" i="1"/>
  <c r="F89" i="1" s="1"/>
  <c r="G89" i="1"/>
  <c r="I89" i="1" s="1"/>
  <c r="N89" i="1"/>
  <c r="R89" i="1"/>
  <c r="D90" i="1"/>
  <c r="F90" i="1" s="1"/>
  <c r="G90" i="1"/>
  <c r="I90" i="1" s="1"/>
  <c r="N90" i="1"/>
  <c r="R90" i="1"/>
  <c r="D91" i="1"/>
  <c r="F91" i="1" s="1"/>
  <c r="G91" i="1"/>
  <c r="I91" i="1" s="1"/>
  <c r="N91" i="1"/>
  <c r="R91" i="1"/>
  <c r="D92" i="1"/>
  <c r="F92" i="1" s="1"/>
  <c r="G92" i="1"/>
  <c r="I92" i="1" s="1"/>
  <c r="N92" i="1"/>
  <c r="R92" i="1"/>
  <c r="D93" i="1"/>
  <c r="F93" i="1" s="1"/>
  <c r="G93" i="1"/>
  <c r="I93" i="1" s="1"/>
  <c r="N93" i="1"/>
  <c r="R93" i="1"/>
  <c r="D94" i="1"/>
  <c r="F94" i="1" s="1"/>
  <c r="G94" i="1"/>
  <c r="I94" i="1" s="1"/>
  <c r="N94" i="1"/>
  <c r="T113" i="1" l="1"/>
  <c r="T122" i="1"/>
  <c r="S62" i="1"/>
  <c r="S57" i="1"/>
  <c r="S38" i="1"/>
  <c r="T121" i="1"/>
  <c r="S49" i="1"/>
  <c r="S34" i="1"/>
  <c r="S30" i="1"/>
  <c r="S35" i="1"/>
  <c r="S76" i="1"/>
  <c r="S74" i="1"/>
  <c r="S61" i="1"/>
  <c r="S43" i="1"/>
  <c r="J37" i="1"/>
  <c r="K37" i="1" s="1"/>
  <c r="O37" i="1" s="1"/>
  <c r="S31" i="1"/>
  <c r="S71" i="1"/>
  <c r="S51" i="1"/>
  <c r="S45" i="1"/>
  <c r="T119" i="1"/>
  <c r="S59" i="1"/>
  <c r="S40" i="1"/>
  <c r="S46" i="1"/>
  <c r="S53" i="1"/>
  <c r="S47" i="1"/>
  <c r="S67" i="1"/>
  <c r="S36" i="1"/>
  <c r="S54" i="1"/>
  <c r="S42" i="1"/>
  <c r="J111" i="1"/>
  <c r="K111" i="1" s="1"/>
  <c r="O111" i="1" s="1"/>
  <c r="T115" i="1"/>
  <c r="T116" i="1"/>
  <c r="T114" i="1"/>
  <c r="J108" i="1"/>
  <c r="K108" i="1" s="1"/>
  <c r="O108" i="1" s="1"/>
  <c r="S105" i="1"/>
  <c r="S109" i="1"/>
  <c r="J38" i="1"/>
  <c r="K38" i="1" s="1"/>
  <c r="O38" i="1" s="1"/>
  <c r="J106" i="1"/>
  <c r="K106" i="1" s="1"/>
  <c r="O106" i="1" s="1"/>
  <c r="J42" i="1"/>
  <c r="K42" i="1" s="1"/>
  <c r="O42" i="1" s="1"/>
  <c r="J40" i="1"/>
  <c r="K40" i="1" s="1"/>
  <c r="O40" i="1" s="1"/>
  <c r="J82" i="1"/>
  <c r="K82" i="1" s="1"/>
  <c r="O82" i="1" s="1"/>
  <c r="J49" i="1"/>
  <c r="K49" i="1" s="1"/>
  <c r="O49" i="1" s="1"/>
  <c r="J47" i="1"/>
  <c r="K47" i="1" s="1"/>
  <c r="O47" i="1" s="1"/>
  <c r="J45" i="1"/>
  <c r="K45" i="1" s="1"/>
  <c r="O45" i="1" s="1"/>
  <c r="J34" i="1"/>
  <c r="K34" i="1" s="1"/>
  <c r="O34" i="1" s="1"/>
  <c r="J63" i="1"/>
  <c r="K63" i="1" s="1"/>
  <c r="O63" i="1" s="1"/>
  <c r="J55" i="1"/>
  <c r="K55" i="1" s="1"/>
  <c r="O55" i="1" s="1"/>
  <c r="J53" i="1"/>
  <c r="K53" i="1" s="1"/>
  <c r="O53" i="1" s="1"/>
  <c r="J51" i="1"/>
  <c r="K51" i="1" s="1"/>
  <c r="O51" i="1" s="1"/>
  <c r="J71" i="1"/>
  <c r="K71" i="1" s="1"/>
  <c r="O71" i="1" s="1"/>
  <c r="J70" i="1"/>
  <c r="K70" i="1" s="1"/>
  <c r="O70" i="1" s="1"/>
  <c r="J72" i="1"/>
  <c r="K72" i="1" s="1"/>
  <c r="O72" i="1" s="1"/>
  <c r="J48" i="1"/>
  <c r="K48" i="1" s="1"/>
  <c r="O48" i="1" s="1"/>
  <c r="J59" i="1"/>
  <c r="K59" i="1" s="1"/>
  <c r="O59" i="1" s="1"/>
  <c r="J56" i="1"/>
  <c r="K56" i="1" s="1"/>
  <c r="O56" i="1" s="1"/>
  <c r="J67" i="1"/>
  <c r="K67" i="1" s="1"/>
  <c r="O67" i="1" s="1"/>
  <c r="J44" i="1"/>
  <c r="K44" i="1" s="1"/>
  <c r="O44" i="1" s="1"/>
  <c r="J81" i="1"/>
  <c r="K81" i="1" s="1"/>
  <c r="O81" i="1" s="1"/>
  <c r="J64" i="1"/>
  <c r="K64" i="1" s="1"/>
  <c r="O64" i="1" s="1"/>
  <c r="S65" i="1"/>
  <c r="J78" i="1"/>
  <c r="K78" i="1" s="1"/>
  <c r="O78" i="1" s="1"/>
  <c r="S81" i="1"/>
  <c r="S72" i="1"/>
  <c r="S44" i="1"/>
  <c r="S33" i="1"/>
  <c r="J41" i="1"/>
  <c r="K41" i="1" s="1"/>
  <c r="O41" i="1" s="1"/>
  <c r="J109" i="1"/>
  <c r="K109" i="1" s="1"/>
  <c r="O109" i="1" s="1"/>
  <c r="S104" i="1"/>
  <c r="S77" i="1"/>
  <c r="S75" i="1"/>
  <c r="S73" i="1"/>
  <c r="S69" i="1"/>
  <c r="S66" i="1"/>
  <c r="S58" i="1"/>
  <c r="S50" i="1"/>
  <c r="S39" i="1"/>
  <c r="J36" i="1"/>
  <c r="K36" i="1" s="1"/>
  <c r="O36" i="1" s="1"/>
  <c r="J31" i="1"/>
  <c r="K31" i="1" s="1"/>
  <c r="O31" i="1" s="1"/>
  <c r="S106" i="1"/>
  <c r="T120" i="1"/>
  <c r="J110" i="1"/>
  <c r="K110" i="1" s="1"/>
  <c r="O110" i="1" s="1"/>
  <c r="J105" i="1"/>
  <c r="K105" i="1" s="1"/>
  <c r="O105" i="1" s="1"/>
  <c r="J54" i="1"/>
  <c r="K54" i="1" s="1"/>
  <c r="O54" i="1" s="1"/>
  <c r="J46" i="1"/>
  <c r="K46" i="1" s="1"/>
  <c r="O46" i="1" s="1"/>
  <c r="S68" i="1"/>
  <c r="J65" i="1"/>
  <c r="K65" i="1" s="1"/>
  <c r="O65" i="1" s="1"/>
  <c r="S63" i="1"/>
  <c r="J57" i="1"/>
  <c r="K57" i="1" s="1"/>
  <c r="O57" i="1" s="1"/>
  <c r="S55" i="1"/>
  <c r="J60" i="1"/>
  <c r="K60" i="1" s="1"/>
  <c r="O60" i="1" s="1"/>
  <c r="J52" i="1"/>
  <c r="K52" i="1" s="1"/>
  <c r="O52" i="1" s="1"/>
  <c r="J107" i="1"/>
  <c r="K107" i="1" s="1"/>
  <c r="O107" i="1" s="1"/>
  <c r="J75" i="1"/>
  <c r="K75" i="1" s="1"/>
  <c r="O75" i="1" s="1"/>
  <c r="J66" i="1"/>
  <c r="K66" i="1" s="1"/>
  <c r="O66" i="1" s="1"/>
  <c r="J58" i="1"/>
  <c r="K58" i="1" s="1"/>
  <c r="O58" i="1" s="1"/>
  <c r="J50" i="1"/>
  <c r="K50" i="1" s="1"/>
  <c r="O50" i="1" s="1"/>
  <c r="J39" i="1"/>
  <c r="K39" i="1" s="1"/>
  <c r="O39" i="1" s="1"/>
  <c r="T118" i="1"/>
  <c r="T117" i="1"/>
  <c r="J74" i="1"/>
  <c r="K74" i="1" s="1"/>
  <c r="O74" i="1" s="1"/>
  <c r="J62" i="1"/>
  <c r="K62" i="1" s="1"/>
  <c r="O62" i="1" s="1"/>
  <c r="J35" i="1"/>
  <c r="K35" i="1" s="1"/>
  <c r="O35" i="1" s="1"/>
  <c r="S60" i="1"/>
  <c r="S52" i="1"/>
  <c r="S41" i="1"/>
  <c r="S110" i="1"/>
  <c r="J68" i="1"/>
  <c r="K68" i="1" s="1"/>
  <c r="O68" i="1" s="1"/>
  <c r="J33" i="1"/>
  <c r="K33" i="1" s="1"/>
  <c r="O33" i="1" s="1"/>
  <c r="J77" i="1"/>
  <c r="K77" i="1" s="1"/>
  <c r="O77" i="1" s="1"/>
  <c r="J85" i="1"/>
  <c r="J73" i="1"/>
  <c r="K73" i="1" s="1"/>
  <c r="O73" i="1" s="1"/>
  <c r="T73" i="1" s="1"/>
  <c r="S70" i="1"/>
  <c r="J69" i="1"/>
  <c r="K69" i="1" s="1"/>
  <c r="O69" i="1" s="1"/>
  <c r="S64" i="1"/>
  <c r="J61" i="1"/>
  <c r="K61" i="1" s="1"/>
  <c r="O61" i="1" s="1"/>
  <c r="S56" i="1"/>
  <c r="S48" i="1"/>
  <c r="S37" i="1"/>
  <c r="S32" i="1"/>
  <c r="S111" i="1"/>
  <c r="T112" i="1" s="1"/>
  <c r="J76" i="1"/>
  <c r="K76" i="1" s="1"/>
  <c r="O76" i="1" s="1"/>
  <c r="J43" i="1"/>
  <c r="K43" i="1" s="1"/>
  <c r="O43" i="1" s="1"/>
  <c r="F85" i="1"/>
  <c r="S107" i="1"/>
  <c r="S108" i="1"/>
  <c r="J104" i="1"/>
  <c r="K104" i="1" s="1"/>
  <c r="O104" i="1" s="1"/>
  <c r="S103" i="1"/>
  <c r="J103" i="1"/>
  <c r="K103" i="1" s="1"/>
  <c r="O103" i="1" s="1"/>
  <c r="S102" i="1"/>
  <c r="J102" i="1"/>
  <c r="K102" i="1" s="1"/>
  <c r="O102" i="1" s="1"/>
  <c r="J100" i="1"/>
  <c r="K100" i="1" s="1"/>
  <c r="O100" i="1" s="1"/>
  <c r="J101" i="1"/>
  <c r="K101" i="1" s="1"/>
  <c r="O101" i="1" s="1"/>
  <c r="S101" i="1"/>
  <c r="J99" i="1"/>
  <c r="K99" i="1" s="1"/>
  <c r="O99" i="1" s="1"/>
  <c r="J97" i="1"/>
  <c r="K97" i="1" s="1"/>
  <c r="O97" i="1" s="1"/>
  <c r="S100" i="1"/>
  <c r="S99" i="1"/>
  <c r="S97" i="1"/>
  <c r="J98" i="1"/>
  <c r="K98" i="1" s="1"/>
  <c r="O98" i="1" s="1"/>
  <c r="S98" i="1"/>
  <c r="S96" i="1"/>
  <c r="J96" i="1"/>
  <c r="K96" i="1" s="1"/>
  <c r="O96" i="1" s="1"/>
  <c r="J86" i="1"/>
  <c r="K86" i="1" s="1"/>
  <c r="O86" i="1" s="1"/>
  <c r="J95" i="1"/>
  <c r="K95" i="1" s="1"/>
  <c r="O95" i="1" s="1"/>
  <c r="S95" i="1"/>
  <c r="S93" i="1"/>
  <c r="S90" i="1"/>
  <c r="S85" i="1"/>
  <c r="J89" i="1"/>
  <c r="K89" i="1" s="1"/>
  <c r="O89" i="1" s="1"/>
  <c r="J87" i="1"/>
  <c r="K87" i="1" s="1"/>
  <c r="O87" i="1" s="1"/>
  <c r="S86" i="1"/>
  <c r="S94" i="1"/>
  <c r="F84" i="1"/>
  <c r="J91" i="1"/>
  <c r="K91" i="1" s="1"/>
  <c r="O91" i="1" s="1"/>
  <c r="J94" i="1"/>
  <c r="K94" i="1" s="1"/>
  <c r="O94" i="1" s="1"/>
  <c r="J92" i="1"/>
  <c r="K92" i="1" s="1"/>
  <c r="O92" i="1" s="1"/>
  <c r="J88" i="1"/>
  <c r="K88" i="1" s="1"/>
  <c r="O88" i="1" s="1"/>
  <c r="J84" i="1"/>
  <c r="J93" i="1"/>
  <c r="K93" i="1" s="1"/>
  <c r="O93" i="1" s="1"/>
  <c r="S92" i="1"/>
  <c r="J90" i="1"/>
  <c r="K90" i="1" s="1"/>
  <c r="O90" i="1" s="1"/>
  <c r="S89" i="1"/>
  <c r="S87" i="1"/>
  <c r="J83" i="1"/>
  <c r="K83" i="1" s="1"/>
  <c r="O83" i="1" s="1"/>
  <c r="J32" i="1"/>
  <c r="K32" i="1" s="1"/>
  <c r="O32" i="1" s="1"/>
  <c r="S84" i="1"/>
  <c r="S83" i="1"/>
  <c r="J80" i="1"/>
  <c r="K80" i="1" s="1"/>
  <c r="O80" i="1" s="1"/>
  <c r="S78" i="1"/>
  <c r="S88" i="1"/>
  <c r="S82" i="1"/>
  <c r="S80" i="1"/>
  <c r="S91" i="1"/>
  <c r="S79" i="1"/>
  <c r="J79" i="1"/>
  <c r="K79" i="1" s="1"/>
  <c r="O79" i="1" s="1"/>
  <c r="T62" i="1" l="1"/>
  <c r="T46" i="1"/>
  <c r="T33" i="1"/>
  <c r="T77" i="1"/>
  <c r="T74" i="1"/>
  <c r="T58" i="1"/>
  <c r="T75" i="1"/>
  <c r="T50" i="1"/>
  <c r="T63" i="1"/>
  <c r="T106" i="1"/>
  <c r="T35" i="1"/>
  <c r="T66" i="1"/>
  <c r="T61" i="1"/>
  <c r="T54" i="1"/>
  <c r="T64" i="1"/>
  <c r="T47" i="1"/>
  <c r="T37" i="1"/>
  <c r="T43" i="1"/>
  <c r="T60" i="1"/>
  <c r="T71" i="1"/>
  <c r="T39" i="1"/>
  <c r="T36" i="1"/>
  <c r="T78" i="1"/>
  <c r="T48" i="1"/>
  <c r="T31" i="1"/>
  <c r="T101" i="1"/>
  <c r="T72" i="1"/>
  <c r="T45" i="1"/>
  <c r="T68" i="1"/>
  <c r="T52" i="1"/>
  <c r="T70" i="1"/>
  <c r="T91" i="1"/>
  <c r="K85" i="1"/>
  <c r="O85" i="1" s="1"/>
  <c r="T85" i="1" s="1"/>
  <c r="T111" i="1"/>
  <c r="T76" i="1"/>
  <c r="T69" i="1"/>
  <c r="T44" i="1"/>
  <c r="T41" i="1"/>
  <c r="T49" i="1"/>
  <c r="T57" i="1"/>
  <c r="T88" i="1"/>
  <c r="T107" i="1"/>
  <c r="T56" i="1"/>
  <c r="T55" i="1"/>
  <c r="T110" i="1"/>
  <c r="T105" i="1"/>
  <c r="T104" i="1"/>
  <c r="T108" i="1"/>
  <c r="T51" i="1"/>
  <c r="T82" i="1"/>
  <c r="T79" i="1"/>
  <c r="T80" i="1"/>
  <c r="T86" i="1"/>
  <c r="T103" i="1"/>
  <c r="T67" i="1"/>
  <c r="T53" i="1"/>
  <c r="T40" i="1"/>
  <c r="T109" i="1"/>
  <c r="T42" i="1"/>
  <c r="T59" i="1"/>
  <c r="T65" i="1"/>
  <c r="T81" i="1"/>
  <c r="T34" i="1"/>
  <c r="T38" i="1"/>
  <c r="T100" i="1"/>
  <c r="T102" i="1"/>
  <c r="T98" i="1"/>
  <c r="T99" i="1"/>
  <c r="T97" i="1"/>
  <c r="T93" i="1"/>
  <c r="T95" i="1"/>
  <c r="T94" i="1"/>
  <c r="T96" i="1"/>
  <c r="T92" i="1"/>
  <c r="K84" i="1"/>
  <c r="O84" i="1" s="1"/>
  <c r="T84" i="1" s="1"/>
  <c r="T87" i="1"/>
  <c r="T90" i="1"/>
  <c r="T89" i="1"/>
  <c r="T83" i="1"/>
</calcChain>
</file>

<file path=xl/sharedStrings.xml><?xml version="1.0" encoding="utf-8"?>
<sst xmlns="http://schemas.openxmlformats.org/spreadsheetml/2006/main" count="418" uniqueCount="117">
  <si>
    <t>East Kentucky Power Cooperative, Inc. - Distribution Cooperatives</t>
  </si>
  <si>
    <t>Pass Through Mechanism Report for Cumberland Valley Electric</t>
  </si>
  <si>
    <t>(1)</t>
  </si>
  <si>
    <t>(2)</t>
  </si>
  <si>
    <t>(3)</t>
  </si>
  <si>
    <t>(4)</t>
  </si>
  <si>
    <t>(5)</t>
  </si>
  <si>
    <t>(6)</t>
  </si>
  <si>
    <t>(7)</t>
  </si>
  <si>
    <t>(10)</t>
  </si>
  <si>
    <t>(11)</t>
  </si>
  <si>
    <t>(12)</t>
  </si>
  <si>
    <t>(13)</t>
  </si>
  <si>
    <t>(14)</t>
  </si>
  <si>
    <t>(15)</t>
  </si>
  <si>
    <t xml:space="preserve">EKPC </t>
  </si>
  <si>
    <t>On-peak</t>
  </si>
  <si>
    <t>EKPC Net</t>
  </si>
  <si>
    <t>EKPC 12-months</t>
  </si>
  <si>
    <t xml:space="preserve">Cumberland </t>
  </si>
  <si>
    <t>Amortization</t>
  </si>
  <si>
    <t>Cumberland</t>
  </si>
  <si>
    <t>On-Peak</t>
  </si>
  <si>
    <t>12-months</t>
  </si>
  <si>
    <t>Monthly</t>
  </si>
  <si>
    <t>Revenue</t>
  </si>
  <si>
    <t>Ended Average</t>
  </si>
  <si>
    <t>Valley</t>
  </si>
  <si>
    <t>of</t>
  </si>
  <si>
    <t>Retail</t>
  </si>
  <si>
    <t>ended</t>
  </si>
  <si>
    <t>Surcharge</t>
  </si>
  <si>
    <t>Revenues from</t>
  </si>
  <si>
    <t>Adjustment</t>
  </si>
  <si>
    <t xml:space="preserve">Sales </t>
  </si>
  <si>
    <t>Monthly Revenue</t>
  </si>
  <si>
    <t>(Over)/Under</t>
  </si>
  <si>
    <t>Net Revenue</t>
  </si>
  <si>
    <t>Total</t>
  </si>
  <si>
    <t>Net Monthly</t>
  </si>
  <si>
    <t>Avg. Retail</t>
  </si>
  <si>
    <t>Factor</t>
  </si>
  <si>
    <t xml:space="preserve">Sales to </t>
  </si>
  <si>
    <t xml:space="preserve">to </t>
  </si>
  <si>
    <t>from Sales to</t>
  </si>
  <si>
    <t>Requirement</t>
  </si>
  <si>
    <t>Recovery</t>
  </si>
  <si>
    <t xml:space="preserve">Monthly Retail </t>
  </si>
  <si>
    <t xml:space="preserve">Retail </t>
  </si>
  <si>
    <t>Revenues,</t>
  </si>
  <si>
    <t>Through</t>
  </si>
  <si>
    <t>Expense</t>
  </si>
  <si>
    <t>EKPC</t>
  </si>
  <si>
    <t>Revenues</t>
  </si>
  <si>
    <t>Mechanism</t>
  </si>
  <si>
    <t>Month</t>
  </si>
  <si>
    <t>CESF %</t>
  </si>
  <si>
    <t>BESF %</t>
  </si>
  <si>
    <t>MESF %</t>
  </si>
  <si>
    <t>Col. (1) - Col. (2)</t>
  </si>
  <si>
    <t>Col. (4) - Col. (5)</t>
  </si>
  <si>
    <t>Col (3) x Col (7)</t>
  </si>
  <si>
    <t>Col. (11) - Col. (12)</t>
  </si>
  <si>
    <t>Col (10) / Col (14)</t>
  </si>
  <si>
    <t xml:space="preserve">Notes: </t>
  </si>
  <si>
    <t>Cumberland Valley Total Monthly Retail Revenues in Column (11) includes demand and energy charges, customer charges, and FAC revenues.</t>
  </si>
  <si>
    <t>Revenues reported in Columns (4), (6), (7), (11), (13), and (14) are net of Green Power Revenues.</t>
  </si>
  <si>
    <t>(9)</t>
  </si>
  <si>
    <t>CN 2012-00486 (Col.T)</t>
  </si>
  <si>
    <t>CN 2012-00486 (Col.T); CN 2013-00140 (Col.U)</t>
  </si>
  <si>
    <t>CN 2013-00140 (Col.U)</t>
  </si>
  <si>
    <t>CN 2013-00324 (Col.T)</t>
  </si>
  <si>
    <t>CN 2014-00051 (Col.T)</t>
  </si>
  <si>
    <t>CN 2015-00281 (Col.T)</t>
  </si>
  <si>
    <t>CN 2015-00281 (Col.T); CN 2016-00144 (Col.U)</t>
  </si>
  <si>
    <t>CN 2016-00144 (Col.U)</t>
  </si>
  <si>
    <t>CN 2016-00335 (Col.T)</t>
  </si>
  <si>
    <t>CN 2016-00335 (Col.T); CN 2017-00071</t>
  </si>
  <si>
    <t>CN 2017-00326 (Col.T)</t>
  </si>
  <si>
    <t>CN 2018-00075 (Col.T)</t>
  </si>
  <si>
    <t>CN 2018-00306 (Col.T)</t>
  </si>
  <si>
    <t>CN 2019-00171 (Col.T)</t>
  </si>
  <si>
    <t>CN 2019-00380 (Col.T)</t>
  </si>
  <si>
    <t>(8a)</t>
  </si>
  <si>
    <t>(8b)</t>
  </si>
  <si>
    <t>(8c)</t>
  </si>
  <si>
    <t>Rates C &amp; G</t>
  </si>
  <si>
    <t>Net of Rates</t>
  </si>
  <si>
    <t>C &amp; G</t>
  </si>
  <si>
    <t>Col (8a) - (8b)</t>
  </si>
  <si>
    <t>Col (8c) + Col (9)</t>
  </si>
  <si>
    <t>Require. Net</t>
  </si>
  <si>
    <t>Revenues Net</t>
  </si>
  <si>
    <t>Net Rates</t>
  </si>
  <si>
    <t>Valley Pass</t>
  </si>
  <si>
    <t>Factor Net</t>
  </si>
  <si>
    <t>EKP Revenue</t>
  </si>
  <si>
    <t>Env Srchg</t>
  </si>
  <si>
    <t>Buy thru energy Chgs (*)</t>
  </si>
  <si>
    <t>Min Energy Chg</t>
  </si>
  <si>
    <t>Net</t>
  </si>
  <si>
    <t>E</t>
  </si>
  <si>
    <t>DLC</t>
  </si>
  <si>
    <t>Rev</t>
  </si>
  <si>
    <t>EE</t>
  </si>
  <si>
    <t>Direct Assign</t>
  </si>
  <si>
    <t>G</t>
  </si>
  <si>
    <t>Col 4</t>
  </si>
  <si>
    <t>Dir Assign ES</t>
  </si>
  <si>
    <t>Col 8b</t>
  </si>
  <si>
    <t>Note (*):</t>
  </si>
  <si>
    <t>C</t>
  </si>
  <si>
    <t>Per IPA with interruptible service approved December 24, 2021, exclude buy-thru charge.</t>
  </si>
  <si>
    <t>Case No. 2022-00141</t>
  </si>
  <si>
    <t xml:space="preserve"> </t>
  </si>
  <si>
    <t>For the Month Ending August 2025</t>
  </si>
  <si>
    <t>Case No. 2025-00013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</si>
</sst>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3333FF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Arial"/>
      <family val="2"/>
    </font>
    <font>
      <b/>
      <sz val="10"/>
      <color rgb="FF3333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5" fillId="0" borderId="0" xfId="0" applyFont="1"/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9" xfId="0" applyBorder="1"/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7" fontId="0" fillId="0" borderId="0" xfId="0" applyNumberFormat="1"/>
    <xf numFmtId="165" fontId="0" fillId="0" borderId="0" xfId="0" applyNumberFormat="1"/>
    <xf numFmtId="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6" fontId="0" fillId="0" borderId="0" xfId="2" applyNumberFormat="1" applyFont="1"/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0" fontId="0" fillId="0" borderId="0" xfId="2" applyNumberFormat="1" applyFont="1" applyAlignment="1"/>
    <xf numFmtId="167" fontId="0" fillId="0" borderId="0" xfId="3" applyNumberFormat="1" applyFont="1" applyAlignment="1">
      <alignment horizontal="right"/>
    </xf>
    <xf numFmtId="167" fontId="0" fillId="0" borderId="0" xfId="3" applyNumberFormat="1" applyFont="1"/>
    <xf numFmtId="167" fontId="0" fillId="0" borderId="0" xfId="3" applyNumberFormat="1" applyFont="1" applyAlignment="1">
      <alignment horizontal="center"/>
    </xf>
    <xf numFmtId="167" fontId="0" fillId="0" borderId="0" xfId="3" applyNumberFormat="1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8" fontId="0" fillId="0" borderId="0" xfId="0" applyNumberFormat="1"/>
    <xf numFmtId="167" fontId="0" fillId="0" borderId="0" xfId="3" applyNumberFormat="1" applyFont="1" applyAlignment="1"/>
    <xf numFmtId="0" fontId="6" fillId="2" borderId="0" xfId="0" applyFont="1" applyFill="1" applyAlignment="1">
      <alignment horizontal="center"/>
    </xf>
    <xf numFmtId="10" fontId="4" fillId="0" borderId="0" xfId="2" applyNumberFormat="1" applyFont="1" applyFill="1"/>
    <xf numFmtId="10" fontId="4" fillId="0" borderId="0" xfId="0" applyNumberFormat="1" applyFont="1"/>
    <xf numFmtId="167" fontId="4" fillId="0" borderId="0" xfId="3" applyNumberFormat="1" applyFont="1" applyFill="1" applyAlignment="1"/>
    <xf numFmtId="167" fontId="4" fillId="0" borderId="0" xfId="3" applyNumberFormat="1" applyFont="1" applyFill="1" applyAlignment="1">
      <alignment horizontal="center"/>
    </xf>
    <xf numFmtId="0" fontId="4" fillId="0" borderId="0" xfId="0" applyFont="1" applyAlignment="1">
      <alignment horizontal="right"/>
    </xf>
    <xf numFmtId="167" fontId="10" fillId="0" borderId="0" xfId="3" applyNumberFormat="1" applyFont="1"/>
    <xf numFmtId="167" fontId="0" fillId="0" borderId="0" xfId="0" applyNumberFormat="1"/>
    <xf numFmtId="167" fontId="10" fillId="0" borderId="2" xfId="3" applyNumberFormat="1" applyFont="1" applyBorder="1"/>
    <xf numFmtId="167" fontId="0" fillId="0" borderId="2" xfId="0" applyNumberFormat="1" applyBorder="1"/>
    <xf numFmtId="0" fontId="4" fillId="0" borderId="1" xfId="0" applyFont="1" applyBorder="1" applyAlignment="1">
      <alignment horizontal="left"/>
    </xf>
    <xf numFmtId="0" fontId="0" fillId="0" borderId="13" xfId="0" applyBorder="1"/>
    <xf numFmtId="0" fontId="0" fillId="0" borderId="3" xfId="0" applyBorder="1"/>
    <xf numFmtId="167" fontId="10" fillId="0" borderId="0" xfId="3" applyNumberFormat="1" applyFont="1" applyBorder="1"/>
    <xf numFmtId="0" fontId="4" fillId="0" borderId="0" xfId="0" applyFont="1" applyAlignment="1">
      <alignment horizontal="left"/>
    </xf>
    <xf numFmtId="167" fontId="13" fillId="0" borderId="2" xfId="3" applyNumberFormat="1" applyFont="1" applyBorder="1"/>
    <xf numFmtId="167" fontId="13" fillId="0" borderId="0" xfId="3" applyNumberFormat="1" applyFont="1" applyBorder="1"/>
    <xf numFmtId="167" fontId="14" fillId="0" borderId="2" xfId="3" applyNumberFormat="1" applyFont="1" applyBorder="1"/>
    <xf numFmtId="0" fontId="16" fillId="0" borderId="0" xfId="0" applyFont="1" applyAlignment="1">
      <alignment vertical="center"/>
    </xf>
    <xf numFmtId="0" fontId="4" fillId="0" borderId="2" xfId="0" applyFont="1" applyBorder="1" applyAlignment="1">
      <alignment horizontal="center" wrapText="1"/>
    </xf>
    <xf numFmtId="164" fontId="4" fillId="0" borderId="2" xfId="1" applyNumberFormat="1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67" fontId="14" fillId="0" borderId="0" xfId="3" applyNumberFormat="1" applyFont="1"/>
    <xf numFmtId="164" fontId="4" fillId="0" borderId="0" xfId="1" applyNumberFormat="1" applyFont="1"/>
    <xf numFmtId="167" fontId="4" fillId="0" borderId="0" xfId="3" applyNumberFormat="1" applyFont="1"/>
    <xf numFmtId="37" fontId="16" fillId="3" borderId="0" xfId="0" applyNumberFormat="1" applyFont="1" applyFill="1" applyAlignment="1">
      <alignment vertical="center"/>
    </xf>
    <xf numFmtId="167" fontId="14" fillId="0" borderId="12" xfId="3" applyNumberFormat="1" applyFont="1" applyBorder="1"/>
    <xf numFmtId="164" fontId="4" fillId="0" borderId="12" xfId="1" applyNumberFormat="1" applyFont="1" applyBorder="1"/>
    <xf numFmtId="167" fontId="4" fillId="0" borderId="12" xfId="3" applyNumberFormat="1" applyFont="1" applyBorder="1"/>
    <xf numFmtId="37" fontId="16" fillId="0" borderId="0" xfId="0" applyNumberFormat="1" applyFont="1" applyAlignment="1">
      <alignment vertical="center"/>
    </xf>
    <xf numFmtId="164" fontId="17" fillId="0" borderId="0" xfId="1" applyNumberFormat="1" applyFont="1"/>
    <xf numFmtId="167" fontId="17" fillId="0" borderId="0" xfId="3" applyNumberFormat="1" applyFont="1"/>
    <xf numFmtId="0" fontId="16" fillId="0" borderId="0" xfId="0" applyFont="1"/>
    <xf numFmtId="167" fontId="10" fillId="0" borderId="12" xfId="3" applyNumberFormat="1" applyFont="1" applyBorder="1"/>
    <xf numFmtId="167" fontId="4" fillId="0" borderId="0" xfId="0" applyNumberFormat="1" applyFont="1"/>
    <xf numFmtId="38" fontId="4" fillId="0" borderId="0" xfId="0" applyNumberFormat="1" applyFont="1"/>
    <xf numFmtId="167" fontId="4" fillId="0" borderId="14" xfId="0" applyNumberFormat="1" applyFont="1" applyBorder="1"/>
    <xf numFmtId="38" fontId="16" fillId="0" borderId="0" xfId="0" applyNumberFormat="1" applyFont="1" applyAlignment="1">
      <alignment vertical="center"/>
    </xf>
    <xf numFmtId="0" fontId="16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7" fontId="10" fillId="0" borderId="0" xfId="0" applyNumberFormat="1" applyFont="1"/>
    <xf numFmtId="37" fontId="10" fillId="0" borderId="0" xfId="3" applyNumberFormat="1" applyFont="1" applyBorder="1"/>
    <xf numFmtId="37" fontId="0" fillId="0" borderId="0" xfId="0" applyNumberFormat="1"/>
    <xf numFmtId="37" fontId="11" fillId="0" borderId="0" xfId="0" applyNumberFormat="1" applyFont="1"/>
    <xf numFmtId="37" fontId="11" fillId="0" borderId="0" xfId="3" applyNumberFormat="1" applyFont="1" applyBorder="1"/>
    <xf numFmtId="37" fontId="12" fillId="0" borderId="0" xfId="0" applyNumberFormat="1" applyFont="1"/>
    <xf numFmtId="37" fontId="4" fillId="0" borderId="0" xfId="0" applyNumberFormat="1" applyFont="1"/>
    <xf numFmtId="164" fontId="4" fillId="0" borderId="0" xfId="1" applyNumberFormat="1" applyFont="1" applyBorder="1"/>
    <xf numFmtId="164" fontId="13" fillId="0" borderId="0" xfId="1" applyNumberFormat="1" applyFont="1"/>
    <xf numFmtId="167" fontId="19" fillId="0" borderId="2" xfId="3" applyNumberFormat="1" applyFont="1" applyBorder="1"/>
    <xf numFmtId="17" fontId="0" fillId="3" borderId="0" xfId="0" applyNumberFormat="1" applyFill="1"/>
    <xf numFmtId="10" fontId="4" fillId="3" borderId="0" xfId="2" applyNumberFormat="1" applyFont="1" applyFill="1"/>
    <xf numFmtId="10" fontId="4" fillId="3" borderId="0" xfId="0" applyNumberFormat="1" applyFont="1" applyFill="1"/>
    <xf numFmtId="167" fontId="4" fillId="3" borderId="0" xfId="3" applyNumberFormat="1" applyFont="1" applyFill="1" applyAlignment="1"/>
    <xf numFmtId="167" fontId="4" fillId="3" borderId="0" xfId="3" applyNumberFormat="1" applyFont="1" applyFill="1" applyAlignment="1">
      <alignment horizontal="center"/>
    </xf>
    <xf numFmtId="0" fontId="0" fillId="3" borderId="0" xfId="0" applyFill="1"/>
    <xf numFmtId="167" fontId="0" fillId="3" borderId="0" xfId="3" applyNumberFormat="1" applyFont="1" applyFill="1" applyAlignment="1">
      <alignment horizontal="center"/>
    </xf>
    <xf numFmtId="10" fontId="0" fillId="3" borderId="0" xfId="2" applyNumberFormat="1" applyFont="1" applyFill="1" applyAlignment="1"/>
  </cellXfs>
  <cellStyles count="7">
    <cellStyle name="Comma" xfId="3" builtinId="3"/>
    <cellStyle name="Currency" xfId="1" builtinId="4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Percent" xfId="2" builtinId="5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09%20Exp%20Month\ES%20-%20Oct%2009%20Exp%20Month\EKPC%20Factor%20-%20with%20Future%20Vintage%20Yr%20Allowances%20Oct%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May%202010%20Exp%20Month\EKPC%20Factor%20-%20with%20Future%20Vintage%20Yr%20Allowances%20May%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June%202010%20Exp%20Month\EKPC%20Factor%20-%20with%20Future%20Vintage%20Yr%20Allowances%20June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July%202010%20Exp%20Month\EKPC%20Factor%20-%20with%20Future%20Vintage%20Yr%20Allowances%20July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Aug%202010%20Exp%20Month\EKPC%20Factor%20-%20with%20Future%20Vintage%20Yr%20Allowances%20Aug%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Sept%202010%20Exp%20Month\EKPC%20Factor%20-%20with%20Future%20Vintage%20Yr%20Allowances%20Sept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Oct%202010%20Exp%20Month\EKPC%20Factor%20-%20with%20Future%20Vintage%20Yr%20Allowances%20Oct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Nov%202010%20Exp%20Month\EKPC%20Factor%20-%20with%20Future%20Vintage%20Yr%20Allowances%20Nov%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Dec%202010%20Exp%20Month\EKPC%20Factor%20-%20with%20Future%20Vintage%20Yr%20Allowances%20Dec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KPCH\us1\Pricing\george\All%20Environmental%20Surcharge%20Files\Environmental%20Surcharge%20-%20Monthly%20Filings\Envir%20Surch%20-%202011%20Exp%20Months\2011%2007%20July%20Expense%20Month\EKPC%20Factor%20-%20with%20Future%20Vintage%20Yr%20Allowances%20Jan%2011.xlsx?606F9451" TargetMode="External"/><Relationship Id="rId1" Type="http://schemas.openxmlformats.org/officeDocument/2006/relationships/externalLinkPath" Target="file:///\\606F9451\EKPC%20Factor%20-%20with%20Future%20Vintage%20Yr%20Allowances%20Jan%2011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KPCH\us1\Pricing\george\All%20Environmental%20Surcharge%20Files\Environmental%20Surcharge%20-%20Monthly%20Filings\Envir%20Surch%20-%202011%20Exp%20Months\2011%2007%20July%20Expense%20Month\EKPC%20Factor%20-%20with%20Future%20Vintage%20Yr%20Allowances%20February%2011.xlsx?606F9451" TargetMode="External"/><Relationship Id="rId1" Type="http://schemas.openxmlformats.org/officeDocument/2006/relationships/externalLinkPath" Target="file:///\\606F9451\EKPC%20Factor%20-%20with%20Future%20Vintage%20Yr%20Allowances%20February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09%20Exp%20Month\ES%20-%20Nov%2009%20Exp%20Month\EKPC%20Factor%20-%20with%20Future%20Vintage%20Yr%20Allowances%20Nov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09%20Exp%20Month\ES%20-%20Dec%2009%20Exp%20Month\EKPC%20Factor%20-%20with%20Future%20Vintage%20Yr%20Allowances%20Dec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09%20Exp%20Month\ES%20-%20Dec%2009%20Exp%20Month\From%20Coops%20-%20Over_Under%20Dec%2009\MASTER%20All%20Coops%20-%20OVER_UNDER%20Dec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Jan%202010%20Exp%20Month\EKPC%20Factor%20-%20with%20Future%20Vintage%20Yr%20Allowances%20Jan%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MASTER%20FILE%20All%20Coops%20-%20OVER_UNDER%20for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Feb%202010%20Exp%20Month\EKPC%20Factor%20-%20with%20Future%20Vintage%20Yr%20Allowances%20Feb%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March%202010%20Exp%20Month\EKPC%20Factor%20-%20with%20Future%20Vintage%20Yr%20Allowances%20Mar%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PCH\us1\Pricing\george\Environmental%20Surcharge%20-%20Monthly%20Filings\Envir%20Surch%20-%202010%20Exp%20Months\ES%20-%20Apr%2010%20Exp%20Month\EKPC%20Factor%20-%20with%20Future%20Vintage%20Yr%20Allowances%20Apr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8.3385711707093149E-2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0.11103310077324695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0.13188866003484037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0.12894002233333171</v>
          </cell>
        </row>
      </sheetData>
      <sheetData sheetId="2">
        <row r="29">
          <cell r="F29">
            <v>603722879.70369995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4">
          <cell r="G34">
            <v>58759808.916666664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0.11323565448999388</v>
          </cell>
        </row>
      </sheetData>
      <sheetData sheetId="2">
        <row r="29">
          <cell r="F29">
            <v>602103181.94210005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1">
          <cell r="C31">
            <v>75133701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9.542427390594671E-2</v>
          </cell>
        </row>
      </sheetData>
      <sheetData sheetId="2">
        <row r="29">
          <cell r="F29">
            <v>656511504.42904997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1">
          <cell r="E31">
            <v>6054258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0.12265232976770672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0.15846049484313979</v>
          </cell>
        </row>
      </sheetData>
      <sheetData sheetId="2"/>
      <sheetData sheetId="3"/>
      <sheetData sheetId="4">
        <row r="17">
          <cell r="E17">
            <v>69612000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0.14711863184623605</v>
          </cell>
        </row>
      </sheetData>
      <sheetData sheetId="2"/>
      <sheetData sheetId="3"/>
      <sheetData sheetId="4">
        <row r="17">
          <cell r="E17">
            <v>69612000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 refreshError="1"/>
      <sheetData sheetId="1" refreshError="1">
        <row r="20">
          <cell r="H20">
            <v>6.4705701936854237E-2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  <sheetName val="Sheet1"/>
    </sheetNames>
    <sheetDataSet>
      <sheetData sheetId="0" refreshError="1"/>
      <sheetData sheetId="1" refreshError="1">
        <row r="23">
          <cell r="H23">
            <v>6.4534784465299963E-2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9.4326189721395101E-2</v>
          </cell>
        </row>
      </sheetData>
      <sheetData sheetId="2">
        <row r="69">
          <cell r="F69">
            <v>9.4326189721395101E-2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0.14590105297536887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BG"/>
      <sheetName val="CL"/>
      <sheetName val="CV"/>
      <sheetName val="FA"/>
      <sheetName val="FM"/>
      <sheetName val="GR"/>
      <sheetName val="IC"/>
      <sheetName val="JA"/>
      <sheetName val="LV"/>
      <sheetName val="NO"/>
      <sheetName val="OW"/>
      <sheetName val="SR"/>
      <sheetName val="SH"/>
      <sheetName val="SK"/>
      <sheetName val="TC"/>
      <sheetName val="SUMMARY"/>
    </sheetNames>
    <sheetDataSet>
      <sheetData sheetId="0" refreshError="1"/>
      <sheetData sheetId="1" refreshError="1"/>
      <sheetData sheetId="2" refreshError="1"/>
      <sheetData sheetId="3" refreshError="1">
        <row r="66">
          <cell r="I66">
            <v>3919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0.1361470278098281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BG"/>
      <sheetName val="CL"/>
      <sheetName val="CV"/>
      <sheetName val="FA"/>
      <sheetName val="FM"/>
      <sheetName val="GR"/>
      <sheetName val="IC"/>
      <sheetName val="JA"/>
      <sheetName val="LV"/>
      <sheetName val="NO"/>
      <sheetName val="OW"/>
      <sheetName val="SR"/>
      <sheetName val="SH"/>
      <sheetName val="SK"/>
      <sheetName val="TC"/>
      <sheetName val="SUMMARY"/>
      <sheetName val="System"/>
      <sheetName val="System Over Under"/>
    </sheetNames>
    <sheetDataSet>
      <sheetData sheetId="0">
        <row r="66">
          <cell r="J66">
            <v>34931</v>
          </cell>
        </row>
      </sheetData>
      <sheetData sheetId="1">
        <row r="66">
          <cell r="J66">
            <v>-31659</v>
          </cell>
        </row>
      </sheetData>
      <sheetData sheetId="2">
        <row r="68">
          <cell r="K68">
            <v>117.17000000001281</v>
          </cell>
        </row>
      </sheetData>
      <sheetData sheetId="3">
        <row r="67">
          <cell r="I67">
            <v>-6401</v>
          </cell>
        </row>
        <row r="68">
          <cell r="I68">
            <v>-86617</v>
          </cell>
        </row>
        <row r="69">
          <cell r="I69">
            <v>-29944</v>
          </cell>
        </row>
        <row r="70">
          <cell r="I70">
            <v>152132.46000000002</v>
          </cell>
        </row>
        <row r="71">
          <cell r="I71">
            <v>5936.7399999999907</v>
          </cell>
        </row>
        <row r="72">
          <cell r="I72">
            <v>-217935.09000000003</v>
          </cell>
        </row>
        <row r="73">
          <cell r="I73">
            <v>-118382.48999999999</v>
          </cell>
        </row>
        <row r="74">
          <cell r="I74">
            <v>61284.86</v>
          </cell>
        </row>
        <row r="75">
          <cell r="I75">
            <v>-13693.789999999979</v>
          </cell>
        </row>
      </sheetData>
      <sheetData sheetId="4">
        <row r="67">
          <cell r="I67">
            <v>-9852</v>
          </cell>
        </row>
      </sheetData>
      <sheetData sheetId="5">
        <row r="68">
          <cell r="I68">
            <v>0</v>
          </cell>
        </row>
      </sheetData>
      <sheetData sheetId="6">
        <row r="67">
          <cell r="I67">
            <v>-17567</v>
          </cell>
        </row>
      </sheetData>
      <sheetData sheetId="7">
        <row r="67">
          <cell r="I67">
            <v>-11269</v>
          </cell>
        </row>
      </sheetData>
      <sheetData sheetId="8">
        <row r="67">
          <cell r="I67">
            <v>-39859</v>
          </cell>
        </row>
      </sheetData>
      <sheetData sheetId="9">
        <row r="67">
          <cell r="I67">
            <v>-12035.369999999995</v>
          </cell>
        </row>
      </sheetData>
      <sheetData sheetId="10">
        <row r="67">
          <cell r="H67">
            <v>-24435</v>
          </cell>
        </row>
      </sheetData>
      <sheetData sheetId="11"/>
      <sheetData sheetId="12">
        <row r="67">
          <cell r="H67">
            <v>-25591</v>
          </cell>
        </row>
      </sheetData>
      <sheetData sheetId="13">
        <row r="67">
          <cell r="H67">
            <v>-3689</v>
          </cell>
        </row>
      </sheetData>
      <sheetData sheetId="14">
        <row r="67">
          <cell r="H67">
            <v>-22024</v>
          </cell>
        </row>
      </sheetData>
      <sheetData sheetId="15">
        <row r="67">
          <cell r="J67">
            <v>-1283</v>
          </cell>
        </row>
      </sheetData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0.10677660128078398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5.2688746350572933E-2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m 1.0"/>
      <sheetName val="ES Form 1.1"/>
      <sheetName val="ES Form 2.0"/>
      <sheetName val="ES Form 2.1"/>
      <sheetName val="ES Form 2.2"/>
      <sheetName val="ES Form 2.3"/>
      <sheetName val="ES Form 2.4"/>
      <sheetName val="ES Form 2.5"/>
      <sheetName val="ES Form 3.0"/>
    </sheetNames>
    <sheetDataSet>
      <sheetData sheetId="0"/>
      <sheetData sheetId="1">
        <row r="20">
          <cell r="H20">
            <v>6.750351882627266E-2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C291"/>
  <sheetViews>
    <sheetView zoomScale="80" zoomScaleNormal="80" zoomScaleSheetLayoutView="80" workbookViewId="0">
      <selection activeCell="C268" sqref="C268:T268"/>
    </sheetView>
  </sheetViews>
  <sheetFormatPr defaultRowHeight="12.75" x14ac:dyDescent="0.2"/>
  <cols>
    <col min="2" max="2" width="2.140625" customWidth="1"/>
    <col min="4" max="4" width="12" bestFit="1" customWidth="1"/>
    <col min="5" max="5" width="10.28515625" bestFit="1" customWidth="1"/>
    <col min="6" max="6" width="13" customWidth="1"/>
    <col min="7" max="7" width="13.42578125" customWidth="1"/>
    <col min="8" max="8" width="12.42578125" bestFit="1" customWidth="1"/>
    <col min="9" max="9" width="14.42578125" customWidth="1"/>
    <col min="10" max="10" width="14.5703125" customWidth="1"/>
    <col min="11" max="13" width="13.140625" customWidth="1"/>
    <col min="14" max="14" width="11.5703125" customWidth="1"/>
    <col min="15" max="15" width="12.42578125" customWidth="1"/>
    <col min="16" max="16" width="13.140625" customWidth="1"/>
    <col min="17" max="17" width="10.28515625" customWidth="1"/>
    <col min="18" max="18" width="14" customWidth="1"/>
    <col min="19" max="19" width="16.140625" bestFit="1" customWidth="1"/>
    <col min="20" max="20" width="13" customWidth="1"/>
    <col min="21" max="21" width="3.7109375" customWidth="1"/>
    <col min="22" max="23" width="13.85546875" bestFit="1" customWidth="1"/>
    <col min="24" max="24" width="13.28515625" customWidth="1"/>
  </cols>
  <sheetData>
    <row r="4" spans="3:20" x14ac:dyDescent="0.2">
      <c r="C4" s="1" t="s">
        <v>0</v>
      </c>
    </row>
    <row r="5" spans="3:20" x14ac:dyDescent="0.2">
      <c r="C5" s="1" t="s">
        <v>1</v>
      </c>
    </row>
    <row r="6" spans="3:20" x14ac:dyDescent="0.2">
      <c r="C6" s="1"/>
    </row>
    <row r="7" spans="3:20" x14ac:dyDescent="0.2">
      <c r="C7" s="1" t="s">
        <v>115</v>
      </c>
    </row>
    <row r="10" spans="3:20" x14ac:dyDescent="0.2">
      <c r="C10" s="50"/>
      <c r="D10" s="2" t="s">
        <v>2</v>
      </c>
      <c r="E10" s="3" t="s">
        <v>3</v>
      </c>
      <c r="F10" s="4" t="s">
        <v>4</v>
      </c>
      <c r="G10" s="3" t="s">
        <v>5</v>
      </c>
      <c r="H10" s="3" t="s">
        <v>6</v>
      </c>
      <c r="I10" s="3" t="s">
        <v>7</v>
      </c>
      <c r="J10" s="3" t="s">
        <v>8</v>
      </c>
      <c r="K10" s="3" t="s">
        <v>83</v>
      </c>
      <c r="L10" s="3" t="s">
        <v>84</v>
      </c>
      <c r="M10" s="3" t="s">
        <v>85</v>
      </c>
      <c r="N10" s="3" t="s">
        <v>67</v>
      </c>
      <c r="O10" s="5" t="s">
        <v>9</v>
      </c>
      <c r="P10" s="3" t="s">
        <v>10</v>
      </c>
      <c r="Q10" s="3" t="s">
        <v>11</v>
      </c>
      <c r="R10" s="3" t="s">
        <v>12</v>
      </c>
      <c r="S10" s="3" t="s">
        <v>13</v>
      </c>
      <c r="T10" s="3" t="s">
        <v>14</v>
      </c>
    </row>
    <row r="11" spans="3:20" s="38" customFormat="1" x14ac:dyDescent="0.2">
      <c r="C11" s="34"/>
      <c r="D11" s="35"/>
      <c r="E11" s="34"/>
      <c r="F11" s="34"/>
      <c r="G11" s="36" t="s">
        <v>15</v>
      </c>
      <c r="H11" s="37" t="s">
        <v>16</v>
      </c>
      <c r="I11" s="34" t="s">
        <v>17</v>
      </c>
      <c r="J11" s="34" t="s">
        <v>18</v>
      </c>
      <c r="K11" s="34" t="s">
        <v>19</v>
      </c>
      <c r="L11" s="36" t="s">
        <v>86</v>
      </c>
      <c r="M11" s="36" t="s">
        <v>21</v>
      </c>
      <c r="N11" s="36" t="s">
        <v>20</v>
      </c>
      <c r="O11" s="34" t="s">
        <v>21</v>
      </c>
      <c r="P11" s="34" t="s">
        <v>21</v>
      </c>
      <c r="Q11" s="37" t="s">
        <v>22</v>
      </c>
      <c r="R11" s="36" t="s">
        <v>21</v>
      </c>
      <c r="S11" s="34" t="s">
        <v>23</v>
      </c>
      <c r="T11" s="34" t="s">
        <v>21</v>
      </c>
    </row>
    <row r="12" spans="3:20" s="38" customFormat="1" x14ac:dyDescent="0.2">
      <c r="C12" s="37"/>
      <c r="D12" s="39"/>
      <c r="E12" s="37"/>
      <c r="F12" s="37"/>
      <c r="G12" s="40" t="s">
        <v>24</v>
      </c>
      <c r="H12" s="37" t="s">
        <v>25</v>
      </c>
      <c r="I12" s="37" t="s">
        <v>24</v>
      </c>
      <c r="J12" s="37" t="s">
        <v>26</v>
      </c>
      <c r="K12" s="37" t="s">
        <v>27</v>
      </c>
      <c r="L12" s="40" t="s">
        <v>31</v>
      </c>
      <c r="M12" s="40" t="s">
        <v>27</v>
      </c>
      <c r="N12" s="40" t="s">
        <v>28</v>
      </c>
      <c r="O12" s="37" t="s">
        <v>27</v>
      </c>
      <c r="P12" s="37" t="s">
        <v>27</v>
      </c>
      <c r="Q12" s="37" t="s">
        <v>29</v>
      </c>
      <c r="R12" s="37" t="s">
        <v>27</v>
      </c>
      <c r="S12" s="41" t="s">
        <v>30</v>
      </c>
      <c r="T12" s="37" t="s">
        <v>94</v>
      </c>
    </row>
    <row r="13" spans="3:20" s="38" customFormat="1" x14ac:dyDescent="0.2">
      <c r="C13" s="37" t="s">
        <v>31</v>
      </c>
      <c r="D13" s="39"/>
      <c r="E13" s="37"/>
      <c r="F13" s="37"/>
      <c r="G13" s="40" t="s">
        <v>32</v>
      </c>
      <c r="H13" s="37" t="s">
        <v>33</v>
      </c>
      <c r="I13" s="37" t="s">
        <v>34</v>
      </c>
      <c r="J13" s="37" t="s">
        <v>35</v>
      </c>
      <c r="K13" s="37" t="s">
        <v>25</v>
      </c>
      <c r="L13" s="40" t="s">
        <v>53</v>
      </c>
      <c r="M13" s="40" t="s">
        <v>25</v>
      </c>
      <c r="N13" s="40" t="s">
        <v>36</v>
      </c>
      <c r="O13" s="37" t="s">
        <v>37</v>
      </c>
      <c r="P13" s="37" t="s">
        <v>38</v>
      </c>
      <c r="Q13" s="37" t="s">
        <v>25</v>
      </c>
      <c r="R13" s="40" t="s">
        <v>39</v>
      </c>
      <c r="S13" s="41" t="s">
        <v>40</v>
      </c>
      <c r="T13" s="37" t="s">
        <v>50</v>
      </c>
    </row>
    <row r="14" spans="3:20" s="38" customFormat="1" x14ac:dyDescent="0.2">
      <c r="C14" s="37" t="s">
        <v>41</v>
      </c>
      <c r="D14" s="39"/>
      <c r="E14" s="37"/>
      <c r="F14" s="37"/>
      <c r="G14" s="40" t="s">
        <v>42</v>
      </c>
      <c r="H14" s="37"/>
      <c r="I14" s="37" t="s">
        <v>43</v>
      </c>
      <c r="J14" s="37" t="s">
        <v>44</v>
      </c>
      <c r="K14" s="37" t="s">
        <v>45</v>
      </c>
      <c r="L14" s="40"/>
      <c r="M14" s="40" t="s">
        <v>45</v>
      </c>
      <c r="N14" s="40" t="s">
        <v>46</v>
      </c>
      <c r="O14" s="37" t="s">
        <v>25</v>
      </c>
      <c r="P14" s="37" t="s">
        <v>47</v>
      </c>
      <c r="Q14" s="37" t="s">
        <v>33</v>
      </c>
      <c r="R14" s="40" t="s">
        <v>48</v>
      </c>
      <c r="S14" s="37" t="s">
        <v>49</v>
      </c>
      <c r="T14" s="37" t="s">
        <v>54</v>
      </c>
    </row>
    <row r="15" spans="3:20" s="38" customFormat="1" x14ac:dyDescent="0.2">
      <c r="C15" s="37" t="s">
        <v>51</v>
      </c>
      <c r="D15" s="39" t="s">
        <v>52</v>
      </c>
      <c r="E15" s="37" t="s">
        <v>52</v>
      </c>
      <c r="F15" s="37" t="s">
        <v>52</v>
      </c>
      <c r="G15" s="40" t="s">
        <v>21</v>
      </c>
      <c r="H15" s="37"/>
      <c r="I15" s="37" t="s">
        <v>21</v>
      </c>
      <c r="J15" s="37" t="s">
        <v>21</v>
      </c>
      <c r="K15" s="37"/>
      <c r="L15" s="40"/>
      <c r="M15" s="40" t="s">
        <v>87</v>
      </c>
      <c r="N15" s="40"/>
      <c r="O15" s="37" t="s">
        <v>91</v>
      </c>
      <c r="P15" s="37" t="s">
        <v>92</v>
      </c>
      <c r="Q15" s="42"/>
      <c r="R15" s="40" t="s">
        <v>92</v>
      </c>
      <c r="S15" s="37" t="s">
        <v>93</v>
      </c>
      <c r="T15" s="37" t="s">
        <v>95</v>
      </c>
    </row>
    <row r="16" spans="3:20" s="38" customFormat="1" x14ac:dyDescent="0.2">
      <c r="C16" s="43" t="s">
        <v>55</v>
      </c>
      <c r="D16" s="44" t="s">
        <v>56</v>
      </c>
      <c r="E16" s="43" t="s">
        <v>57</v>
      </c>
      <c r="F16" s="43" t="s">
        <v>58</v>
      </c>
      <c r="G16" s="45" t="s">
        <v>27</v>
      </c>
      <c r="H16" s="43"/>
      <c r="I16" s="43" t="s">
        <v>27</v>
      </c>
      <c r="J16" s="43" t="s">
        <v>27</v>
      </c>
      <c r="K16" s="43"/>
      <c r="L16" s="46"/>
      <c r="M16" s="46" t="s">
        <v>88</v>
      </c>
      <c r="N16" s="46"/>
      <c r="O16" s="43" t="s">
        <v>86</v>
      </c>
      <c r="P16" s="43" t="s">
        <v>86</v>
      </c>
      <c r="Q16" s="47"/>
      <c r="R16" s="46" t="s">
        <v>86</v>
      </c>
      <c r="S16" s="43" t="s">
        <v>88</v>
      </c>
      <c r="T16" s="43" t="s">
        <v>86</v>
      </c>
    </row>
    <row r="17" spans="2:22" x14ac:dyDescent="0.2">
      <c r="C17" s="11"/>
      <c r="D17" s="7"/>
      <c r="E17" s="6"/>
      <c r="F17" s="12" t="s">
        <v>59</v>
      </c>
      <c r="G17" s="8"/>
      <c r="H17" s="6"/>
      <c r="I17" s="13" t="s">
        <v>60</v>
      </c>
      <c r="J17" s="6"/>
      <c r="K17" s="13" t="s">
        <v>61</v>
      </c>
      <c r="L17" s="14"/>
      <c r="M17" s="14" t="s">
        <v>89</v>
      </c>
      <c r="N17" s="9"/>
      <c r="O17" s="12" t="s">
        <v>90</v>
      </c>
      <c r="P17" s="10"/>
      <c r="Q17" s="10"/>
      <c r="R17" s="14" t="s">
        <v>62</v>
      </c>
      <c r="S17" s="6"/>
      <c r="T17" s="12" t="s">
        <v>63</v>
      </c>
    </row>
    <row r="18" spans="2:22" x14ac:dyDescent="0.2">
      <c r="G18" s="27"/>
      <c r="H18" s="27"/>
      <c r="I18" s="27"/>
      <c r="J18" s="27"/>
      <c r="K18" s="27"/>
      <c r="L18" s="27"/>
      <c r="M18" s="27"/>
      <c r="N18" s="27"/>
    </row>
    <row r="19" spans="2:22" hidden="1" x14ac:dyDescent="0.2">
      <c r="C19" s="15">
        <v>38139</v>
      </c>
      <c r="G19" s="27">
        <v>1570620</v>
      </c>
      <c r="H19" s="27"/>
      <c r="I19" s="26">
        <f t="shared" ref="I19:I31" si="0">+G19-H19</f>
        <v>1570620</v>
      </c>
      <c r="J19" s="26"/>
      <c r="K19" s="26"/>
      <c r="L19" s="26"/>
      <c r="M19" s="26"/>
      <c r="N19" s="26"/>
      <c r="O19" s="19"/>
      <c r="P19" s="17">
        <v>2272807</v>
      </c>
      <c r="Q19" s="19"/>
      <c r="R19" s="17">
        <f t="shared" ref="R19:R31" si="1">+P19-Q19</f>
        <v>2272807</v>
      </c>
      <c r="S19" s="19"/>
      <c r="T19" s="19"/>
      <c r="U19" s="19"/>
    </row>
    <row r="20" spans="2:22" hidden="1" x14ac:dyDescent="0.2">
      <c r="C20" s="15">
        <v>38169</v>
      </c>
      <c r="G20" s="27">
        <v>1797266</v>
      </c>
      <c r="H20" s="27"/>
      <c r="I20" s="26">
        <f t="shared" si="0"/>
        <v>1797266</v>
      </c>
      <c r="J20" s="26"/>
      <c r="K20" s="26"/>
      <c r="L20" s="26"/>
      <c r="M20" s="26"/>
      <c r="N20" s="26"/>
      <c r="O20" s="19"/>
      <c r="P20" s="17">
        <v>2121442</v>
      </c>
      <c r="Q20" s="19"/>
      <c r="R20" s="17">
        <f t="shared" si="1"/>
        <v>2121442</v>
      </c>
      <c r="S20" s="19"/>
      <c r="T20" s="19"/>
      <c r="U20" s="19"/>
    </row>
    <row r="21" spans="2:22" hidden="1" x14ac:dyDescent="0.2">
      <c r="C21" s="15">
        <v>38200</v>
      </c>
      <c r="G21" s="27">
        <v>1713923</v>
      </c>
      <c r="H21" s="27"/>
      <c r="I21" s="26">
        <f t="shared" si="0"/>
        <v>1713923</v>
      </c>
      <c r="J21" s="26"/>
      <c r="K21" s="26"/>
      <c r="L21" s="26"/>
      <c r="M21" s="26"/>
      <c r="N21" s="26"/>
      <c r="O21" s="19"/>
      <c r="P21" s="17">
        <v>2180189</v>
      </c>
      <c r="Q21" s="19"/>
      <c r="R21" s="17">
        <f t="shared" si="1"/>
        <v>2180189</v>
      </c>
      <c r="S21" s="19"/>
      <c r="T21" s="19"/>
      <c r="U21" s="19"/>
    </row>
    <row r="22" spans="2:22" hidden="1" x14ac:dyDescent="0.2">
      <c r="C22" s="15">
        <v>38231</v>
      </c>
      <c r="G22" s="27">
        <v>1571917</v>
      </c>
      <c r="H22" s="27"/>
      <c r="I22" s="26">
        <f t="shared" si="0"/>
        <v>1571917</v>
      </c>
      <c r="J22" s="26"/>
      <c r="K22" s="26"/>
      <c r="L22" s="26"/>
      <c r="M22" s="26"/>
      <c r="N22" s="26"/>
      <c r="O22" s="19"/>
      <c r="P22" s="17">
        <v>2193694</v>
      </c>
      <c r="Q22" s="19"/>
      <c r="R22" s="17">
        <f t="shared" si="1"/>
        <v>2193694</v>
      </c>
      <c r="S22" s="19"/>
      <c r="T22" s="19"/>
      <c r="U22" s="19"/>
    </row>
    <row r="23" spans="2:22" hidden="1" x14ac:dyDescent="0.2">
      <c r="C23" s="15">
        <v>38261</v>
      </c>
      <c r="G23" s="27">
        <v>1407202</v>
      </c>
      <c r="H23" s="27"/>
      <c r="I23" s="26">
        <f t="shared" si="0"/>
        <v>1407202</v>
      </c>
      <c r="J23" s="26"/>
      <c r="K23" s="26"/>
      <c r="L23" s="26"/>
      <c r="M23" s="26"/>
      <c r="N23" s="26"/>
      <c r="O23" s="19"/>
      <c r="P23" s="17">
        <v>2058186</v>
      </c>
      <c r="Q23" s="19"/>
      <c r="R23" s="17">
        <f t="shared" si="1"/>
        <v>2058186</v>
      </c>
      <c r="S23" s="19"/>
      <c r="T23" s="19"/>
      <c r="U23" s="19"/>
    </row>
    <row r="24" spans="2:22" hidden="1" x14ac:dyDescent="0.2">
      <c r="C24" s="15">
        <v>38292</v>
      </c>
      <c r="G24" s="27">
        <v>1669509</v>
      </c>
      <c r="H24" s="27"/>
      <c r="I24" s="26">
        <f t="shared" si="0"/>
        <v>1669509</v>
      </c>
      <c r="J24" s="26"/>
      <c r="K24" s="26"/>
      <c r="L24" s="26"/>
      <c r="M24" s="26"/>
      <c r="N24" s="26"/>
      <c r="O24" s="19"/>
      <c r="P24" s="17">
        <v>2497894</v>
      </c>
      <c r="Q24" s="19"/>
      <c r="R24" s="17">
        <f t="shared" si="1"/>
        <v>2497894</v>
      </c>
      <c r="S24" s="19"/>
      <c r="T24" s="19"/>
      <c r="U24" s="19"/>
    </row>
    <row r="25" spans="2:22" hidden="1" x14ac:dyDescent="0.2">
      <c r="C25" s="15">
        <v>38322</v>
      </c>
      <c r="G25" s="27">
        <v>2492447</v>
      </c>
      <c r="H25" s="27"/>
      <c r="I25" s="26">
        <f t="shared" si="0"/>
        <v>2492447</v>
      </c>
      <c r="J25" s="26"/>
      <c r="K25" s="26"/>
      <c r="L25" s="26"/>
      <c r="M25" s="26"/>
      <c r="N25" s="26"/>
      <c r="O25" s="19"/>
      <c r="P25" s="17">
        <v>3036708</v>
      </c>
      <c r="Q25" s="19"/>
      <c r="R25" s="17">
        <f t="shared" si="1"/>
        <v>3036708</v>
      </c>
      <c r="S25" s="19"/>
      <c r="T25" s="19"/>
      <c r="U25" s="19"/>
    </row>
    <row r="26" spans="2:22" hidden="1" x14ac:dyDescent="0.2">
      <c r="C26" s="15">
        <v>38353</v>
      </c>
      <c r="G26" s="27">
        <v>2616682</v>
      </c>
      <c r="H26" s="27"/>
      <c r="I26" s="26">
        <f t="shared" si="0"/>
        <v>2616682</v>
      </c>
      <c r="J26" s="26"/>
      <c r="K26" s="26"/>
      <c r="L26" s="26"/>
      <c r="M26" s="26"/>
      <c r="N26" s="26"/>
      <c r="O26" s="19"/>
      <c r="P26" s="17">
        <v>2880216</v>
      </c>
      <c r="Q26" s="19"/>
      <c r="R26" s="17">
        <f t="shared" si="1"/>
        <v>2880216</v>
      </c>
      <c r="S26" s="19"/>
      <c r="T26" s="19"/>
      <c r="U26" s="19"/>
    </row>
    <row r="27" spans="2:22" hidden="1" x14ac:dyDescent="0.2">
      <c r="C27" s="15">
        <v>38384</v>
      </c>
      <c r="G27" s="27">
        <v>2325510</v>
      </c>
      <c r="H27" s="27"/>
      <c r="I27" s="26">
        <f t="shared" si="0"/>
        <v>2325510</v>
      </c>
      <c r="J27" s="26"/>
      <c r="K27" s="26"/>
      <c r="L27" s="26"/>
      <c r="M27" s="26"/>
      <c r="N27" s="26"/>
      <c r="O27" s="19"/>
      <c r="P27" s="17">
        <v>3167270</v>
      </c>
      <c r="Q27" s="19"/>
      <c r="R27" s="17">
        <f t="shared" si="1"/>
        <v>3167270</v>
      </c>
      <c r="S27" s="19"/>
      <c r="T27" s="19"/>
      <c r="U27" s="19"/>
    </row>
    <row r="28" spans="2:22" hidden="1" x14ac:dyDescent="0.2">
      <c r="C28" s="15">
        <v>38412</v>
      </c>
      <c r="G28" s="27">
        <v>2200961</v>
      </c>
      <c r="H28" s="27"/>
      <c r="I28" s="26">
        <f t="shared" si="0"/>
        <v>2200961</v>
      </c>
      <c r="J28" s="26"/>
      <c r="K28" s="26"/>
      <c r="L28" s="26"/>
      <c r="M28" s="26"/>
      <c r="N28" s="26"/>
      <c r="O28" s="19"/>
      <c r="P28" s="17">
        <v>3239025</v>
      </c>
      <c r="Q28" s="19"/>
      <c r="R28" s="17">
        <f t="shared" si="1"/>
        <v>3239025</v>
      </c>
      <c r="S28" s="19"/>
      <c r="T28" s="19"/>
      <c r="U28" s="19"/>
    </row>
    <row r="29" spans="2:22" hidden="1" x14ac:dyDescent="0.2">
      <c r="C29" s="15">
        <v>38443</v>
      </c>
      <c r="G29" s="27">
        <v>1627876</v>
      </c>
      <c r="H29" s="27"/>
      <c r="I29" s="26">
        <f t="shared" si="0"/>
        <v>1627876</v>
      </c>
      <c r="J29" s="26"/>
      <c r="K29" s="26"/>
      <c r="L29" s="26"/>
      <c r="M29" s="26"/>
      <c r="N29" s="26"/>
      <c r="O29" s="19"/>
      <c r="P29" s="17">
        <v>2235096</v>
      </c>
      <c r="Q29" s="19"/>
      <c r="R29" s="17">
        <f t="shared" si="1"/>
        <v>2235096</v>
      </c>
      <c r="S29" s="17"/>
      <c r="T29" s="21"/>
      <c r="U29" s="19"/>
      <c r="V29" s="22"/>
    </row>
    <row r="30" spans="2:22" hidden="1" x14ac:dyDescent="0.2">
      <c r="C30" s="15">
        <v>38473</v>
      </c>
      <c r="D30" s="20"/>
      <c r="E30" s="20"/>
      <c r="F30" s="20"/>
      <c r="G30" s="27">
        <v>1614666</v>
      </c>
      <c r="H30" s="27"/>
      <c r="I30" s="26">
        <f t="shared" si="0"/>
        <v>1614666</v>
      </c>
      <c r="J30" s="26"/>
      <c r="K30" s="26"/>
      <c r="L30" s="26"/>
      <c r="M30" s="26"/>
      <c r="N30" s="26"/>
      <c r="O30" s="17"/>
      <c r="P30" s="17">
        <v>2313728</v>
      </c>
      <c r="Q30" s="19"/>
      <c r="R30" s="17">
        <f t="shared" si="1"/>
        <v>2313728</v>
      </c>
      <c r="S30" s="17">
        <f t="shared" ref="S30:S36" si="2">SUM(R19:R30)/12</f>
        <v>2516354.5833333335</v>
      </c>
      <c r="T30" s="21"/>
      <c r="U30" s="19"/>
    </row>
    <row r="31" spans="2:22" hidden="1" x14ac:dyDescent="0.2">
      <c r="C31" s="15">
        <v>38504</v>
      </c>
      <c r="D31" s="20">
        <v>6.2799999999999995E-2</v>
      </c>
      <c r="E31" s="20">
        <v>5.1000000000000004E-3</v>
      </c>
      <c r="F31" s="20">
        <f t="shared" ref="F31:F36" si="3">+D31-E31</f>
        <v>5.7699999999999994E-2</v>
      </c>
      <c r="G31" s="27">
        <v>1824892</v>
      </c>
      <c r="H31" s="27"/>
      <c r="I31" s="26">
        <f t="shared" si="0"/>
        <v>1824892</v>
      </c>
      <c r="J31" s="26">
        <f t="shared" ref="J31:J36" si="4">SUM(I20:I31)/12</f>
        <v>1905237.5833333333</v>
      </c>
      <c r="K31" s="26">
        <f>+F31*J31</f>
        <v>109932.20855833332</v>
      </c>
      <c r="L31" s="26"/>
      <c r="M31" s="26"/>
      <c r="N31" s="26"/>
      <c r="O31" s="17">
        <f t="shared" ref="O31:O36" si="5">+K31+N31</f>
        <v>109932.20855833332</v>
      </c>
      <c r="P31" s="18">
        <v>2570458</v>
      </c>
      <c r="Q31" s="18"/>
      <c r="R31" s="18">
        <f t="shared" si="1"/>
        <v>2570458</v>
      </c>
      <c r="S31" s="17">
        <f t="shared" si="2"/>
        <v>2541158.8333333335</v>
      </c>
      <c r="T31" s="21">
        <f>+O31/S30</f>
        <v>4.3687089763283553E-2</v>
      </c>
      <c r="U31" s="19"/>
    </row>
    <row r="32" spans="2:22" hidden="1" x14ac:dyDescent="0.2">
      <c r="B32" s="23"/>
      <c r="C32" s="15">
        <v>38534</v>
      </c>
      <c r="D32" s="20">
        <v>6.2100000000000002E-2</v>
      </c>
      <c r="E32" s="20">
        <v>5.1000000000000004E-3</v>
      </c>
      <c r="F32" s="20">
        <f t="shared" si="3"/>
        <v>5.7000000000000002E-2</v>
      </c>
      <c r="G32" s="27">
        <f>2296172-125262</f>
        <v>2170910</v>
      </c>
      <c r="H32" s="27"/>
      <c r="I32" s="26">
        <f t="shared" ref="I32:I37" si="6">+G32-H32</f>
        <v>2170910</v>
      </c>
      <c r="J32" s="26">
        <f t="shared" si="4"/>
        <v>1936374.5833333333</v>
      </c>
      <c r="K32" s="26">
        <f>+F32*J32</f>
        <v>110373.35124999999</v>
      </c>
      <c r="L32" s="26"/>
      <c r="M32" s="26"/>
      <c r="N32" s="26"/>
      <c r="O32" s="17">
        <f t="shared" si="5"/>
        <v>110373.35124999999</v>
      </c>
      <c r="P32" s="18">
        <v>2434643</v>
      </c>
      <c r="Q32" s="19"/>
      <c r="R32" s="18">
        <f t="shared" ref="R32:R37" si="7">+P32-Q32</f>
        <v>2434643</v>
      </c>
      <c r="S32" s="17">
        <f t="shared" si="2"/>
        <v>2567258.9166666665</v>
      </c>
      <c r="T32" s="21">
        <v>4.3900000000000002E-2</v>
      </c>
    </row>
    <row r="33" spans="2:20" hidden="1" x14ac:dyDescent="0.2">
      <c r="B33" s="23"/>
      <c r="C33" s="15">
        <v>38565</v>
      </c>
      <c r="D33" s="20">
        <v>0.1169</v>
      </c>
      <c r="E33" s="20">
        <v>5.1000000000000004E-3</v>
      </c>
      <c r="F33" s="20">
        <f t="shared" si="3"/>
        <v>0.11180000000000001</v>
      </c>
      <c r="G33" s="27">
        <f>2390743-128923</f>
        <v>2261820</v>
      </c>
      <c r="H33" s="27"/>
      <c r="I33" s="26">
        <f t="shared" si="6"/>
        <v>2261820</v>
      </c>
      <c r="J33" s="26">
        <f t="shared" si="4"/>
        <v>1982032.6666666667</v>
      </c>
      <c r="K33" s="26">
        <f>+F33*J33-595</f>
        <v>220996.25213333336</v>
      </c>
      <c r="L33" s="26"/>
      <c r="M33" s="26"/>
      <c r="N33" s="26"/>
      <c r="O33" s="17">
        <f t="shared" si="5"/>
        <v>220996.25213333336</v>
      </c>
      <c r="P33" s="18">
        <v>3065696.05</v>
      </c>
      <c r="Q33" s="16"/>
      <c r="R33" s="18">
        <f t="shared" si="7"/>
        <v>3065696.05</v>
      </c>
      <c r="S33" s="17">
        <f t="shared" si="2"/>
        <v>2641051.1708333334</v>
      </c>
      <c r="T33" s="21">
        <f t="shared" ref="T33:T38" si="8">+O33/S32</f>
        <v>8.6082572621960271E-2</v>
      </c>
    </row>
    <row r="34" spans="2:20" hidden="1" x14ac:dyDescent="0.2">
      <c r="C34" s="15">
        <v>38596</v>
      </c>
      <c r="D34" s="20">
        <v>0.10680000000000001</v>
      </c>
      <c r="E34" s="20">
        <v>5.1000000000000004E-3</v>
      </c>
      <c r="F34" s="20">
        <f t="shared" si="3"/>
        <v>0.10170000000000001</v>
      </c>
      <c r="G34" s="27">
        <f>2335618-234864</f>
        <v>2100754</v>
      </c>
      <c r="H34" s="27"/>
      <c r="I34" s="26">
        <f t="shared" si="6"/>
        <v>2100754</v>
      </c>
      <c r="J34" s="26">
        <f t="shared" si="4"/>
        <v>2026102.4166666667</v>
      </c>
      <c r="K34" s="26">
        <f t="shared" ref="K34:K39" si="9">+F34*J34</f>
        <v>206054.61577500004</v>
      </c>
      <c r="L34" s="26"/>
      <c r="M34" s="26"/>
      <c r="N34" s="26"/>
      <c r="O34" s="17">
        <f t="shared" si="5"/>
        <v>206054.61577500004</v>
      </c>
      <c r="P34" s="18">
        <v>2549013.4700000002</v>
      </c>
      <c r="Q34" s="16"/>
      <c r="R34" s="18">
        <f t="shared" si="7"/>
        <v>2549013.4700000002</v>
      </c>
      <c r="S34" s="17">
        <f t="shared" si="2"/>
        <v>2670661.1266666665</v>
      </c>
      <c r="T34" s="21">
        <f t="shared" si="8"/>
        <v>7.8019925570008336E-2</v>
      </c>
    </row>
    <row r="35" spans="2:20" hidden="1" x14ac:dyDescent="0.2">
      <c r="C35" s="15">
        <v>38626</v>
      </c>
      <c r="D35" s="20">
        <v>0.10059999999999999</v>
      </c>
      <c r="E35" s="20">
        <v>5.1000000000000004E-3</v>
      </c>
      <c r="F35" s="20">
        <f t="shared" si="3"/>
        <v>9.5500000000000002E-2</v>
      </c>
      <c r="G35" s="27">
        <f>2166890-200028</f>
        <v>1966862</v>
      </c>
      <c r="H35" s="27"/>
      <c r="I35" s="26">
        <f t="shared" si="6"/>
        <v>1966862</v>
      </c>
      <c r="J35" s="26">
        <f t="shared" si="4"/>
        <v>2072740.75</v>
      </c>
      <c r="K35" s="26">
        <f t="shared" si="9"/>
        <v>197946.741625</v>
      </c>
      <c r="L35" s="26"/>
      <c r="M35" s="26"/>
      <c r="N35" s="26"/>
      <c r="O35" s="17">
        <f t="shared" si="5"/>
        <v>197946.741625</v>
      </c>
      <c r="P35" s="18">
        <v>2338979.1800000002</v>
      </c>
      <c r="Q35" s="16"/>
      <c r="R35" s="18">
        <f t="shared" si="7"/>
        <v>2338979.1800000002</v>
      </c>
      <c r="S35" s="17">
        <f t="shared" si="2"/>
        <v>2694060.5583333331</v>
      </c>
      <c r="T35" s="21">
        <f t="shared" si="8"/>
        <v>7.4119003586225612E-2</v>
      </c>
    </row>
    <row r="36" spans="2:20" hidden="1" x14ac:dyDescent="0.2">
      <c r="C36" s="15">
        <v>38657</v>
      </c>
      <c r="D36" s="20">
        <v>0.11269999999999999</v>
      </c>
      <c r="E36" s="20">
        <v>5.1000000000000004E-3</v>
      </c>
      <c r="F36" s="20">
        <f t="shared" si="3"/>
        <v>0.1076</v>
      </c>
      <c r="G36" s="27">
        <f>2477075-215937</f>
        <v>2261138</v>
      </c>
      <c r="H36" s="27"/>
      <c r="I36" s="26">
        <f t="shared" si="6"/>
        <v>2261138</v>
      </c>
      <c r="J36" s="26">
        <f t="shared" si="4"/>
        <v>2122043.1666666665</v>
      </c>
      <c r="K36" s="26">
        <f t="shared" si="9"/>
        <v>228331.84473333333</v>
      </c>
      <c r="L36" s="26"/>
      <c r="M36" s="26"/>
      <c r="N36" s="26"/>
      <c r="O36" s="17">
        <f t="shared" si="5"/>
        <v>228331.84473333333</v>
      </c>
      <c r="P36" s="18">
        <v>3062477.75</v>
      </c>
      <c r="Q36" s="18"/>
      <c r="R36" s="18">
        <f t="shared" si="7"/>
        <v>3062477.75</v>
      </c>
      <c r="S36" s="17">
        <f t="shared" si="2"/>
        <v>2741109.2041666666</v>
      </c>
      <c r="T36" s="21">
        <f t="shared" si="8"/>
        <v>8.4753790714559754E-2</v>
      </c>
    </row>
    <row r="37" spans="2:20" hidden="1" x14ac:dyDescent="0.2">
      <c r="C37" s="15">
        <v>38687</v>
      </c>
      <c r="D37" s="20">
        <v>6.1499999999999999E-2</v>
      </c>
      <c r="E37" s="20">
        <v>5.1000000000000004E-3</v>
      </c>
      <c r="F37" s="20">
        <f t="shared" ref="F37:F42" si="10">+D37-E37</f>
        <v>5.6399999999999999E-2</v>
      </c>
      <c r="G37" s="27">
        <f>3189117-309813</f>
        <v>2879304</v>
      </c>
      <c r="H37" s="27"/>
      <c r="I37" s="26">
        <f t="shared" si="6"/>
        <v>2879304</v>
      </c>
      <c r="J37" s="26">
        <f t="shared" ref="J37:J42" si="11">SUM(I26:I37)/12</f>
        <v>2154281.25</v>
      </c>
      <c r="K37" s="26">
        <f t="shared" si="9"/>
        <v>121501.46249999999</v>
      </c>
      <c r="L37" s="26"/>
      <c r="M37" s="26"/>
      <c r="N37" s="26"/>
      <c r="O37" s="17">
        <f t="shared" ref="O37:O42" si="12">+K37+N37</f>
        <v>121501.46249999999</v>
      </c>
      <c r="P37" s="18">
        <v>3705060.24</v>
      </c>
      <c r="Q37" s="16"/>
      <c r="R37" s="18">
        <f t="shared" si="7"/>
        <v>3705060.24</v>
      </c>
      <c r="S37" s="17">
        <f t="shared" ref="S37:S42" si="13">SUM(R26:R37)/12</f>
        <v>2796805.2241666666</v>
      </c>
      <c r="T37" s="21">
        <f t="shared" si="8"/>
        <v>4.4325655583261611E-2</v>
      </c>
    </row>
    <row r="38" spans="2:20" hidden="1" x14ac:dyDescent="0.2">
      <c r="C38" s="15">
        <v>38718</v>
      </c>
      <c r="D38" s="20">
        <v>8.4400000000000003E-2</v>
      </c>
      <c r="E38" s="20">
        <v>5.1000000000000004E-3</v>
      </c>
      <c r="F38" s="20">
        <f t="shared" si="10"/>
        <v>7.9300000000000009E-2</v>
      </c>
      <c r="G38" s="27">
        <f>2933073-156592</f>
        <v>2776481</v>
      </c>
      <c r="H38" s="27"/>
      <c r="I38" s="26">
        <f t="shared" ref="I38:I43" si="14">+G38-H38</f>
        <v>2776481</v>
      </c>
      <c r="J38" s="26">
        <f t="shared" si="11"/>
        <v>2167597.8333333335</v>
      </c>
      <c r="K38" s="26">
        <f t="shared" si="9"/>
        <v>171890.50818333335</v>
      </c>
      <c r="L38" s="26"/>
      <c r="M38" s="26"/>
      <c r="N38" s="26"/>
      <c r="O38" s="17">
        <f t="shared" si="12"/>
        <v>171890.50818333335</v>
      </c>
      <c r="P38" s="18">
        <v>3084607.67</v>
      </c>
      <c r="Q38" s="16"/>
      <c r="R38" s="18">
        <f t="shared" ref="R38:R43" si="15">+P38-Q38</f>
        <v>3084607.67</v>
      </c>
      <c r="S38" s="17">
        <f t="shared" si="13"/>
        <v>2813837.8633333333</v>
      </c>
      <c r="T38" s="21">
        <f t="shared" si="8"/>
        <v>6.1459592072433178E-2</v>
      </c>
    </row>
    <row r="39" spans="2:20" hidden="1" x14ac:dyDescent="0.2">
      <c r="C39" s="15">
        <v>38749</v>
      </c>
      <c r="D39" s="20">
        <v>9.2600000000000002E-2</v>
      </c>
      <c r="E39" s="20">
        <v>5.1000000000000004E-3</v>
      </c>
      <c r="F39" s="20">
        <f t="shared" si="10"/>
        <v>8.7499999999999994E-2</v>
      </c>
      <c r="G39" s="27">
        <f>2708316-198989</f>
        <v>2509327</v>
      </c>
      <c r="H39" s="27"/>
      <c r="I39" s="26">
        <f t="shared" si="14"/>
        <v>2509327</v>
      </c>
      <c r="J39" s="26">
        <f t="shared" si="11"/>
        <v>2182915.9166666665</v>
      </c>
      <c r="K39" s="26">
        <f t="shared" si="9"/>
        <v>191005.1427083333</v>
      </c>
      <c r="L39" s="26"/>
      <c r="M39" s="26"/>
      <c r="N39" s="26"/>
      <c r="O39" s="17">
        <f t="shared" si="12"/>
        <v>191005.1427083333</v>
      </c>
      <c r="P39" s="18">
        <v>3713179.57</v>
      </c>
      <c r="Q39" s="18"/>
      <c r="R39" s="18">
        <f t="shared" si="15"/>
        <v>3713179.57</v>
      </c>
      <c r="S39" s="17">
        <f t="shared" si="13"/>
        <v>2859330.3275000001</v>
      </c>
      <c r="T39" s="21">
        <f t="shared" ref="T39:T44" si="16">+O39/S38</f>
        <v>6.7880649840309018E-2</v>
      </c>
    </row>
    <row r="40" spans="2:20" hidden="1" x14ac:dyDescent="0.2">
      <c r="C40" s="15">
        <v>38777</v>
      </c>
      <c r="D40" s="20">
        <v>9.5899999999999999E-2</v>
      </c>
      <c r="E40" s="20">
        <v>5.1000000000000004E-3</v>
      </c>
      <c r="F40" s="20">
        <f t="shared" si="10"/>
        <v>9.0799999999999992E-2</v>
      </c>
      <c r="G40" s="27">
        <f>2443031-196565</f>
        <v>2246466</v>
      </c>
      <c r="H40" s="27"/>
      <c r="I40" s="26">
        <f t="shared" si="14"/>
        <v>2246466</v>
      </c>
      <c r="J40" s="26">
        <f t="shared" si="11"/>
        <v>2186708</v>
      </c>
      <c r="K40" s="26">
        <f t="shared" ref="K40:K45" si="17">+F40*J40</f>
        <v>198553.08639999997</v>
      </c>
      <c r="L40" s="26"/>
      <c r="M40" s="26"/>
      <c r="N40" s="26"/>
      <c r="O40" s="17">
        <f t="shared" si="12"/>
        <v>198553.08639999997</v>
      </c>
      <c r="P40" s="18">
        <v>3320479.51</v>
      </c>
      <c r="Q40" s="16"/>
      <c r="R40" s="18">
        <f t="shared" si="15"/>
        <v>3320479.51</v>
      </c>
      <c r="S40" s="17">
        <f t="shared" si="13"/>
        <v>2866118.2033333336</v>
      </c>
      <c r="T40" s="21">
        <f t="shared" si="16"/>
        <v>6.9440415642218228E-2</v>
      </c>
    </row>
    <row r="41" spans="2:20" hidden="1" x14ac:dyDescent="0.2">
      <c r="C41" s="15">
        <v>38808</v>
      </c>
      <c r="D41" s="20">
        <v>9.4100000000000003E-2</v>
      </c>
      <c r="E41" s="20">
        <v>5.1000000000000004E-3</v>
      </c>
      <c r="F41" s="20">
        <f t="shared" si="10"/>
        <v>8.8999999999999996E-2</v>
      </c>
      <c r="G41" s="28">
        <f>1907554-158789</f>
        <v>1748765</v>
      </c>
      <c r="H41" s="27"/>
      <c r="I41" s="26">
        <f t="shared" si="14"/>
        <v>1748765</v>
      </c>
      <c r="J41" s="26">
        <f t="shared" si="11"/>
        <v>2196782.0833333335</v>
      </c>
      <c r="K41" s="26">
        <f t="shared" si="17"/>
        <v>195513.60541666666</v>
      </c>
      <c r="L41" s="26"/>
      <c r="M41" s="26"/>
      <c r="N41" s="26"/>
      <c r="O41" s="17">
        <f t="shared" si="12"/>
        <v>195513.60541666666</v>
      </c>
      <c r="P41" s="18">
        <v>2291865.63</v>
      </c>
      <c r="Q41" s="16"/>
      <c r="R41" s="18">
        <f t="shared" si="15"/>
        <v>2291865.63</v>
      </c>
      <c r="S41" s="17">
        <f t="shared" si="13"/>
        <v>2870849.0058333338</v>
      </c>
      <c r="T41" s="21">
        <f t="shared" si="16"/>
        <v>6.8215471779664125E-2</v>
      </c>
    </row>
    <row r="42" spans="2:20" hidden="1" x14ac:dyDescent="0.2">
      <c r="C42" s="15">
        <v>38838</v>
      </c>
      <c r="D42" s="20">
        <v>0.10199999999999999</v>
      </c>
      <c r="E42" s="20">
        <v>5.1000000000000004E-3</v>
      </c>
      <c r="F42" s="20">
        <f t="shared" si="10"/>
        <v>9.6899999999999986E-2</v>
      </c>
      <c r="G42" s="28">
        <f>2067007-168930</f>
        <v>1898077</v>
      </c>
      <c r="H42" s="27"/>
      <c r="I42" s="26">
        <f t="shared" si="14"/>
        <v>1898077</v>
      </c>
      <c r="J42" s="26">
        <f t="shared" si="11"/>
        <v>2220399.6666666665</v>
      </c>
      <c r="K42" s="26">
        <f t="shared" si="17"/>
        <v>215156.72769999996</v>
      </c>
      <c r="L42" s="26"/>
      <c r="M42" s="26"/>
      <c r="N42" s="26"/>
      <c r="O42" s="17">
        <f t="shared" si="12"/>
        <v>215156.72769999996</v>
      </c>
      <c r="P42" s="18">
        <v>2404503.81</v>
      </c>
      <c r="Q42" s="16"/>
      <c r="R42" s="18">
        <f t="shared" si="15"/>
        <v>2404503.81</v>
      </c>
      <c r="S42" s="17">
        <f t="shared" si="13"/>
        <v>2878413.6566666663</v>
      </c>
      <c r="T42" s="21">
        <f t="shared" si="16"/>
        <v>7.4945330549540862E-2</v>
      </c>
    </row>
    <row r="43" spans="2:20" hidden="1" x14ac:dyDescent="0.2">
      <c r="C43" s="15">
        <v>38869</v>
      </c>
      <c r="D43" s="20">
        <v>0.1079</v>
      </c>
      <c r="E43" s="20">
        <v>5.1000000000000004E-3</v>
      </c>
      <c r="F43" s="20">
        <f t="shared" ref="F43:F48" si="18">+D43-E43</f>
        <v>0.1028</v>
      </c>
      <c r="G43" s="28">
        <f>2253410-199066</f>
        <v>2054344</v>
      </c>
      <c r="H43" s="27"/>
      <c r="I43" s="26">
        <f t="shared" si="14"/>
        <v>2054344</v>
      </c>
      <c r="J43" s="26">
        <f t="shared" ref="J43:J48" si="19">SUM(I32:I43)/12</f>
        <v>2239520.6666666665</v>
      </c>
      <c r="K43" s="26">
        <f t="shared" si="17"/>
        <v>230222.72453333333</v>
      </c>
      <c r="L43" s="26"/>
      <c r="M43" s="26"/>
      <c r="N43" s="26"/>
      <c r="O43" s="17">
        <f t="shared" ref="O43:O48" si="20">+K43+N43</f>
        <v>230222.72453333333</v>
      </c>
      <c r="P43" s="18">
        <v>2850905.7</v>
      </c>
      <c r="Q43" s="16"/>
      <c r="R43" s="18">
        <f t="shared" si="15"/>
        <v>2850905.7</v>
      </c>
      <c r="S43" s="17">
        <f t="shared" ref="S43:S48" si="21">SUM(R32:R43)/12</f>
        <v>2901784.2983333333</v>
      </c>
      <c r="T43" s="21">
        <f t="shared" si="16"/>
        <v>7.9982501472683293E-2</v>
      </c>
    </row>
    <row r="44" spans="2:20" hidden="1" x14ac:dyDescent="0.2">
      <c r="C44" s="15">
        <v>38899</v>
      </c>
      <c r="D44" s="20">
        <v>0.13469999999999999</v>
      </c>
      <c r="E44" s="20">
        <v>5.1000000000000004E-3</v>
      </c>
      <c r="F44" s="20">
        <f t="shared" si="18"/>
        <v>0.12959999999999999</v>
      </c>
      <c r="G44" s="28">
        <f>2415895-225203</f>
        <v>2190692</v>
      </c>
      <c r="H44" s="27"/>
      <c r="I44" s="26">
        <f t="shared" ref="I44:I49" si="22">+G44-H44</f>
        <v>2190692</v>
      </c>
      <c r="J44" s="26">
        <f t="shared" si="19"/>
        <v>2241169.1666666665</v>
      </c>
      <c r="K44" s="26">
        <f t="shared" si="17"/>
        <v>290455.52399999998</v>
      </c>
      <c r="L44" s="26"/>
      <c r="M44" s="26"/>
      <c r="N44" s="26"/>
      <c r="O44" s="17">
        <f t="shared" si="20"/>
        <v>290455.52399999998</v>
      </c>
      <c r="P44" s="18">
        <f>2770481.52</f>
        <v>2770481.52</v>
      </c>
      <c r="Q44" s="16"/>
      <c r="R44" s="18">
        <f t="shared" ref="R44:R49" si="23">+P44-Q44</f>
        <v>2770481.52</v>
      </c>
      <c r="S44" s="17">
        <f t="shared" si="21"/>
        <v>2929770.8416666663</v>
      </c>
      <c r="T44" s="21">
        <f t="shared" si="16"/>
        <v>0.10009549095941618</v>
      </c>
    </row>
    <row r="45" spans="2:20" hidden="1" x14ac:dyDescent="0.2">
      <c r="C45" s="15">
        <v>38930</v>
      </c>
      <c r="D45" s="20">
        <v>0.13</v>
      </c>
      <c r="E45" s="20">
        <v>5.1000000000000004E-3</v>
      </c>
      <c r="F45" s="20">
        <f t="shared" si="18"/>
        <v>0.12490000000000001</v>
      </c>
      <c r="G45" s="28">
        <f>2633522-302145</f>
        <v>2331377</v>
      </c>
      <c r="H45" s="27"/>
      <c r="I45" s="26">
        <f t="shared" si="22"/>
        <v>2331377</v>
      </c>
      <c r="J45" s="26">
        <f t="shared" si="19"/>
        <v>2246965.5833333335</v>
      </c>
      <c r="K45" s="26">
        <f t="shared" si="17"/>
        <v>280646.00135833339</v>
      </c>
      <c r="L45" s="26"/>
      <c r="M45" s="26"/>
      <c r="N45" s="26"/>
      <c r="O45" s="17">
        <f t="shared" si="20"/>
        <v>280646.00135833339</v>
      </c>
      <c r="P45" s="18">
        <v>3273162.77</v>
      </c>
      <c r="Q45" s="16"/>
      <c r="R45" s="18">
        <f t="shared" si="23"/>
        <v>3273162.77</v>
      </c>
      <c r="S45" s="17">
        <f t="shared" si="21"/>
        <v>2947059.7349999999</v>
      </c>
      <c r="T45" s="21">
        <f t="shared" ref="T45:T50" si="24">+O45/S44</f>
        <v>9.5791110132928209E-2</v>
      </c>
    </row>
    <row r="46" spans="2:20" hidden="1" x14ac:dyDescent="0.2">
      <c r="C46" s="15">
        <v>38961</v>
      </c>
      <c r="D46" s="20">
        <v>0.11799999999999999</v>
      </c>
      <c r="E46" s="20">
        <v>5.1000000000000004E-3</v>
      </c>
      <c r="F46" s="20">
        <f t="shared" si="18"/>
        <v>0.1129</v>
      </c>
      <c r="G46" s="28">
        <f>1973592-219130</f>
        <v>1754462</v>
      </c>
      <c r="H46" s="27"/>
      <c r="I46" s="26">
        <f t="shared" si="22"/>
        <v>1754462</v>
      </c>
      <c r="J46" s="26">
        <f t="shared" si="19"/>
        <v>2218107.9166666665</v>
      </c>
      <c r="K46" s="26">
        <f t="shared" ref="K46:K51" si="25">+F46*J46</f>
        <v>250424.38379166665</v>
      </c>
      <c r="L46" s="26"/>
      <c r="M46" s="26"/>
      <c r="N46" s="26"/>
      <c r="O46" s="17">
        <f t="shared" si="20"/>
        <v>250424.38379166665</v>
      </c>
      <c r="P46" s="18">
        <v>2409534.8199999998</v>
      </c>
      <c r="Q46" s="16"/>
      <c r="R46" s="18">
        <f t="shared" si="23"/>
        <v>2409534.8199999998</v>
      </c>
      <c r="S46" s="17">
        <f t="shared" si="21"/>
        <v>2935436.5141666662</v>
      </c>
      <c r="T46" s="21">
        <f t="shared" si="24"/>
        <v>8.4974315524577126E-2</v>
      </c>
    </row>
    <row r="47" spans="2:20" hidden="1" x14ac:dyDescent="0.2">
      <c r="C47" s="15">
        <v>38991</v>
      </c>
      <c r="D47" s="20">
        <v>0.10440000000000001</v>
      </c>
      <c r="E47" s="20">
        <v>5.1000000000000004E-3</v>
      </c>
      <c r="F47" s="20">
        <f t="shared" si="18"/>
        <v>9.9299999999999999E-2</v>
      </c>
      <c r="G47" s="28">
        <f>2283452-231648</f>
        <v>2051804</v>
      </c>
      <c r="H47" s="27"/>
      <c r="I47" s="26">
        <f t="shared" si="22"/>
        <v>2051804</v>
      </c>
      <c r="J47" s="26">
        <f t="shared" si="19"/>
        <v>2225186.4166666665</v>
      </c>
      <c r="K47" s="26">
        <f t="shared" si="25"/>
        <v>220961.01117499999</v>
      </c>
      <c r="L47" s="26"/>
      <c r="M47" s="26"/>
      <c r="N47" s="26"/>
      <c r="O47" s="17">
        <f t="shared" si="20"/>
        <v>220961.01117499999</v>
      </c>
      <c r="P47" s="18">
        <v>2691513.36</v>
      </c>
      <c r="Q47" s="16"/>
      <c r="R47" s="18">
        <f t="shared" si="23"/>
        <v>2691513.36</v>
      </c>
      <c r="S47" s="17">
        <f t="shared" si="21"/>
        <v>2964814.3625000003</v>
      </c>
      <c r="T47" s="21">
        <f t="shared" si="24"/>
        <v>7.5273646733159907E-2</v>
      </c>
    </row>
    <row r="48" spans="2:20" hidden="1" x14ac:dyDescent="0.2">
      <c r="C48" s="15">
        <v>39022</v>
      </c>
      <c r="D48" s="20">
        <v>0.1002</v>
      </c>
      <c r="E48" s="20">
        <v>5.1000000000000004E-3</v>
      </c>
      <c r="F48" s="20">
        <f t="shared" si="18"/>
        <v>9.509999999999999E-2</v>
      </c>
      <c r="G48" s="28">
        <f>2257782-203947</f>
        <v>2053835</v>
      </c>
      <c r="H48" s="27"/>
      <c r="I48" s="26">
        <f t="shared" si="22"/>
        <v>2053835</v>
      </c>
      <c r="J48" s="26">
        <f t="shared" si="19"/>
        <v>2207911.1666666665</v>
      </c>
      <c r="K48" s="26">
        <f t="shared" si="25"/>
        <v>209972.35194999995</v>
      </c>
      <c r="L48" s="26"/>
      <c r="M48" s="26"/>
      <c r="N48" s="26"/>
      <c r="O48" s="17">
        <f t="shared" si="20"/>
        <v>209972.35194999995</v>
      </c>
      <c r="P48" s="18">
        <v>3110706.4</v>
      </c>
      <c r="Q48" s="16"/>
      <c r="R48" s="18">
        <f t="shared" si="23"/>
        <v>3110706.4</v>
      </c>
      <c r="S48" s="17">
        <f t="shared" si="21"/>
        <v>2968833.4166666665</v>
      </c>
      <c r="T48" s="21">
        <f t="shared" si="24"/>
        <v>7.0821416209325971E-2</v>
      </c>
    </row>
    <row r="49" spans="3:22" hidden="1" x14ac:dyDescent="0.2">
      <c r="C49" s="15">
        <v>39052</v>
      </c>
      <c r="D49" s="20">
        <v>8.8499999999999995E-2</v>
      </c>
      <c r="E49" s="20">
        <v>5.1000000000000004E-3</v>
      </c>
      <c r="F49" s="20">
        <f t="shared" ref="F49:F54" si="26">+D49-E49</f>
        <v>8.3400000000000002E-2</v>
      </c>
      <c r="G49" s="28">
        <f>2790548-242335</f>
        <v>2548213</v>
      </c>
      <c r="H49" s="27"/>
      <c r="I49" s="26">
        <f t="shared" si="22"/>
        <v>2548213</v>
      </c>
      <c r="J49" s="26">
        <f t="shared" ref="J49:J54" si="27">SUM(I38:I49)/12</f>
        <v>2180320.25</v>
      </c>
      <c r="K49" s="26">
        <f t="shared" si="25"/>
        <v>181838.70885</v>
      </c>
      <c r="L49" s="26"/>
      <c r="M49" s="26"/>
      <c r="N49" s="26"/>
      <c r="O49" s="17">
        <f t="shared" ref="O49:O54" si="28">+K49+N49</f>
        <v>181838.70885</v>
      </c>
      <c r="P49" s="18">
        <v>3172598.52</v>
      </c>
      <c r="Q49" s="16"/>
      <c r="R49" s="18">
        <f t="shared" si="23"/>
        <v>3172598.52</v>
      </c>
      <c r="S49" s="17">
        <f t="shared" ref="S49:S54" si="29">SUM(R38:R49)/12</f>
        <v>2924461.6066666669</v>
      </c>
      <c r="T49" s="21">
        <f t="shared" si="24"/>
        <v>6.1249212511951596E-2</v>
      </c>
    </row>
    <row r="50" spans="3:22" hidden="1" x14ac:dyDescent="0.2">
      <c r="C50" s="15">
        <v>39083</v>
      </c>
      <c r="D50" s="20">
        <v>9.8799999999999999E-2</v>
      </c>
      <c r="E50" s="20">
        <v>5.1000000000000004E-3</v>
      </c>
      <c r="F50" s="20">
        <f t="shared" si="26"/>
        <v>9.3700000000000006E-2</v>
      </c>
      <c r="G50" s="28">
        <f>3039307-233963</f>
        <v>2805344</v>
      </c>
      <c r="H50" s="27"/>
      <c r="I50" s="26">
        <f t="shared" ref="I50:I55" si="30">+G50-H50</f>
        <v>2805344</v>
      </c>
      <c r="J50" s="26">
        <f t="shared" si="27"/>
        <v>2182725.5</v>
      </c>
      <c r="K50" s="26">
        <f t="shared" si="25"/>
        <v>204521.37935</v>
      </c>
      <c r="L50" s="26"/>
      <c r="M50" s="26"/>
      <c r="N50" s="26">
        <v>42196</v>
      </c>
      <c r="O50" s="17">
        <f t="shared" si="28"/>
        <v>246717.37935</v>
      </c>
      <c r="P50" s="18">
        <v>3558100.34</v>
      </c>
      <c r="Q50" s="16"/>
      <c r="R50" s="18">
        <f t="shared" ref="R50:R55" si="31">+P50-Q50</f>
        <v>3558100.34</v>
      </c>
      <c r="S50" s="17">
        <f t="shared" si="29"/>
        <v>2963919.3291666671</v>
      </c>
      <c r="T50" s="21">
        <f t="shared" si="24"/>
        <v>8.4363350432632669E-2</v>
      </c>
    </row>
    <row r="51" spans="3:22" hidden="1" x14ac:dyDescent="0.2">
      <c r="C51" s="15">
        <v>39114</v>
      </c>
      <c r="D51" s="20">
        <v>9.5500000000000002E-2</v>
      </c>
      <c r="E51" s="20">
        <v>5.1000000000000004E-3</v>
      </c>
      <c r="F51" s="20">
        <f t="shared" si="26"/>
        <v>9.0400000000000008E-2</v>
      </c>
      <c r="G51" s="28">
        <f>3132528-268372</f>
        <v>2864156</v>
      </c>
      <c r="H51" s="27"/>
      <c r="I51" s="26">
        <f t="shared" si="30"/>
        <v>2864156</v>
      </c>
      <c r="J51" s="26">
        <f t="shared" si="27"/>
        <v>2212294.5833333335</v>
      </c>
      <c r="K51" s="26">
        <f t="shared" si="25"/>
        <v>199991.43033333335</v>
      </c>
      <c r="L51" s="26"/>
      <c r="M51" s="26"/>
      <c r="N51" s="26">
        <v>42196</v>
      </c>
      <c r="O51" s="17">
        <f t="shared" si="28"/>
        <v>242187.43033333335</v>
      </c>
      <c r="P51" s="18">
        <v>4053594.25</v>
      </c>
      <c r="Q51" s="16"/>
      <c r="R51" s="18">
        <f t="shared" si="31"/>
        <v>4053594.25</v>
      </c>
      <c r="S51" s="17">
        <f t="shared" si="29"/>
        <v>2992287.2191666663</v>
      </c>
      <c r="T51" s="21">
        <f t="shared" ref="T51:T56" si="32">+O51/S50</f>
        <v>8.1711883299275409E-2</v>
      </c>
    </row>
    <row r="52" spans="3:22" hidden="1" x14ac:dyDescent="0.2">
      <c r="C52" s="15">
        <v>39142</v>
      </c>
      <c r="D52" s="20">
        <v>9.8299999999999998E-2</v>
      </c>
      <c r="E52" s="20">
        <v>5.1000000000000004E-3</v>
      </c>
      <c r="F52" s="20">
        <f t="shared" si="26"/>
        <v>9.3200000000000005E-2</v>
      </c>
      <c r="G52" s="28">
        <f>2763977-229149</f>
        <v>2534828</v>
      </c>
      <c r="H52" s="27"/>
      <c r="I52" s="26">
        <f t="shared" si="30"/>
        <v>2534828</v>
      </c>
      <c r="J52" s="26">
        <f t="shared" si="27"/>
        <v>2236324.75</v>
      </c>
      <c r="K52" s="26">
        <f t="shared" ref="K52:K57" si="33">+F52*J52</f>
        <v>208425.46670000002</v>
      </c>
      <c r="L52" s="26"/>
      <c r="M52" s="26"/>
      <c r="N52" s="26">
        <v>42196</v>
      </c>
      <c r="O52" s="17">
        <f t="shared" si="28"/>
        <v>250621.46670000002</v>
      </c>
      <c r="P52" s="18">
        <v>3030872.37</v>
      </c>
      <c r="Q52" s="16"/>
      <c r="R52" s="18">
        <f t="shared" si="31"/>
        <v>3030872.37</v>
      </c>
      <c r="S52" s="17">
        <f t="shared" si="29"/>
        <v>2968153.290833333</v>
      </c>
      <c r="T52" s="21">
        <f t="shared" si="32"/>
        <v>8.3755818991800055E-2</v>
      </c>
    </row>
    <row r="53" spans="3:22" hidden="1" x14ac:dyDescent="0.2">
      <c r="C53" s="15">
        <v>39173</v>
      </c>
      <c r="D53" s="20">
        <v>7.3400000000000007E-2</v>
      </c>
      <c r="E53" s="20">
        <v>5.1000000000000004E-3</v>
      </c>
      <c r="F53" s="20">
        <f t="shared" si="26"/>
        <v>6.83E-2</v>
      </c>
      <c r="G53" s="28">
        <f>2329609-198609</f>
        <v>2131000</v>
      </c>
      <c r="H53" s="27"/>
      <c r="I53" s="26">
        <f t="shared" si="30"/>
        <v>2131000</v>
      </c>
      <c r="J53" s="26">
        <f t="shared" si="27"/>
        <v>2268177.6666666665</v>
      </c>
      <c r="K53" s="26">
        <f t="shared" si="33"/>
        <v>154916.53463333333</v>
      </c>
      <c r="L53" s="26"/>
      <c r="M53" s="26"/>
      <c r="N53" s="26">
        <v>42196</v>
      </c>
      <c r="O53" s="17">
        <f t="shared" si="28"/>
        <v>197112.53463333333</v>
      </c>
      <c r="P53" s="18">
        <v>3175675.39</v>
      </c>
      <c r="Q53" s="16"/>
      <c r="R53" s="18">
        <f t="shared" si="31"/>
        <v>3175675.39</v>
      </c>
      <c r="S53" s="17">
        <f t="shared" si="29"/>
        <v>3041804.1041666665</v>
      </c>
      <c r="T53" s="21">
        <f t="shared" si="32"/>
        <v>6.6409149164257747E-2</v>
      </c>
    </row>
    <row r="54" spans="3:22" hidden="1" x14ac:dyDescent="0.2">
      <c r="C54" s="15">
        <v>39203</v>
      </c>
      <c r="D54" s="20">
        <v>9.2299999999999993E-2</v>
      </c>
      <c r="E54" s="20">
        <v>5.1000000000000004E-3</v>
      </c>
      <c r="F54" s="20">
        <f t="shared" si="26"/>
        <v>8.72E-2</v>
      </c>
      <c r="G54" s="28">
        <f>2547950-162898</f>
        <v>2385052</v>
      </c>
      <c r="H54" s="27"/>
      <c r="I54" s="26">
        <f t="shared" si="30"/>
        <v>2385052</v>
      </c>
      <c r="J54" s="26">
        <f t="shared" si="27"/>
        <v>2308758.9166666665</v>
      </c>
      <c r="K54" s="26">
        <f t="shared" si="33"/>
        <v>201323.77753333331</v>
      </c>
      <c r="L54" s="26"/>
      <c r="M54" s="26"/>
      <c r="N54" s="26">
        <v>42196</v>
      </c>
      <c r="O54" s="17">
        <f t="shared" si="28"/>
        <v>243519.77753333331</v>
      </c>
      <c r="P54" s="18">
        <v>2775893.62</v>
      </c>
      <c r="Q54" s="16"/>
      <c r="R54" s="18">
        <f t="shared" si="31"/>
        <v>2775893.62</v>
      </c>
      <c r="S54" s="17">
        <f t="shared" si="29"/>
        <v>3072753.2549999994</v>
      </c>
      <c r="T54" s="21">
        <f t="shared" si="32"/>
        <v>8.0057679322530884E-2</v>
      </c>
    </row>
    <row r="55" spans="3:22" hidden="1" x14ac:dyDescent="0.2">
      <c r="C55" s="15">
        <v>39234</v>
      </c>
      <c r="D55" s="20">
        <v>9.4700000000000006E-2</v>
      </c>
      <c r="E55" s="20">
        <v>5.1000000000000004E-3</v>
      </c>
      <c r="F55" s="20">
        <f t="shared" ref="F55:F60" si="34">+D55-E55</f>
        <v>8.9600000000000013E-2</v>
      </c>
      <c r="G55" s="28">
        <f>2231724-179000</f>
        <v>2052724</v>
      </c>
      <c r="H55" s="27"/>
      <c r="I55" s="26">
        <f t="shared" si="30"/>
        <v>2052724</v>
      </c>
      <c r="J55" s="26">
        <f t="shared" ref="J55:J60" si="35">SUM(I44:I55)/12</f>
        <v>2308623.9166666665</v>
      </c>
      <c r="K55" s="26">
        <f t="shared" si="33"/>
        <v>206852.70293333335</v>
      </c>
      <c r="L55" s="26"/>
      <c r="M55" s="26"/>
      <c r="N55" s="26">
        <v>42196</v>
      </c>
      <c r="O55" s="17">
        <f t="shared" ref="O55:O60" si="36">+K55+N55</f>
        <v>249048.70293333335</v>
      </c>
      <c r="P55" s="18">
        <v>3192335.66</v>
      </c>
      <c r="Q55" s="16"/>
      <c r="R55" s="18">
        <f t="shared" si="31"/>
        <v>3192335.66</v>
      </c>
      <c r="S55" s="17">
        <f t="shared" ref="S55:S60" si="37">SUM(R44:R55)/12</f>
        <v>3101205.7516666665</v>
      </c>
      <c r="T55" s="21">
        <f t="shared" si="32"/>
        <v>8.1050667679899144E-2</v>
      </c>
    </row>
    <row r="56" spans="3:22" hidden="1" x14ac:dyDescent="0.2">
      <c r="C56" s="15">
        <v>39264</v>
      </c>
      <c r="D56" s="20">
        <v>0.108</v>
      </c>
      <c r="E56" s="20">
        <v>5.1000000000000004E-3</v>
      </c>
      <c r="F56" s="20">
        <f t="shared" si="34"/>
        <v>0.10289999999999999</v>
      </c>
      <c r="G56" s="28">
        <f>2406055-197856</f>
        <v>2208199</v>
      </c>
      <c r="H56" s="27"/>
      <c r="I56" s="26">
        <f t="shared" ref="I56:I61" si="38">+G56-H56</f>
        <v>2208199</v>
      </c>
      <c r="J56" s="26">
        <f t="shared" si="35"/>
        <v>2310082.8333333335</v>
      </c>
      <c r="K56" s="26">
        <f t="shared" si="33"/>
        <v>237707.52354999998</v>
      </c>
      <c r="L56" s="26"/>
      <c r="M56" s="26"/>
      <c r="N56" s="26"/>
      <c r="O56" s="17">
        <f t="shared" si="36"/>
        <v>237707.52354999998</v>
      </c>
      <c r="P56" s="18">
        <v>2904434.81</v>
      </c>
      <c r="Q56" s="16"/>
      <c r="R56" s="18">
        <f t="shared" ref="R56:R61" si="39">+P56-Q56</f>
        <v>2904434.81</v>
      </c>
      <c r="S56" s="17">
        <f t="shared" si="37"/>
        <v>3112368.5258333334</v>
      </c>
      <c r="T56" s="21">
        <f t="shared" si="32"/>
        <v>7.6650033111234223E-2</v>
      </c>
    </row>
    <row r="57" spans="3:22" hidden="1" x14ac:dyDescent="0.2">
      <c r="C57" s="15">
        <v>39295</v>
      </c>
      <c r="D57" s="20">
        <v>0.1105</v>
      </c>
      <c r="E57" s="20">
        <v>5.1000000000000004E-3</v>
      </c>
      <c r="F57" s="20">
        <f t="shared" si="34"/>
        <v>0.10539999999999999</v>
      </c>
      <c r="G57" s="28">
        <f>2900115-270580</f>
        <v>2629535</v>
      </c>
      <c r="H57" s="27"/>
      <c r="I57" s="26">
        <f t="shared" si="38"/>
        <v>2629535</v>
      </c>
      <c r="J57" s="26">
        <f t="shared" si="35"/>
        <v>2334929.3333333335</v>
      </c>
      <c r="K57" s="26">
        <f t="shared" si="33"/>
        <v>246101.55173333333</v>
      </c>
      <c r="L57" s="26"/>
      <c r="M57" s="26"/>
      <c r="N57" s="26"/>
      <c r="O57" s="17">
        <f t="shared" si="36"/>
        <v>246101.55173333333</v>
      </c>
      <c r="P57" s="18">
        <v>4026227.89</v>
      </c>
      <c r="Q57" s="16"/>
      <c r="R57" s="18">
        <f t="shared" si="39"/>
        <v>4026227.89</v>
      </c>
      <c r="S57" s="17">
        <f t="shared" si="37"/>
        <v>3175123.9525000001</v>
      </c>
      <c r="T57" s="21">
        <f t="shared" ref="T57:T62" si="40">+O57/S56</f>
        <v>7.9072111702273393E-2</v>
      </c>
    </row>
    <row r="58" spans="3:22" hidden="1" x14ac:dyDescent="0.2">
      <c r="C58" s="15">
        <v>39326</v>
      </c>
      <c r="D58" s="20">
        <v>0.1009</v>
      </c>
      <c r="E58" s="20">
        <v>5.1000000000000004E-3</v>
      </c>
      <c r="F58" s="20">
        <f t="shared" si="34"/>
        <v>9.5799999999999996E-2</v>
      </c>
      <c r="G58" s="28">
        <f>2634890-251236</f>
        <v>2383654</v>
      </c>
      <c r="H58" s="27"/>
      <c r="I58" s="26">
        <f t="shared" si="38"/>
        <v>2383654</v>
      </c>
      <c r="J58" s="26">
        <f t="shared" si="35"/>
        <v>2387362</v>
      </c>
      <c r="K58" s="26">
        <f t="shared" ref="K58:K63" si="41">+F58*J58</f>
        <v>228709.27959999998</v>
      </c>
      <c r="L58" s="26"/>
      <c r="M58" s="26"/>
      <c r="N58" s="26"/>
      <c r="O58" s="17">
        <f t="shared" si="36"/>
        <v>228709.27959999998</v>
      </c>
      <c r="P58" s="18">
        <v>2665398.33</v>
      </c>
      <c r="Q58" s="16"/>
      <c r="R58" s="18">
        <f t="shared" si="39"/>
        <v>2665398.33</v>
      </c>
      <c r="S58" s="17">
        <f t="shared" si="37"/>
        <v>3196445.9116666666</v>
      </c>
      <c r="T58" s="21">
        <f t="shared" si="40"/>
        <v>7.2031606646386498E-2</v>
      </c>
    </row>
    <row r="59" spans="3:22" hidden="1" x14ac:dyDescent="0.2">
      <c r="C59" s="15">
        <v>39356</v>
      </c>
      <c r="D59" s="20">
        <v>9.0499999999999997E-2</v>
      </c>
      <c r="E59" s="20">
        <v>5.1000000000000004E-3</v>
      </c>
      <c r="F59" s="20">
        <f t="shared" si="34"/>
        <v>8.5400000000000004E-2</v>
      </c>
      <c r="G59" s="28">
        <f>2193593-191774</f>
        <v>2001819</v>
      </c>
      <c r="H59" s="27"/>
      <c r="I59" s="26">
        <f t="shared" si="38"/>
        <v>2001819</v>
      </c>
      <c r="J59" s="26">
        <f t="shared" si="35"/>
        <v>2383196.5833333335</v>
      </c>
      <c r="K59" s="26">
        <f t="shared" si="41"/>
        <v>203524.98821666668</v>
      </c>
      <c r="L59" s="26"/>
      <c r="M59" s="26"/>
      <c r="N59" s="26"/>
      <c r="O59" s="17">
        <f t="shared" si="36"/>
        <v>203524.98821666668</v>
      </c>
      <c r="P59" s="18">
        <v>2958941.42</v>
      </c>
      <c r="Q59" s="16"/>
      <c r="R59" s="18">
        <f t="shared" si="39"/>
        <v>2958941.42</v>
      </c>
      <c r="S59" s="17">
        <f t="shared" si="37"/>
        <v>3218731.5833333335</v>
      </c>
      <c r="T59" s="21">
        <f t="shared" si="40"/>
        <v>6.3672276597524599E-2</v>
      </c>
    </row>
    <row r="60" spans="3:22" hidden="1" x14ac:dyDescent="0.2">
      <c r="C60" s="15">
        <v>39387</v>
      </c>
      <c r="D60" s="20">
        <v>8.2400000000000001E-2</v>
      </c>
      <c r="E60" s="20">
        <v>5.1000000000000004E-3</v>
      </c>
      <c r="F60" s="20">
        <f t="shared" si="34"/>
        <v>7.7300000000000008E-2</v>
      </c>
      <c r="G60" s="28">
        <f>2582787-203215</f>
        <v>2379572</v>
      </c>
      <c r="H60" s="27"/>
      <c r="I60" s="26">
        <f t="shared" si="38"/>
        <v>2379572</v>
      </c>
      <c r="J60" s="26">
        <f t="shared" si="35"/>
        <v>2410341.3333333335</v>
      </c>
      <c r="K60" s="26">
        <f t="shared" si="41"/>
        <v>186319.3850666667</v>
      </c>
      <c r="L60" s="26"/>
      <c r="M60" s="26"/>
      <c r="N60" s="26"/>
      <c r="O60" s="17">
        <f t="shared" si="36"/>
        <v>186319.3850666667</v>
      </c>
      <c r="P60" s="18">
        <v>3256273.61</v>
      </c>
      <c r="Q60" s="16"/>
      <c r="R60" s="18">
        <f t="shared" si="39"/>
        <v>3256273.61</v>
      </c>
      <c r="S60" s="17">
        <f t="shared" si="37"/>
        <v>3230862.1841666666</v>
      </c>
      <c r="T60" s="21">
        <f t="shared" si="40"/>
        <v>5.788596540060463E-2</v>
      </c>
    </row>
    <row r="61" spans="3:22" hidden="1" x14ac:dyDescent="0.2">
      <c r="C61" s="15">
        <v>39417</v>
      </c>
      <c r="D61" s="20">
        <v>8.0399999999999999E-2</v>
      </c>
      <c r="E61" s="20">
        <v>5.1000000000000004E-3</v>
      </c>
      <c r="F61" s="20">
        <f t="shared" ref="F61:F66" si="42">+D61-E61</f>
        <v>7.5300000000000006E-2</v>
      </c>
      <c r="G61" s="28">
        <f>2800624-200953</f>
        <v>2599671</v>
      </c>
      <c r="H61" s="27"/>
      <c r="I61" s="26">
        <f t="shared" si="38"/>
        <v>2599671</v>
      </c>
      <c r="J61" s="26">
        <f t="shared" ref="J61:J66" si="43">SUM(I50:I61)/12</f>
        <v>2414629.5</v>
      </c>
      <c r="K61" s="26">
        <f t="shared" si="41"/>
        <v>181821.60135000001</v>
      </c>
      <c r="L61" s="26"/>
      <c r="M61" s="26"/>
      <c r="N61" s="26"/>
      <c r="O61" s="17">
        <f t="shared" ref="O61:O66" si="44">+K61+N61</f>
        <v>181821.60135000001</v>
      </c>
      <c r="P61" s="18">
        <v>3340796.19</v>
      </c>
      <c r="Q61" s="16"/>
      <c r="R61" s="18">
        <f t="shared" si="39"/>
        <v>3340796.19</v>
      </c>
      <c r="S61" s="17">
        <f t="shared" ref="S61:S66" si="45">SUM(R50:R61)/12</f>
        <v>3244878.6566666667</v>
      </c>
      <c r="T61" s="21">
        <f t="shared" si="40"/>
        <v>5.6276495556215465E-2</v>
      </c>
    </row>
    <row r="62" spans="3:22" hidden="1" x14ac:dyDescent="0.2">
      <c r="C62" s="15">
        <v>39448</v>
      </c>
      <c r="D62" s="20">
        <v>6.8000000000000005E-2</v>
      </c>
      <c r="E62" s="20">
        <v>5.1000000000000004E-3</v>
      </c>
      <c r="F62" s="20">
        <f t="shared" si="42"/>
        <v>6.2900000000000011E-2</v>
      </c>
      <c r="G62" s="28">
        <f>3725528-260886</f>
        <v>3464642</v>
      </c>
      <c r="H62" s="27"/>
      <c r="I62" s="26">
        <f t="shared" ref="I62:I67" si="46">+G62-H62</f>
        <v>3464642</v>
      </c>
      <c r="J62" s="26">
        <f t="shared" si="43"/>
        <v>2469571</v>
      </c>
      <c r="K62" s="26">
        <f t="shared" si="41"/>
        <v>155336.01590000003</v>
      </c>
      <c r="L62" s="26"/>
      <c r="M62" s="26"/>
      <c r="N62" s="26"/>
      <c r="O62" s="17">
        <f t="shared" si="44"/>
        <v>155336.01590000003</v>
      </c>
      <c r="P62" s="18">
        <v>4253402.68</v>
      </c>
      <c r="Q62" s="16"/>
      <c r="R62" s="18">
        <f t="shared" ref="R62:R67" si="47">+P62-Q62</f>
        <v>4253402.68</v>
      </c>
      <c r="S62" s="17">
        <f t="shared" si="45"/>
        <v>3302820.5183333331</v>
      </c>
      <c r="T62" s="21">
        <f t="shared" si="40"/>
        <v>4.7871132432289618E-2</v>
      </c>
    </row>
    <row r="63" spans="3:22" hidden="1" x14ac:dyDescent="0.2">
      <c r="C63" s="15">
        <v>39479</v>
      </c>
      <c r="D63" s="20">
        <v>6.8699999999999997E-2</v>
      </c>
      <c r="E63" s="20">
        <v>5.1000000000000004E-3</v>
      </c>
      <c r="F63" s="20">
        <f t="shared" si="42"/>
        <v>6.359999999999999E-2</v>
      </c>
      <c r="G63" s="28">
        <f>3148901-186344</f>
        <v>2962557</v>
      </c>
      <c r="H63" s="27"/>
      <c r="I63" s="26">
        <f t="shared" si="46"/>
        <v>2962557</v>
      </c>
      <c r="J63" s="26">
        <f t="shared" si="43"/>
        <v>2477771.0833333335</v>
      </c>
      <c r="K63" s="26">
        <f t="shared" si="41"/>
        <v>157586.24089999998</v>
      </c>
      <c r="L63" s="26"/>
      <c r="M63" s="26"/>
      <c r="N63" s="26"/>
      <c r="O63" s="17">
        <f t="shared" si="44"/>
        <v>157586.24089999998</v>
      </c>
      <c r="P63" s="18">
        <v>3899777.78</v>
      </c>
      <c r="Q63" s="16"/>
      <c r="R63" s="18">
        <f t="shared" si="47"/>
        <v>3899777.78</v>
      </c>
      <c r="S63" s="17">
        <f t="shared" si="45"/>
        <v>3290002.4791666665</v>
      </c>
      <c r="T63" s="21">
        <f t="shared" ref="T63:T68" si="48">+O63/S62</f>
        <v>4.7712626231207089E-2</v>
      </c>
    </row>
    <row r="64" spans="3:22" hidden="1" x14ac:dyDescent="0.2">
      <c r="C64" s="15">
        <v>39508</v>
      </c>
      <c r="D64" s="20">
        <v>6.4899999999999999E-2</v>
      </c>
      <c r="E64" s="20">
        <v>5.1000000000000004E-3</v>
      </c>
      <c r="F64" s="20">
        <f t="shared" si="42"/>
        <v>5.9799999999999999E-2</v>
      </c>
      <c r="G64" s="28">
        <f>2863077-171204</f>
        <v>2691873</v>
      </c>
      <c r="H64" s="27"/>
      <c r="I64" s="26">
        <f t="shared" si="46"/>
        <v>2691873</v>
      </c>
      <c r="J64" s="26">
        <f t="shared" si="43"/>
        <v>2490858.1666666665</v>
      </c>
      <c r="K64" s="26">
        <f t="shared" ref="K64:K69" si="49">+F64*J64</f>
        <v>148953.31836666664</v>
      </c>
      <c r="L64" s="26"/>
      <c r="M64" s="26"/>
      <c r="N64" s="26"/>
      <c r="O64" s="17">
        <f t="shared" si="44"/>
        <v>148953.31836666664</v>
      </c>
      <c r="P64" s="18">
        <v>3737310.87</v>
      </c>
      <c r="Q64" s="16"/>
      <c r="R64" s="18">
        <f t="shared" si="47"/>
        <v>3737310.87</v>
      </c>
      <c r="S64" s="17">
        <f t="shared" si="45"/>
        <v>3348872.3541666665</v>
      </c>
      <c r="T64" s="21">
        <f t="shared" si="48"/>
        <v>4.5274530736644135E-2</v>
      </c>
      <c r="U64" s="24"/>
      <c r="V64" s="25"/>
    </row>
    <row r="65" spans="3:21" hidden="1" x14ac:dyDescent="0.2">
      <c r="C65" s="15">
        <v>39539</v>
      </c>
      <c r="D65" s="20">
        <v>6.1100000000000002E-2</v>
      </c>
      <c r="E65" s="20">
        <v>5.1000000000000004E-3</v>
      </c>
      <c r="F65" s="20">
        <f t="shared" si="42"/>
        <v>5.6000000000000001E-2</v>
      </c>
      <c r="G65" s="28">
        <f>2416517-136353</f>
        <v>2280164</v>
      </c>
      <c r="H65" s="27"/>
      <c r="I65" s="26">
        <f t="shared" si="46"/>
        <v>2280164</v>
      </c>
      <c r="J65" s="26">
        <f t="shared" si="43"/>
        <v>2503288.5</v>
      </c>
      <c r="K65" s="26">
        <f t="shared" si="49"/>
        <v>140184.15600000002</v>
      </c>
      <c r="L65" s="26"/>
      <c r="M65" s="26"/>
      <c r="N65" s="26"/>
      <c r="O65" s="17">
        <f t="shared" si="44"/>
        <v>140184.15600000002</v>
      </c>
      <c r="P65" s="18">
        <v>3024687.21</v>
      </c>
      <c r="Q65" s="16"/>
      <c r="R65" s="18">
        <f t="shared" si="47"/>
        <v>3024687.21</v>
      </c>
      <c r="S65" s="17">
        <f t="shared" si="45"/>
        <v>3336290.0058333334</v>
      </c>
      <c r="T65" s="21">
        <f t="shared" si="48"/>
        <v>4.1860107276284482E-2</v>
      </c>
      <c r="U65" s="25"/>
    </row>
    <row r="66" spans="3:21" hidden="1" x14ac:dyDescent="0.2">
      <c r="C66" s="15">
        <v>39569</v>
      </c>
      <c r="D66" s="20">
        <v>6.6199999999999995E-2</v>
      </c>
      <c r="E66" s="20">
        <v>5.1000000000000004E-3</v>
      </c>
      <c r="F66" s="20">
        <f t="shared" si="42"/>
        <v>6.1099999999999995E-2</v>
      </c>
      <c r="G66" s="28">
        <f>2127190-112806</f>
        <v>2014384</v>
      </c>
      <c r="H66" s="27"/>
      <c r="I66" s="26">
        <f t="shared" si="46"/>
        <v>2014384</v>
      </c>
      <c r="J66" s="26">
        <f t="shared" si="43"/>
        <v>2472399.5</v>
      </c>
      <c r="K66" s="26">
        <f t="shared" si="49"/>
        <v>151063.60944999999</v>
      </c>
      <c r="L66" s="26"/>
      <c r="M66" s="26"/>
      <c r="N66" s="26"/>
      <c r="O66" s="17">
        <f t="shared" si="44"/>
        <v>151063.60944999999</v>
      </c>
      <c r="P66" s="18">
        <v>2669903.7000000002</v>
      </c>
      <c r="Q66" s="16"/>
      <c r="R66" s="18">
        <f t="shared" si="47"/>
        <v>2669903.7000000002</v>
      </c>
      <c r="S66" s="17">
        <f t="shared" si="45"/>
        <v>3327457.5125000007</v>
      </c>
      <c r="T66" s="21">
        <f t="shared" si="48"/>
        <v>4.5278920353408414E-2</v>
      </c>
      <c r="U66" s="25"/>
    </row>
    <row r="67" spans="3:21" hidden="1" x14ac:dyDescent="0.2">
      <c r="C67" s="15">
        <v>39600</v>
      </c>
      <c r="D67" s="20">
        <v>6.8099999999999994E-2</v>
      </c>
      <c r="E67" s="20">
        <v>5.1000000000000004E-3</v>
      </c>
      <c r="F67" s="20">
        <f t="shared" ref="F67:F72" si="50">+D67-E67</f>
        <v>6.3E-2</v>
      </c>
      <c r="G67" s="28">
        <f>2487842-143253</f>
        <v>2344589</v>
      </c>
      <c r="H67" s="27"/>
      <c r="I67" s="26">
        <f t="shared" si="46"/>
        <v>2344589</v>
      </c>
      <c r="J67" s="26">
        <f t="shared" ref="J67:J72" si="51">SUM(I56:I67)/12</f>
        <v>2496721.5833333335</v>
      </c>
      <c r="K67" s="26">
        <f t="shared" si="49"/>
        <v>157293.45975000001</v>
      </c>
      <c r="L67" s="26"/>
      <c r="M67" s="26"/>
      <c r="N67" s="26"/>
      <c r="O67" s="17">
        <f t="shared" ref="O67:O72" si="52">+K67+N67</f>
        <v>157293.45975000001</v>
      </c>
      <c r="P67" s="18">
        <v>3121808.56</v>
      </c>
      <c r="Q67" s="16"/>
      <c r="R67" s="18">
        <f t="shared" si="47"/>
        <v>3121808.56</v>
      </c>
      <c r="S67" s="17">
        <f t="shared" ref="S67:S72" si="53">SUM(R56:R67)/12</f>
        <v>3321580.2541666669</v>
      </c>
      <c r="T67" s="21">
        <f t="shared" si="48"/>
        <v>4.7271365346997794E-2</v>
      </c>
      <c r="U67" s="24"/>
    </row>
    <row r="68" spans="3:21" hidden="1" x14ac:dyDescent="0.2">
      <c r="C68" s="15">
        <v>39630</v>
      </c>
      <c r="D68" s="20">
        <v>7.0599999999999996E-2</v>
      </c>
      <c r="E68" s="20">
        <v>5.1000000000000004E-3</v>
      </c>
      <c r="F68" s="20">
        <f t="shared" si="50"/>
        <v>6.5500000000000003E-2</v>
      </c>
      <c r="G68" s="28">
        <f>2903574-172083</f>
        <v>2731491</v>
      </c>
      <c r="H68" s="27"/>
      <c r="I68" s="26">
        <f t="shared" ref="I68:I73" si="54">+G68-H68</f>
        <v>2731491</v>
      </c>
      <c r="J68" s="26">
        <f t="shared" si="51"/>
        <v>2540329.25</v>
      </c>
      <c r="K68" s="26">
        <f t="shared" si="49"/>
        <v>166391.565875</v>
      </c>
      <c r="L68" s="26"/>
      <c r="M68" s="26"/>
      <c r="N68" s="26">
        <v>-50524</v>
      </c>
      <c r="O68" s="17">
        <f t="shared" si="52"/>
        <v>115867.565875</v>
      </c>
      <c r="P68" s="18">
        <v>3216917.43</v>
      </c>
      <c r="Q68" s="16"/>
      <c r="R68" s="18">
        <f t="shared" ref="R68:R73" si="55">+P68-Q68</f>
        <v>3216917.43</v>
      </c>
      <c r="S68" s="17">
        <f t="shared" si="53"/>
        <v>3347620.4725000001</v>
      </c>
      <c r="T68" s="21">
        <f t="shared" si="48"/>
        <v>3.4883265496792694E-2</v>
      </c>
    </row>
    <row r="69" spans="3:21" hidden="1" x14ac:dyDescent="0.2">
      <c r="C69" s="15">
        <v>39661</v>
      </c>
      <c r="D69" s="20">
        <v>7.1800000000000003E-2</v>
      </c>
      <c r="E69" s="20">
        <v>5.1000000000000004E-3</v>
      </c>
      <c r="F69" s="20">
        <f t="shared" si="50"/>
        <v>6.6700000000000009E-2</v>
      </c>
      <c r="G69" s="28">
        <f>2607070-160265</f>
        <v>2446805</v>
      </c>
      <c r="H69" s="27"/>
      <c r="I69" s="26">
        <f t="shared" si="54"/>
        <v>2446805</v>
      </c>
      <c r="J69" s="26">
        <f t="shared" si="51"/>
        <v>2525101.75</v>
      </c>
      <c r="K69" s="26">
        <f t="shared" si="49"/>
        <v>168424.28672500001</v>
      </c>
      <c r="L69" s="26"/>
      <c r="M69" s="26"/>
      <c r="N69" s="26">
        <f>N68</f>
        <v>-50524</v>
      </c>
      <c r="O69" s="17">
        <f t="shared" si="52"/>
        <v>117900.28672500001</v>
      </c>
      <c r="P69" s="18">
        <v>3421629.07</v>
      </c>
      <c r="Q69" s="16"/>
      <c r="R69" s="18">
        <f t="shared" si="55"/>
        <v>3421629.07</v>
      </c>
      <c r="S69" s="17">
        <f t="shared" si="53"/>
        <v>3297237.2375000003</v>
      </c>
      <c r="T69" s="21">
        <f t="shared" ref="T69:T74" si="56">+O69/S68</f>
        <v>3.5219131826181055E-2</v>
      </c>
    </row>
    <row r="70" spans="3:21" hidden="1" x14ac:dyDescent="0.2">
      <c r="C70" s="15">
        <v>39692</v>
      </c>
      <c r="D70" s="20">
        <v>6.2199999999999998E-2</v>
      </c>
      <c r="E70" s="20">
        <v>5.1000000000000004E-3</v>
      </c>
      <c r="F70" s="20">
        <f t="shared" si="50"/>
        <v>5.7099999999999998E-2</v>
      </c>
      <c r="G70" s="28">
        <f>2539120-158769</f>
        <v>2380351</v>
      </c>
      <c r="H70" s="27"/>
      <c r="I70" s="26">
        <f t="shared" si="54"/>
        <v>2380351</v>
      </c>
      <c r="J70" s="26">
        <f t="shared" si="51"/>
        <v>2524826.5</v>
      </c>
      <c r="K70" s="26">
        <f t="shared" ref="K70:K75" si="57">+F70*J70</f>
        <v>144167.59315</v>
      </c>
      <c r="L70" s="26"/>
      <c r="M70" s="26"/>
      <c r="N70" s="26">
        <f>N69</f>
        <v>-50524</v>
      </c>
      <c r="O70" s="17">
        <f t="shared" si="52"/>
        <v>93643.593150000001</v>
      </c>
      <c r="P70" s="18">
        <v>3032355.58</v>
      </c>
      <c r="Q70" s="16"/>
      <c r="R70" s="18">
        <f t="shared" si="55"/>
        <v>3032355.58</v>
      </c>
      <c r="S70" s="17">
        <f t="shared" si="53"/>
        <v>3327817.0083333328</v>
      </c>
      <c r="T70" s="21">
        <f t="shared" si="56"/>
        <v>2.8400623432544257E-2</v>
      </c>
    </row>
    <row r="71" spans="3:21" hidden="1" x14ac:dyDescent="0.2">
      <c r="C71" s="15">
        <v>39722</v>
      </c>
      <c r="D71" s="20">
        <v>8.9899999999999994E-2</v>
      </c>
      <c r="E71" s="20">
        <v>1.21E-2</v>
      </c>
      <c r="F71" s="20">
        <f t="shared" si="50"/>
        <v>7.7799999999999994E-2</v>
      </c>
      <c r="G71" s="28">
        <f>2765756-149394</f>
        <v>2616362</v>
      </c>
      <c r="H71" s="27"/>
      <c r="I71" s="26">
        <f t="shared" si="54"/>
        <v>2616362</v>
      </c>
      <c r="J71" s="26">
        <f t="shared" si="51"/>
        <v>2576038.4166666665</v>
      </c>
      <c r="K71" s="26">
        <f t="shared" si="57"/>
        <v>200415.78881666664</v>
      </c>
      <c r="L71" s="26"/>
      <c r="M71" s="26"/>
      <c r="N71" s="26">
        <f>N70</f>
        <v>-50524</v>
      </c>
      <c r="O71" s="17">
        <f t="shared" si="52"/>
        <v>149891.78881666664</v>
      </c>
      <c r="P71" s="18">
        <v>3109469.24</v>
      </c>
      <c r="Q71" s="16"/>
      <c r="R71" s="18">
        <f t="shared" si="55"/>
        <v>3109469.24</v>
      </c>
      <c r="S71" s="17">
        <f t="shared" si="53"/>
        <v>3340360.9933333327</v>
      </c>
      <c r="T71" s="21">
        <f t="shared" si="56"/>
        <v>4.5042076665067828E-2</v>
      </c>
    </row>
    <row r="72" spans="3:21" hidden="1" x14ac:dyDescent="0.2">
      <c r="C72" s="15">
        <v>39753</v>
      </c>
      <c r="D72" s="20">
        <v>8.8999999999999996E-2</v>
      </c>
      <c r="E72" s="20">
        <v>1.21E-2</v>
      </c>
      <c r="F72" s="20">
        <f t="shared" si="50"/>
        <v>7.6899999999999996E-2</v>
      </c>
      <c r="G72" s="28">
        <f>3332752-240570</f>
        <v>3092182</v>
      </c>
      <c r="H72" s="27"/>
      <c r="I72" s="26">
        <f t="shared" si="54"/>
        <v>3092182</v>
      </c>
      <c r="J72" s="26">
        <f t="shared" si="51"/>
        <v>2635422.5833333335</v>
      </c>
      <c r="K72" s="26">
        <f t="shared" si="57"/>
        <v>202663.99665833334</v>
      </c>
      <c r="L72" s="26"/>
      <c r="M72" s="26"/>
      <c r="N72" s="26">
        <f>N71</f>
        <v>-50524</v>
      </c>
      <c r="O72" s="17">
        <f t="shared" si="52"/>
        <v>152139.99665833334</v>
      </c>
      <c r="P72" s="18">
        <v>3765431.95</v>
      </c>
      <c r="Q72" s="16"/>
      <c r="R72" s="18">
        <f t="shared" si="55"/>
        <v>3765431.95</v>
      </c>
      <c r="S72" s="17">
        <f t="shared" si="53"/>
        <v>3382790.8550000004</v>
      </c>
      <c r="T72" s="21">
        <f t="shared" si="56"/>
        <v>4.5545974510531405E-2</v>
      </c>
    </row>
    <row r="73" spans="3:21" hidden="1" x14ac:dyDescent="0.2">
      <c r="C73" s="15">
        <v>39783</v>
      </c>
      <c r="D73" s="20">
        <v>9.1999999999999998E-2</v>
      </c>
      <c r="E73" s="20">
        <v>1.21E-2</v>
      </c>
      <c r="F73" s="20">
        <f t="shared" ref="F73:F78" si="58">+D73-E73</f>
        <v>7.9899999999999999E-2</v>
      </c>
      <c r="G73" s="28">
        <f>3546374-253244</f>
        <v>3293130</v>
      </c>
      <c r="H73" s="27"/>
      <c r="I73" s="26">
        <f t="shared" si="54"/>
        <v>3293130</v>
      </c>
      <c r="J73" s="26">
        <f t="shared" ref="J73:J78" si="59">SUM(I62:I73)/12</f>
        <v>2693210.8333333335</v>
      </c>
      <c r="K73" s="26">
        <f t="shared" si="57"/>
        <v>215187.54558333335</v>
      </c>
      <c r="L73" s="26"/>
      <c r="M73" s="26"/>
      <c r="N73" s="26">
        <f>N72</f>
        <v>-50524</v>
      </c>
      <c r="O73" s="17">
        <f t="shared" ref="O73:O78" si="60">+K73+N73</f>
        <v>164663.54558333335</v>
      </c>
      <c r="P73" s="18">
        <v>4764683.95</v>
      </c>
      <c r="Q73" s="16"/>
      <c r="R73" s="18">
        <f t="shared" si="55"/>
        <v>4764683.95</v>
      </c>
      <c r="S73" s="17">
        <f t="shared" ref="S73:S78" si="61">SUM(R62:R73)/12</f>
        <v>3501448.1683333335</v>
      </c>
      <c r="T73" s="21">
        <f t="shared" si="56"/>
        <v>4.8676833017905666E-2</v>
      </c>
    </row>
    <row r="74" spans="3:21" hidden="1" x14ac:dyDescent="0.2">
      <c r="C74" s="15">
        <v>39814</v>
      </c>
      <c r="D74" s="20">
        <v>0.10349999999999999</v>
      </c>
      <c r="E74" s="20">
        <v>1.21E-2</v>
      </c>
      <c r="F74" s="20">
        <f t="shared" si="58"/>
        <v>9.1399999999999995E-2</v>
      </c>
      <c r="G74" s="28">
        <f>4118998-304760</f>
        <v>3814238</v>
      </c>
      <c r="H74" s="27"/>
      <c r="I74" s="26">
        <f t="shared" ref="I74:I79" si="62">+G74-H74</f>
        <v>3814238</v>
      </c>
      <c r="J74" s="26">
        <f t="shared" si="59"/>
        <v>2722343.8333333335</v>
      </c>
      <c r="K74" s="26">
        <f t="shared" si="57"/>
        <v>248822.22636666667</v>
      </c>
      <c r="L74" s="26"/>
      <c r="M74" s="26"/>
      <c r="N74" s="26"/>
      <c r="O74" s="17">
        <f t="shared" si="60"/>
        <v>248822.22636666667</v>
      </c>
      <c r="P74" s="18">
        <v>4407232.41</v>
      </c>
      <c r="Q74" s="16"/>
      <c r="R74" s="18">
        <f t="shared" ref="R74:R79" si="63">+P74-Q74</f>
        <v>4407232.41</v>
      </c>
      <c r="S74" s="17">
        <f t="shared" si="61"/>
        <v>3514267.3125</v>
      </c>
      <c r="T74" s="21">
        <f t="shared" si="56"/>
        <v>7.1062661620121717E-2</v>
      </c>
    </row>
    <row r="75" spans="3:21" hidden="1" x14ac:dyDescent="0.2">
      <c r="C75" s="15">
        <v>39845</v>
      </c>
      <c r="D75" s="25">
        <v>0.1022</v>
      </c>
      <c r="E75" s="25">
        <v>1.21E-2</v>
      </c>
      <c r="F75" s="25">
        <f t="shared" si="58"/>
        <v>9.01E-2</v>
      </c>
      <c r="G75" s="28">
        <f>3444315-288447</f>
        <v>3155868</v>
      </c>
      <c r="H75" s="27"/>
      <c r="I75" s="26">
        <f t="shared" si="62"/>
        <v>3155868</v>
      </c>
      <c r="J75" s="26">
        <f t="shared" si="59"/>
        <v>2738453.0833333335</v>
      </c>
      <c r="K75" s="26">
        <f t="shared" si="57"/>
        <v>246734.62280833334</v>
      </c>
      <c r="L75" s="26"/>
      <c r="M75" s="26"/>
      <c r="N75" s="26"/>
      <c r="O75" s="26">
        <f t="shared" si="60"/>
        <v>246734.62280833334</v>
      </c>
      <c r="P75" s="26">
        <v>4220201.51</v>
      </c>
      <c r="Q75" s="27"/>
      <c r="R75" s="26">
        <f t="shared" si="63"/>
        <v>4220201.51</v>
      </c>
      <c r="S75" s="26">
        <f t="shared" si="61"/>
        <v>3540969.2899999996</v>
      </c>
      <c r="T75" s="29">
        <f t="shared" ref="T75:T80" si="64">+O75/S74</f>
        <v>7.0209406646647446E-2</v>
      </c>
    </row>
    <row r="76" spans="3:21" hidden="1" x14ac:dyDescent="0.2">
      <c r="C76" s="15">
        <v>39873</v>
      </c>
      <c r="D76" s="25">
        <v>0.1041</v>
      </c>
      <c r="E76" s="25">
        <v>1.21E-2</v>
      </c>
      <c r="F76" s="25">
        <f t="shared" si="58"/>
        <v>9.1999999999999998E-2</v>
      </c>
      <c r="G76" s="28">
        <f>3159372-261131</f>
        <v>2898241</v>
      </c>
      <c r="H76" s="27"/>
      <c r="I76" s="26">
        <f t="shared" si="62"/>
        <v>2898241</v>
      </c>
      <c r="J76" s="26">
        <f t="shared" si="59"/>
        <v>2755650.4166666665</v>
      </c>
      <c r="K76" s="26">
        <f t="shared" ref="K76:K81" si="65">+F76*J76</f>
        <v>253519.83833333332</v>
      </c>
      <c r="L76" s="26"/>
      <c r="M76" s="26"/>
      <c r="N76" s="26"/>
      <c r="O76" s="26">
        <f t="shared" si="60"/>
        <v>253519.83833333332</v>
      </c>
      <c r="P76" s="26">
        <v>3721962.93</v>
      </c>
      <c r="Q76" s="27"/>
      <c r="R76" s="26">
        <f t="shared" si="63"/>
        <v>3721962.93</v>
      </c>
      <c r="S76" s="26">
        <f t="shared" si="61"/>
        <v>3539690.2949999995</v>
      </c>
      <c r="T76" s="29">
        <f t="shared" si="64"/>
        <v>7.1596169740668195E-2</v>
      </c>
    </row>
    <row r="77" spans="3:21" hidden="1" x14ac:dyDescent="0.2">
      <c r="C77" s="15">
        <v>39904</v>
      </c>
      <c r="D77" s="25">
        <v>0.1101</v>
      </c>
      <c r="E77" s="25">
        <v>1.21E-2</v>
      </c>
      <c r="F77" s="25">
        <f t="shared" si="58"/>
        <v>9.8000000000000004E-2</v>
      </c>
      <c r="G77" s="30">
        <f>2615130-220322</f>
        <v>2394808</v>
      </c>
      <c r="H77" s="27"/>
      <c r="I77" s="32">
        <f t="shared" si="62"/>
        <v>2394808</v>
      </c>
      <c r="J77" s="32">
        <f t="shared" si="59"/>
        <v>2765204.0833333335</v>
      </c>
      <c r="K77" s="32">
        <f t="shared" si="65"/>
        <v>270990.00016666669</v>
      </c>
      <c r="L77" s="32"/>
      <c r="M77" s="32"/>
      <c r="N77" s="32"/>
      <c r="O77" s="32">
        <f t="shared" si="60"/>
        <v>270990.00016666669</v>
      </c>
      <c r="P77" s="32">
        <v>3635684.1</v>
      </c>
      <c r="Q77" s="31"/>
      <c r="R77" s="32">
        <f t="shared" si="63"/>
        <v>3635684.1</v>
      </c>
      <c r="S77" s="32">
        <f t="shared" si="61"/>
        <v>3590606.7025000001</v>
      </c>
      <c r="T77" s="29">
        <f t="shared" si="64"/>
        <v>7.6557545316734199E-2</v>
      </c>
    </row>
    <row r="78" spans="3:21" hidden="1" x14ac:dyDescent="0.2">
      <c r="C78" s="15">
        <v>39934</v>
      </c>
      <c r="D78" s="25">
        <v>0.1062</v>
      </c>
      <c r="E78" s="25">
        <v>1.21E-2</v>
      </c>
      <c r="F78" s="25">
        <f t="shared" si="58"/>
        <v>9.4100000000000003E-2</v>
      </c>
      <c r="G78" s="30">
        <f>2277671-203287</f>
        <v>2074384</v>
      </c>
      <c r="H78" s="27"/>
      <c r="I78" s="32">
        <f t="shared" si="62"/>
        <v>2074384</v>
      </c>
      <c r="J78" s="32">
        <f t="shared" si="59"/>
        <v>2770204.0833333335</v>
      </c>
      <c r="K78" s="32">
        <f t="shared" si="65"/>
        <v>260676.20424166668</v>
      </c>
      <c r="L78" s="32"/>
      <c r="M78" s="32"/>
      <c r="N78" s="32"/>
      <c r="O78" s="32">
        <f t="shared" si="60"/>
        <v>260676.20424166668</v>
      </c>
      <c r="P78" s="32">
        <v>2742718.81</v>
      </c>
      <c r="Q78" s="31"/>
      <c r="R78" s="32">
        <f t="shared" si="63"/>
        <v>2742718.81</v>
      </c>
      <c r="S78" s="32">
        <f t="shared" si="61"/>
        <v>3596674.6283333339</v>
      </c>
      <c r="T78" s="29">
        <f t="shared" si="64"/>
        <v>7.2599486894559612E-2</v>
      </c>
    </row>
    <row r="79" spans="3:21" hidden="1" x14ac:dyDescent="0.2">
      <c r="C79" s="15">
        <v>39965</v>
      </c>
      <c r="D79" s="25">
        <v>0.111</v>
      </c>
      <c r="E79" s="25">
        <v>1.21E-2</v>
      </c>
      <c r="F79" s="25">
        <f t="shared" ref="F79:F84" si="66">+D79-E79</f>
        <v>9.8900000000000002E-2</v>
      </c>
      <c r="G79" s="30">
        <f>2481592-213435</f>
        <v>2268157</v>
      </c>
      <c r="H79" s="27"/>
      <c r="I79" s="32">
        <f t="shared" si="62"/>
        <v>2268157</v>
      </c>
      <c r="J79" s="32">
        <f t="shared" ref="J79:J84" si="67">SUM(I68:I79)/12</f>
        <v>2763834.75</v>
      </c>
      <c r="K79" s="32">
        <f t="shared" si="65"/>
        <v>273343.25677500002</v>
      </c>
      <c r="L79" s="32"/>
      <c r="M79" s="32"/>
      <c r="N79" s="32"/>
      <c r="O79" s="32">
        <f t="shared" ref="O79:O84" si="68">+K79+N79</f>
        <v>273343.25677500002</v>
      </c>
      <c r="P79" s="32">
        <v>2997926.51</v>
      </c>
      <c r="Q79" s="31"/>
      <c r="R79" s="32">
        <f t="shared" si="63"/>
        <v>2997926.51</v>
      </c>
      <c r="S79" s="32">
        <f t="shared" ref="S79:S84" si="69">SUM(R68:R79)/12</f>
        <v>3586351.124166667</v>
      </c>
      <c r="T79" s="29">
        <f t="shared" si="64"/>
        <v>7.5998883697095718E-2</v>
      </c>
    </row>
    <row r="80" spans="3:21" hidden="1" x14ac:dyDescent="0.2">
      <c r="C80" s="15">
        <v>39995</v>
      </c>
      <c r="D80" s="25">
        <v>0.1124</v>
      </c>
      <c r="E80" s="25">
        <v>1.21E-2</v>
      </c>
      <c r="F80" s="25">
        <f t="shared" si="66"/>
        <v>0.1003</v>
      </c>
      <c r="G80" s="30">
        <f>2495810-224622</f>
        <v>2271188</v>
      </c>
      <c r="H80" s="27"/>
      <c r="I80" s="32">
        <f t="shared" ref="I80:I85" si="70">+G80-H80</f>
        <v>2271188</v>
      </c>
      <c r="J80" s="32">
        <f t="shared" si="67"/>
        <v>2725476.1666666665</v>
      </c>
      <c r="K80" s="32">
        <f t="shared" si="65"/>
        <v>273365.25951666664</v>
      </c>
      <c r="L80" s="32"/>
      <c r="M80" s="32"/>
      <c r="N80" s="32"/>
      <c r="O80" s="32">
        <f t="shared" si="68"/>
        <v>273365.25951666664</v>
      </c>
      <c r="P80" s="32">
        <v>3137071.61</v>
      </c>
      <c r="Q80" s="31"/>
      <c r="R80" s="32">
        <f t="shared" ref="R80:R85" si="71">+P80-Q80</f>
        <v>3137071.61</v>
      </c>
      <c r="S80" s="32">
        <f t="shared" si="69"/>
        <v>3579697.3058333336</v>
      </c>
      <c r="T80" s="29">
        <f t="shared" si="64"/>
        <v>7.6223785695324647E-2</v>
      </c>
    </row>
    <row r="81" spans="3:20" hidden="1" x14ac:dyDescent="0.2">
      <c r="C81" s="15">
        <v>40026</v>
      </c>
      <c r="D81" s="25">
        <v>0.11890000000000001</v>
      </c>
      <c r="E81" s="25">
        <v>1.21E-2</v>
      </c>
      <c r="F81" s="25">
        <f t="shared" si="66"/>
        <v>0.10680000000000001</v>
      </c>
      <c r="G81" s="30">
        <f>2648227-241404</f>
        <v>2406823</v>
      </c>
      <c r="H81" s="27"/>
      <c r="I81" s="32">
        <f t="shared" si="70"/>
        <v>2406823</v>
      </c>
      <c r="J81" s="32">
        <f t="shared" si="67"/>
        <v>2722144.3333333335</v>
      </c>
      <c r="K81" s="32">
        <f t="shared" si="65"/>
        <v>290725.0148</v>
      </c>
      <c r="L81" s="32"/>
      <c r="M81" s="32"/>
      <c r="N81" s="32"/>
      <c r="O81" s="32">
        <f t="shared" si="68"/>
        <v>290725.0148</v>
      </c>
      <c r="P81" s="32">
        <v>3593755.72</v>
      </c>
      <c r="Q81" s="31"/>
      <c r="R81" s="32">
        <f t="shared" si="71"/>
        <v>3593755.72</v>
      </c>
      <c r="S81" s="32">
        <f t="shared" si="69"/>
        <v>3594041.1933333334</v>
      </c>
      <c r="T81" s="29">
        <f t="shared" ref="T81:T86" si="72">+O81/S80</f>
        <v>8.1214971535790464E-2</v>
      </c>
    </row>
    <row r="82" spans="3:20" hidden="1" x14ac:dyDescent="0.2">
      <c r="C82" s="15">
        <v>40057</v>
      </c>
      <c r="D82" s="25">
        <v>0.11749999999999999</v>
      </c>
      <c r="E82" s="25">
        <v>1.21E-2</v>
      </c>
      <c r="F82" s="25">
        <f t="shared" si="66"/>
        <v>0.10539999999999999</v>
      </c>
      <c r="G82" s="30">
        <f>2355895-227330</f>
        <v>2128565</v>
      </c>
      <c r="H82" s="27"/>
      <c r="I82" s="32">
        <f t="shared" si="70"/>
        <v>2128565</v>
      </c>
      <c r="J82" s="32">
        <f t="shared" si="67"/>
        <v>2701162.1666666665</v>
      </c>
      <c r="K82" s="32">
        <f t="shared" ref="K82:K87" si="73">+F82*J82</f>
        <v>284702.49236666661</v>
      </c>
      <c r="L82" s="32"/>
      <c r="M82" s="32"/>
      <c r="N82" s="32"/>
      <c r="O82" s="32">
        <f t="shared" si="68"/>
        <v>284702.49236666661</v>
      </c>
      <c r="P82" s="32">
        <v>2930964.41</v>
      </c>
      <c r="Q82" s="31"/>
      <c r="R82" s="32">
        <f t="shared" si="71"/>
        <v>2930964.41</v>
      </c>
      <c r="S82" s="32">
        <f t="shared" si="69"/>
        <v>3585591.9291666672</v>
      </c>
      <c r="T82" s="29">
        <f t="shared" si="72"/>
        <v>7.9215144471567994E-2</v>
      </c>
    </row>
    <row r="83" spans="3:20" hidden="1" x14ac:dyDescent="0.2">
      <c r="C83" s="15">
        <v>40087</v>
      </c>
      <c r="D83" s="25">
        <f>'[1]Form 1.0'!$H$20</f>
        <v>8.3385711707093149E-2</v>
      </c>
      <c r="E83" s="25">
        <v>1.21E-2</v>
      </c>
      <c r="F83" s="25">
        <f t="shared" si="66"/>
        <v>7.128571170709315E-2</v>
      </c>
      <c r="G83" s="30">
        <f>2325510-221736</f>
        <v>2103774</v>
      </c>
      <c r="H83" s="27"/>
      <c r="I83" s="32">
        <f t="shared" si="70"/>
        <v>2103774</v>
      </c>
      <c r="J83" s="32">
        <f t="shared" si="67"/>
        <v>2658446.5</v>
      </c>
      <c r="K83" s="32">
        <f t="shared" si="73"/>
        <v>189509.25078773079</v>
      </c>
      <c r="L83" s="32"/>
      <c r="M83" s="32"/>
      <c r="N83" s="32">
        <v>65648</v>
      </c>
      <c r="O83" s="32">
        <f t="shared" si="68"/>
        <v>255157.25078773079</v>
      </c>
      <c r="P83" s="32">
        <v>2809339.99</v>
      </c>
      <c r="Q83" s="31"/>
      <c r="R83" s="32">
        <f t="shared" si="71"/>
        <v>2809339.99</v>
      </c>
      <c r="S83" s="32">
        <f t="shared" si="69"/>
        <v>3560581.1583333332</v>
      </c>
      <c r="T83" s="29">
        <f t="shared" si="72"/>
        <v>7.116182092897344E-2</v>
      </c>
    </row>
    <row r="84" spans="3:20" hidden="1" x14ac:dyDescent="0.2">
      <c r="C84" s="15">
        <v>40118</v>
      </c>
      <c r="D84" s="25">
        <f>'[2]Form 1.0'!$H$20</f>
        <v>9.4326189721395101E-2</v>
      </c>
      <c r="E84" s="25">
        <f>E83</f>
        <v>1.21E-2</v>
      </c>
      <c r="F84" s="25">
        <f t="shared" si="66"/>
        <v>8.2226189721395102E-2</v>
      </c>
      <c r="G84" s="30">
        <f>2523304-167938</f>
        <v>2355366</v>
      </c>
      <c r="H84" s="27"/>
      <c r="I84" s="32">
        <f t="shared" si="70"/>
        <v>2355366</v>
      </c>
      <c r="J84" s="32">
        <f t="shared" si="67"/>
        <v>2597045.1666666665</v>
      </c>
      <c r="K84" s="32">
        <f t="shared" si="73"/>
        <v>213545.12858936549</v>
      </c>
      <c r="L84" s="32"/>
      <c r="M84" s="32"/>
      <c r="N84" s="32">
        <f>N83</f>
        <v>65648</v>
      </c>
      <c r="O84" s="32">
        <f t="shared" si="68"/>
        <v>279193.12858936551</v>
      </c>
      <c r="P84" s="32">
        <v>3216054.76</v>
      </c>
      <c r="Q84" s="31"/>
      <c r="R84" s="32">
        <f t="shared" si="71"/>
        <v>3216054.76</v>
      </c>
      <c r="S84" s="32">
        <f t="shared" si="69"/>
        <v>3514799.7258333326</v>
      </c>
      <c r="T84" s="29">
        <f t="shared" si="72"/>
        <v>7.8412235580118769E-2</v>
      </c>
    </row>
    <row r="85" spans="3:20" hidden="1" x14ac:dyDescent="0.2">
      <c r="C85" s="15">
        <v>40148</v>
      </c>
      <c r="D85" s="25">
        <f>'[3]Form 1.0'!$H$20</f>
        <v>0.14590105297536887</v>
      </c>
      <c r="E85" s="25">
        <f>E84</f>
        <v>1.21E-2</v>
      </c>
      <c r="F85" s="25">
        <f t="shared" ref="F85:F90" si="74">+D85-E85</f>
        <v>0.13380105297536887</v>
      </c>
      <c r="G85" s="30">
        <f>3420117-259779</f>
        <v>3160338</v>
      </c>
      <c r="H85" s="27"/>
      <c r="I85" s="32">
        <f t="shared" si="70"/>
        <v>3160338</v>
      </c>
      <c r="J85" s="32">
        <f t="shared" ref="J85:J90" si="75">SUM(I74:I85)/12</f>
        <v>2585979.1666666665</v>
      </c>
      <c r="K85" s="32">
        <f t="shared" si="73"/>
        <v>346006.73547236691</v>
      </c>
      <c r="L85" s="32"/>
      <c r="M85" s="32"/>
      <c r="N85" s="32">
        <f>[4]CV!I66</f>
        <v>3919</v>
      </c>
      <c r="O85" s="32">
        <f t="shared" ref="O85:O90" si="76">+K85+N85</f>
        <v>349925.73547236691</v>
      </c>
      <c r="P85" s="32">
        <v>4069890.08</v>
      </c>
      <c r="Q85" s="31"/>
      <c r="R85" s="32">
        <f t="shared" si="71"/>
        <v>4069890.08</v>
      </c>
      <c r="S85" s="32">
        <f t="shared" ref="S85:S90" si="77">SUM(R74:R85)/12</f>
        <v>3456900.2366666659</v>
      </c>
      <c r="T85" s="29">
        <f t="shared" si="72"/>
        <v>9.9557802084840594E-2</v>
      </c>
    </row>
    <row r="86" spans="3:20" hidden="1" x14ac:dyDescent="0.2">
      <c r="C86" s="15">
        <v>40179</v>
      </c>
      <c r="D86" s="25">
        <f>'[5]Form 1.0'!$H$20</f>
        <v>0.1361470278098281</v>
      </c>
      <c r="E86" s="25">
        <v>0</v>
      </c>
      <c r="F86" s="25">
        <f t="shared" si="74"/>
        <v>0.1361470278098281</v>
      </c>
      <c r="G86" s="30">
        <f>4425224-522223</f>
        <v>3903001</v>
      </c>
      <c r="H86" s="27"/>
      <c r="I86" s="32">
        <f t="shared" ref="I86:I91" si="78">+G86-H86</f>
        <v>3903001</v>
      </c>
      <c r="J86" s="32">
        <f t="shared" si="75"/>
        <v>2593376.0833333335</v>
      </c>
      <c r="K86" s="32">
        <f t="shared" si="73"/>
        <v>353080.44573892641</v>
      </c>
      <c r="L86" s="32"/>
      <c r="M86" s="32"/>
      <c r="N86" s="32">
        <f>69759+[6]CV!I67</f>
        <v>63358</v>
      </c>
      <c r="O86" s="32">
        <f t="shared" si="76"/>
        <v>416438.44573892641</v>
      </c>
      <c r="P86" s="32">
        <v>4720621.8</v>
      </c>
      <c r="Q86" s="31"/>
      <c r="R86" s="32">
        <f t="shared" ref="R86:R91" si="79">+P86-Q86</f>
        <v>4720621.8</v>
      </c>
      <c r="S86" s="32">
        <f t="shared" si="77"/>
        <v>3483016.0191666656</v>
      </c>
      <c r="T86" s="29">
        <f t="shared" si="72"/>
        <v>0.12046585589073272</v>
      </c>
    </row>
    <row r="87" spans="3:20" hidden="1" x14ac:dyDescent="0.2">
      <c r="C87" s="15">
        <v>40210</v>
      </c>
      <c r="D87" s="25">
        <f>'[7]Form 1.0'!$H$20</f>
        <v>0.10677660128078398</v>
      </c>
      <c r="E87" s="25">
        <v>0</v>
      </c>
      <c r="F87" s="25">
        <f t="shared" si="74"/>
        <v>0.10677660128078398</v>
      </c>
      <c r="G87" s="30">
        <f>4031899-483004</f>
        <v>3548895</v>
      </c>
      <c r="H87" s="27"/>
      <c r="I87" s="32">
        <f t="shared" si="78"/>
        <v>3548895</v>
      </c>
      <c r="J87" s="32">
        <f t="shared" si="75"/>
        <v>2626128.3333333335</v>
      </c>
      <c r="K87" s="32">
        <f t="shared" si="73"/>
        <v>280409.05796050309</v>
      </c>
      <c r="L87" s="32"/>
      <c r="M87" s="32"/>
      <c r="N87" s="32">
        <f>69759+[6]CV!I68</f>
        <v>-16858</v>
      </c>
      <c r="O87" s="32">
        <f t="shared" si="76"/>
        <v>263551.05796050309</v>
      </c>
      <c r="P87" s="32">
        <v>4789696.75</v>
      </c>
      <c r="Q87" s="31"/>
      <c r="R87" s="32">
        <f t="shared" si="79"/>
        <v>4789696.75</v>
      </c>
      <c r="S87" s="32">
        <f t="shared" si="77"/>
        <v>3530473.9558333326</v>
      </c>
      <c r="T87" s="29">
        <f t="shared" ref="T87:T92" si="80">+O87/S86</f>
        <v>7.566748372967845E-2</v>
      </c>
    </row>
    <row r="88" spans="3:20" hidden="1" x14ac:dyDescent="0.2">
      <c r="C88" s="15">
        <v>40238</v>
      </c>
      <c r="D88" s="25">
        <f>'[8]Form 1.0'!$H$20</f>
        <v>5.2688746350572933E-2</v>
      </c>
      <c r="E88" s="25">
        <v>0</v>
      </c>
      <c r="F88" s="25">
        <f t="shared" si="74"/>
        <v>5.2688746350572933E-2</v>
      </c>
      <c r="G88" s="30">
        <f>3108391-299941</f>
        <v>2808450</v>
      </c>
      <c r="H88" s="27"/>
      <c r="I88" s="32">
        <f t="shared" si="78"/>
        <v>2808450</v>
      </c>
      <c r="J88" s="32">
        <f t="shared" si="75"/>
        <v>2618645.75</v>
      </c>
      <c r="K88" s="32">
        <f t="shared" ref="K88:K93" si="81">+F88*J88</f>
        <v>137973.16170375582</v>
      </c>
      <c r="L88" s="32"/>
      <c r="M88" s="32"/>
      <c r="N88" s="32">
        <f>[6]CV!I69</f>
        <v>-29944</v>
      </c>
      <c r="O88" s="32">
        <f t="shared" si="76"/>
        <v>108029.16170375582</v>
      </c>
      <c r="P88" s="32">
        <v>4297911.5599999996</v>
      </c>
      <c r="Q88" s="31"/>
      <c r="R88" s="32">
        <f t="shared" si="79"/>
        <v>4297911.5599999996</v>
      </c>
      <c r="S88" s="32">
        <f t="shared" si="77"/>
        <v>3578469.6749999993</v>
      </c>
      <c r="T88" s="29">
        <f t="shared" si="80"/>
        <v>3.0599053570487714E-2</v>
      </c>
    </row>
    <row r="89" spans="3:20" hidden="1" x14ac:dyDescent="0.2">
      <c r="C89" s="15">
        <v>40269</v>
      </c>
      <c r="D89" s="25">
        <f>'[9]Form 1.0'!$H$20</f>
        <v>6.750351882627266E-2</v>
      </c>
      <c r="E89" s="25">
        <v>0</v>
      </c>
      <c r="F89" s="25">
        <f t="shared" si="74"/>
        <v>6.750351882627266E-2</v>
      </c>
      <c r="G89" s="30">
        <f>1885945-94413</f>
        <v>1791532</v>
      </c>
      <c r="H89" s="27"/>
      <c r="I89" s="32">
        <f t="shared" si="78"/>
        <v>1791532</v>
      </c>
      <c r="J89" s="32">
        <f t="shared" si="75"/>
        <v>2568372.75</v>
      </c>
      <c r="K89" s="32">
        <f t="shared" si="81"/>
        <v>173374.19828251068</v>
      </c>
      <c r="L89" s="32"/>
      <c r="M89" s="32"/>
      <c r="N89" s="32">
        <f>[6]CV!I70</f>
        <v>152132.46000000002</v>
      </c>
      <c r="O89" s="32">
        <f t="shared" si="76"/>
        <v>325506.6582825107</v>
      </c>
      <c r="P89" s="32">
        <v>2811059.18</v>
      </c>
      <c r="Q89" s="31"/>
      <c r="R89" s="32">
        <f t="shared" si="79"/>
        <v>2811059.18</v>
      </c>
      <c r="S89" s="32">
        <f t="shared" si="77"/>
        <v>3509750.9316666666</v>
      </c>
      <c r="T89" s="29">
        <f t="shared" si="80"/>
        <v>9.0962530870828395E-2</v>
      </c>
    </row>
    <row r="90" spans="3:20" hidden="1" x14ac:dyDescent="0.2">
      <c r="C90" s="15">
        <v>40299</v>
      </c>
      <c r="D90" s="25">
        <f>'[10]Form 1.0'!$H$20</f>
        <v>0.11103310077324695</v>
      </c>
      <c r="E90" s="25">
        <v>0</v>
      </c>
      <c r="F90" s="25">
        <f t="shared" si="74"/>
        <v>0.11103310077324695</v>
      </c>
      <c r="G90" s="30">
        <f>2119412-134015</f>
        <v>1985397</v>
      </c>
      <c r="H90" s="27"/>
      <c r="I90" s="32">
        <f t="shared" si="78"/>
        <v>1985397</v>
      </c>
      <c r="J90" s="32">
        <f t="shared" si="75"/>
        <v>2560957.1666666665</v>
      </c>
      <c r="K90" s="32">
        <f t="shared" si="81"/>
        <v>284351.01516246895</v>
      </c>
      <c r="L90" s="32"/>
      <c r="M90" s="32"/>
      <c r="N90" s="32">
        <f>[6]CV!I71</f>
        <v>5936.7399999999907</v>
      </c>
      <c r="O90" s="32">
        <f t="shared" si="76"/>
        <v>290287.75516246894</v>
      </c>
      <c r="P90" s="32">
        <v>2370941.7799999998</v>
      </c>
      <c r="Q90" s="31"/>
      <c r="R90" s="32">
        <f t="shared" si="79"/>
        <v>2370941.7799999998</v>
      </c>
      <c r="S90" s="32">
        <f t="shared" si="77"/>
        <v>3478769.5124999997</v>
      </c>
      <c r="T90" s="29">
        <f t="shared" si="80"/>
        <v>8.2708933144900035E-2</v>
      </c>
    </row>
    <row r="91" spans="3:20" hidden="1" x14ac:dyDescent="0.2">
      <c r="C91" s="15">
        <v>40330</v>
      </c>
      <c r="D91" s="25">
        <f>'[11]Form 1.0'!$H$20</f>
        <v>0.13188866003484037</v>
      </c>
      <c r="E91" s="25">
        <v>0</v>
      </c>
      <c r="F91" s="25">
        <f t="shared" ref="F91:F96" si="82">+D91-E91</f>
        <v>0.13188866003484037</v>
      </c>
      <c r="G91" s="30">
        <f>2871577-286898</f>
        <v>2584679</v>
      </c>
      <c r="H91" s="27"/>
      <c r="I91" s="32">
        <f t="shared" si="78"/>
        <v>2584679</v>
      </c>
      <c r="J91" s="32">
        <f t="shared" ref="J91:J96" si="83">SUM(I80:I91)/12</f>
        <v>2587334</v>
      </c>
      <c r="K91" s="32">
        <f t="shared" si="81"/>
        <v>341240.01432258368</v>
      </c>
      <c r="L91" s="32"/>
      <c r="M91" s="32"/>
      <c r="N91" s="32">
        <f>[6]CV!I72</f>
        <v>-217935.09000000003</v>
      </c>
      <c r="O91" s="32">
        <f t="shared" ref="O91:O96" si="84">+K91+N91</f>
        <v>123304.92432258365</v>
      </c>
      <c r="P91" s="32">
        <v>3302471.14</v>
      </c>
      <c r="Q91" s="31"/>
      <c r="R91" s="32">
        <f t="shared" si="79"/>
        <v>3302471.14</v>
      </c>
      <c r="S91" s="32">
        <f t="shared" ref="S91:S96" si="85">SUM(R80:R91)/12</f>
        <v>3504148.2316666669</v>
      </c>
      <c r="T91" s="29">
        <f t="shared" si="80"/>
        <v>3.5444982451272318E-2</v>
      </c>
    </row>
    <row r="92" spans="3:20" hidden="1" x14ac:dyDescent="0.2">
      <c r="C92" s="15">
        <v>40360</v>
      </c>
      <c r="D92" s="25">
        <f>'[12]Form 1.0'!$H$20</f>
        <v>0.12894002233333171</v>
      </c>
      <c r="E92" s="25">
        <v>0</v>
      </c>
      <c r="F92" s="25">
        <f t="shared" si="82"/>
        <v>0.12894002233333171</v>
      </c>
      <c r="G92" s="30">
        <f>3234380-376901</f>
        <v>2857479</v>
      </c>
      <c r="H92" s="27"/>
      <c r="I92" s="32">
        <f t="shared" ref="I92:I97" si="86">+G92-H92</f>
        <v>2857479</v>
      </c>
      <c r="J92" s="32">
        <f t="shared" si="83"/>
        <v>2636191.5833333335</v>
      </c>
      <c r="K92" s="32">
        <f t="shared" si="81"/>
        <v>339910.60162994108</v>
      </c>
      <c r="L92" s="32"/>
      <c r="M92" s="32"/>
      <c r="N92" s="32">
        <f>[6]CV!I73</f>
        <v>-118382.48999999999</v>
      </c>
      <c r="O92" s="32">
        <f t="shared" si="84"/>
        <v>221528.11162994109</v>
      </c>
      <c r="P92" s="32">
        <v>3658381.12</v>
      </c>
      <c r="Q92" s="31"/>
      <c r="R92" s="32">
        <f t="shared" ref="R92:R98" si="87">+P92-Q92</f>
        <v>3658381.12</v>
      </c>
      <c r="S92" s="32">
        <f t="shared" si="85"/>
        <v>3547590.6908333334</v>
      </c>
      <c r="T92" s="29">
        <f t="shared" si="80"/>
        <v>6.3218818664122656E-2</v>
      </c>
    </row>
    <row r="93" spans="3:20" hidden="1" x14ac:dyDescent="0.2">
      <c r="C93" s="15">
        <v>40391</v>
      </c>
      <c r="D93" s="25">
        <f>'[13]Form 1.0'!$H$20</f>
        <v>0.11323565448999388</v>
      </c>
      <c r="E93" s="25">
        <v>0</v>
      </c>
      <c r="F93" s="25">
        <f t="shared" si="82"/>
        <v>0.11323565448999388</v>
      </c>
      <c r="G93" s="30">
        <f>3285764-375176</f>
        <v>2910588</v>
      </c>
      <c r="H93" s="27"/>
      <c r="I93" s="32">
        <f t="shared" si="86"/>
        <v>2910588</v>
      </c>
      <c r="J93" s="32">
        <f t="shared" si="83"/>
        <v>2678172</v>
      </c>
      <c r="K93" s="32">
        <f t="shared" si="81"/>
        <v>303264.55925677589</v>
      </c>
      <c r="L93" s="32"/>
      <c r="M93" s="32"/>
      <c r="N93" s="32">
        <f>[6]CV!I74</f>
        <v>61284.86</v>
      </c>
      <c r="O93" s="32">
        <f t="shared" si="84"/>
        <v>364549.41925677587</v>
      </c>
      <c r="P93" s="32">
        <v>3867271.89</v>
      </c>
      <c r="Q93" s="31"/>
      <c r="R93" s="32">
        <f t="shared" si="87"/>
        <v>3867271.89</v>
      </c>
      <c r="S93" s="32">
        <f t="shared" si="85"/>
        <v>3570383.7049999996</v>
      </c>
      <c r="T93" s="29">
        <f t="shared" ref="T93:T98" si="88">+O93/S92</f>
        <v>0.10275971808098942</v>
      </c>
    </row>
    <row r="94" spans="3:20" hidden="1" x14ac:dyDescent="0.2">
      <c r="C94" s="15">
        <v>40422</v>
      </c>
      <c r="D94" s="25">
        <f>'[14]Form 1.0'!$H$20</f>
        <v>9.542427390594671E-2</v>
      </c>
      <c r="E94" s="25">
        <v>0</v>
      </c>
      <c r="F94" s="25">
        <f t="shared" si="82"/>
        <v>9.542427390594671E-2</v>
      </c>
      <c r="G94" s="30">
        <f>2564154-260746</f>
        <v>2303408</v>
      </c>
      <c r="H94" s="27"/>
      <c r="I94" s="32">
        <f t="shared" si="86"/>
        <v>2303408</v>
      </c>
      <c r="J94" s="32">
        <f t="shared" si="83"/>
        <v>2692742.25</v>
      </c>
      <c r="K94" s="32">
        <f t="shared" ref="K94:K99" si="89">+F94*J94</f>
        <v>256952.97402211523</v>
      </c>
      <c r="L94" s="32"/>
      <c r="M94" s="32"/>
      <c r="N94" s="32">
        <f>[6]CV!I75</f>
        <v>-13693.789999999979</v>
      </c>
      <c r="O94" s="32">
        <f t="shared" si="84"/>
        <v>243259.18402211525</v>
      </c>
      <c r="P94" s="32">
        <v>3281797.54</v>
      </c>
      <c r="Q94" s="31"/>
      <c r="R94" s="32">
        <f t="shared" si="87"/>
        <v>3281797.54</v>
      </c>
      <c r="S94" s="32">
        <f t="shared" si="85"/>
        <v>3599619.7991666663</v>
      </c>
      <c r="T94" s="29">
        <f t="shared" si="88"/>
        <v>6.8132504548867601E-2</v>
      </c>
    </row>
    <row r="95" spans="3:20" hidden="1" x14ac:dyDescent="0.2">
      <c r="C95" s="15">
        <v>40452</v>
      </c>
      <c r="D95" s="25">
        <f>'[15]Form 1.0'!$H$20</f>
        <v>0.12265232976770672</v>
      </c>
      <c r="E95" s="25">
        <v>0</v>
      </c>
      <c r="F95" s="25">
        <f t="shared" si="82"/>
        <v>0.12265232976770672</v>
      </c>
      <c r="G95" s="30">
        <f>2166963-188722</f>
        <v>1978241</v>
      </c>
      <c r="H95" s="27"/>
      <c r="I95" s="32">
        <f t="shared" si="86"/>
        <v>1978241</v>
      </c>
      <c r="J95" s="32">
        <f t="shared" si="83"/>
        <v>2682281.1666666665</v>
      </c>
      <c r="K95" s="32">
        <f t="shared" si="89"/>
        <v>328988.03418370907</v>
      </c>
      <c r="L95" s="32"/>
      <c r="M95" s="32"/>
      <c r="N95" s="32">
        <v>-17279</v>
      </c>
      <c r="O95" s="32">
        <f t="shared" si="84"/>
        <v>311709.03418370907</v>
      </c>
      <c r="P95" s="32">
        <v>2624687.58</v>
      </c>
      <c r="Q95" s="31"/>
      <c r="R95" s="32">
        <f t="shared" si="87"/>
        <v>2624687.58</v>
      </c>
      <c r="S95" s="32">
        <f t="shared" si="85"/>
        <v>3584232.0983333332</v>
      </c>
      <c r="T95" s="29">
        <f t="shared" si="88"/>
        <v>8.6594988241778081E-2</v>
      </c>
    </row>
    <row r="96" spans="3:20" hidden="1" x14ac:dyDescent="0.2">
      <c r="C96" s="15">
        <v>40483</v>
      </c>
      <c r="D96" s="25">
        <f>'[16]Form 1.0'!$H$20</f>
        <v>0.15846049484313979</v>
      </c>
      <c r="E96" s="25">
        <v>0</v>
      </c>
      <c r="F96" s="25">
        <f t="shared" si="82"/>
        <v>0.15846049484313979</v>
      </c>
      <c r="G96" s="30">
        <f>2676432-292509</f>
        <v>2383923</v>
      </c>
      <c r="H96" s="27"/>
      <c r="I96" s="32">
        <f t="shared" si="86"/>
        <v>2383923</v>
      </c>
      <c r="J96" s="32">
        <f t="shared" si="83"/>
        <v>2684660.9166666665</v>
      </c>
      <c r="K96" s="32">
        <f t="shared" si="89"/>
        <v>425412.69734103722</v>
      </c>
      <c r="L96" s="32"/>
      <c r="M96" s="32"/>
      <c r="N96" s="32">
        <v>-17279</v>
      </c>
      <c r="O96" s="32">
        <f t="shared" si="84"/>
        <v>408133.69734103722</v>
      </c>
      <c r="P96" s="32">
        <v>3194386.02</v>
      </c>
      <c r="Q96" s="31"/>
      <c r="R96" s="32">
        <f t="shared" si="87"/>
        <v>3194386.02</v>
      </c>
      <c r="S96" s="32">
        <f t="shared" si="85"/>
        <v>3582426.3699999996</v>
      </c>
      <c r="T96" s="29">
        <f t="shared" si="88"/>
        <v>0.11386921553735856</v>
      </c>
    </row>
    <row r="97" spans="3:20" hidden="1" x14ac:dyDescent="0.2">
      <c r="C97" s="15">
        <v>40513</v>
      </c>
      <c r="D97" s="25">
        <f>'[17]Form 1.0'!$H$20</f>
        <v>0.14711863184623605</v>
      </c>
      <c r="E97" s="25">
        <v>0</v>
      </c>
      <c r="F97" s="25">
        <f t="shared" ref="F97:F108" si="90">+D97-E97</f>
        <v>0.14711863184623605</v>
      </c>
      <c r="G97" s="30">
        <f>4474055-612116</f>
        <v>3861939</v>
      </c>
      <c r="H97" s="27"/>
      <c r="I97" s="32">
        <f t="shared" si="86"/>
        <v>3861939</v>
      </c>
      <c r="J97" s="32">
        <f t="shared" ref="J97:J102" si="91">SUM(I86:I97)/12</f>
        <v>2743127.6666666665</v>
      </c>
      <c r="K97" s="32">
        <f t="shared" si="89"/>
        <v>403565.18929955782</v>
      </c>
      <c r="L97" s="32"/>
      <c r="M97" s="32"/>
      <c r="N97" s="32">
        <v>0</v>
      </c>
      <c r="O97" s="32">
        <f t="shared" ref="O97:O102" si="92">+K97+N97</f>
        <v>403565.18929955782</v>
      </c>
      <c r="P97" s="32">
        <v>4963262.92</v>
      </c>
      <c r="Q97" s="31"/>
      <c r="R97" s="32">
        <f t="shared" si="87"/>
        <v>4963262.92</v>
      </c>
      <c r="S97" s="32">
        <f t="shared" ref="S97:S98" si="93">SUM(R86:R97)/12</f>
        <v>3656874.1066666674</v>
      </c>
      <c r="T97" s="29">
        <f t="shared" si="88"/>
        <v>0.11265135626487638</v>
      </c>
    </row>
    <row r="98" spans="3:20" hidden="1" x14ac:dyDescent="0.2">
      <c r="C98" s="15">
        <v>40544</v>
      </c>
      <c r="D98" s="25">
        <f>'[18]Form 1.0'!$H$20</f>
        <v>6.4705701936854237E-2</v>
      </c>
      <c r="E98" s="25">
        <v>0</v>
      </c>
      <c r="F98" s="25">
        <f t="shared" si="90"/>
        <v>6.4705701936854237E-2</v>
      </c>
      <c r="G98" s="30">
        <f>4437195-569010</f>
        <v>3868185</v>
      </c>
      <c r="H98" s="27"/>
      <c r="I98" s="32">
        <f t="shared" ref="I98:I102" si="94">+G98-H98</f>
        <v>3868185</v>
      </c>
      <c r="J98" s="32">
        <f t="shared" si="91"/>
        <v>2740226.3333333335</v>
      </c>
      <c r="K98" s="32">
        <f t="shared" si="89"/>
        <v>177308.26836418567</v>
      </c>
      <c r="L98" s="32"/>
      <c r="M98" s="32"/>
      <c r="N98" s="32">
        <v>0</v>
      </c>
      <c r="O98" s="32">
        <f t="shared" si="92"/>
        <v>177308.26836418567</v>
      </c>
      <c r="P98" s="31">
        <v>4972176.42</v>
      </c>
      <c r="Q98" s="31"/>
      <c r="R98" s="31">
        <f t="shared" si="87"/>
        <v>4972176.42</v>
      </c>
      <c r="S98" s="32">
        <f t="shared" si="93"/>
        <v>3677836.9916666672</v>
      </c>
      <c r="T98" s="29">
        <f t="shared" si="88"/>
        <v>4.8486292716761477E-2</v>
      </c>
    </row>
    <row r="99" spans="3:20" hidden="1" x14ac:dyDescent="0.2">
      <c r="C99" s="15">
        <v>40575</v>
      </c>
      <c r="D99" s="25">
        <f>'[19]Form 1.0'!$H$23</f>
        <v>6.4534784465299963E-2</v>
      </c>
      <c r="E99" s="25">
        <v>0</v>
      </c>
      <c r="F99" s="25">
        <f t="shared" si="90"/>
        <v>6.4534784465299963E-2</v>
      </c>
      <c r="G99" s="30">
        <f>3350708-203616</f>
        <v>3147092</v>
      </c>
      <c r="H99" s="27"/>
      <c r="I99" s="32">
        <f t="shared" si="94"/>
        <v>3147092</v>
      </c>
      <c r="J99" s="32">
        <f t="shared" si="91"/>
        <v>2706742.75</v>
      </c>
      <c r="K99" s="32">
        <f t="shared" si="89"/>
        <v>174679.05997426331</v>
      </c>
      <c r="L99" s="32"/>
      <c r="M99" s="32"/>
      <c r="N99" s="32">
        <v>0</v>
      </c>
      <c r="O99" s="32">
        <f t="shared" si="92"/>
        <v>174679.05997426331</v>
      </c>
      <c r="P99" s="31">
        <v>4241409.3099999996</v>
      </c>
      <c r="Q99" s="31"/>
      <c r="R99" s="31">
        <f t="shared" ref="R99:R104" si="95">+P99-Q99</f>
        <v>4241409.3099999996</v>
      </c>
      <c r="S99" s="32">
        <f t="shared" ref="S99" si="96">SUM(R88:R99)/12</f>
        <v>3632146.3716666666</v>
      </c>
      <c r="T99" s="29">
        <f t="shared" ref="T99" si="97">+O99/S98</f>
        <v>4.749505221956693E-2</v>
      </c>
    </row>
    <row r="100" spans="3:20" hidden="1" x14ac:dyDescent="0.2">
      <c r="C100" s="15">
        <v>40603</v>
      </c>
      <c r="D100" s="24">
        <v>0.1159</v>
      </c>
      <c r="E100" s="25">
        <v>0</v>
      </c>
      <c r="F100" s="25">
        <f t="shared" si="90"/>
        <v>0.1159</v>
      </c>
      <c r="G100" s="31">
        <f>2838998-172019</f>
        <v>2666979</v>
      </c>
      <c r="I100" s="32">
        <f t="shared" si="94"/>
        <v>2666979</v>
      </c>
      <c r="J100" s="32">
        <f t="shared" si="91"/>
        <v>2694953.5</v>
      </c>
      <c r="K100" s="32">
        <f t="shared" ref="K100:K102" si="98">+F100*J100</f>
        <v>312345.11064999999</v>
      </c>
      <c r="L100" s="32"/>
      <c r="M100" s="32"/>
      <c r="N100" s="32">
        <v>0</v>
      </c>
      <c r="O100" s="32">
        <f t="shared" si="92"/>
        <v>312345.11064999999</v>
      </c>
      <c r="P100" s="32">
        <v>3677706.8</v>
      </c>
      <c r="R100" s="32">
        <f t="shared" si="95"/>
        <v>3677706.8</v>
      </c>
      <c r="S100" s="32">
        <f t="shared" ref="S100" si="99">SUM(R89:R100)/12</f>
        <v>3580462.6416666661</v>
      </c>
      <c r="T100" s="29">
        <f t="shared" ref="T100" si="100">+O100/S99</f>
        <v>8.599463751970865E-2</v>
      </c>
    </row>
    <row r="101" spans="3:20" hidden="1" x14ac:dyDescent="0.2">
      <c r="C101" s="15">
        <v>40634</v>
      </c>
      <c r="D101" s="24">
        <v>0.12559999999999999</v>
      </c>
      <c r="E101" s="25">
        <v>0</v>
      </c>
      <c r="F101" s="25">
        <f t="shared" si="90"/>
        <v>0.12559999999999999</v>
      </c>
      <c r="G101" s="31">
        <f>2512429-260946</f>
        <v>2251483</v>
      </c>
      <c r="I101" s="32">
        <f t="shared" si="94"/>
        <v>2251483</v>
      </c>
      <c r="J101" s="32">
        <f t="shared" si="91"/>
        <v>2733282.75</v>
      </c>
      <c r="K101" s="32">
        <f t="shared" si="98"/>
        <v>343300.31339999998</v>
      </c>
      <c r="L101" s="32"/>
      <c r="M101" s="32"/>
      <c r="N101" s="32">
        <v>0</v>
      </c>
      <c r="O101" s="32">
        <f t="shared" si="92"/>
        <v>343300.31339999998</v>
      </c>
      <c r="P101" s="32">
        <v>3026483.79</v>
      </c>
      <c r="R101" s="32">
        <f t="shared" si="95"/>
        <v>3026483.79</v>
      </c>
      <c r="S101" s="32">
        <f t="shared" ref="S101:S103" si="101">SUM(R90:R101)/12</f>
        <v>3598414.6924999994</v>
      </c>
      <c r="T101" s="29">
        <f t="shared" ref="T101:T103" si="102">+O101/S100</f>
        <v>9.5881551564017287E-2</v>
      </c>
    </row>
    <row r="102" spans="3:20" hidden="1" x14ac:dyDescent="0.2">
      <c r="C102" s="15">
        <v>40664</v>
      </c>
      <c r="D102" s="24">
        <v>0.14349999999999999</v>
      </c>
      <c r="E102" s="25">
        <v>0</v>
      </c>
      <c r="F102" s="25">
        <f t="shared" si="90"/>
        <v>0.14349999999999999</v>
      </c>
      <c r="G102" s="31">
        <f>2572234-287022</f>
        <v>2285212</v>
      </c>
      <c r="I102" s="32">
        <f t="shared" si="94"/>
        <v>2285212</v>
      </c>
      <c r="J102" s="32">
        <f t="shared" si="91"/>
        <v>2758267.3333333335</v>
      </c>
      <c r="K102" s="32">
        <f t="shared" si="98"/>
        <v>395811.36233333335</v>
      </c>
      <c r="L102" s="32"/>
      <c r="M102" s="32"/>
      <c r="N102" s="32">
        <v>0</v>
      </c>
      <c r="O102" s="32">
        <f t="shared" si="92"/>
        <v>395811.36233333335</v>
      </c>
      <c r="P102" s="32">
        <v>2757503.97</v>
      </c>
      <c r="R102" s="32">
        <f t="shared" si="95"/>
        <v>2757503.97</v>
      </c>
      <c r="S102" s="32">
        <f t="shared" si="101"/>
        <v>3630628.2083333335</v>
      </c>
      <c r="T102" s="29">
        <f t="shared" si="102"/>
        <v>0.10999603885519468</v>
      </c>
    </row>
    <row r="103" spans="3:20" hidden="1" x14ac:dyDescent="0.2">
      <c r="C103" s="15">
        <v>40695</v>
      </c>
      <c r="D103" s="24">
        <v>0.1399</v>
      </c>
      <c r="E103" s="25">
        <v>0</v>
      </c>
      <c r="F103" s="25">
        <f t="shared" si="90"/>
        <v>0.1399</v>
      </c>
      <c r="G103" s="31">
        <f>3092030-388026</f>
        <v>2704004</v>
      </c>
      <c r="I103" s="32">
        <f t="shared" ref="I103" si="103">+G103-H103</f>
        <v>2704004</v>
      </c>
      <c r="J103" s="32">
        <f t="shared" ref="J103" si="104">SUM(I92:I103)/12</f>
        <v>2768211.0833333335</v>
      </c>
      <c r="K103" s="32">
        <f t="shared" ref="K103" si="105">+F103*J103</f>
        <v>387272.73055833334</v>
      </c>
      <c r="L103" s="32"/>
      <c r="M103" s="32"/>
      <c r="N103" s="32">
        <v>0</v>
      </c>
      <c r="O103" s="32">
        <f t="shared" ref="O103:O108" si="106">+K103+N103</f>
        <v>387272.73055833334</v>
      </c>
      <c r="P103" s="33">
        <v>3141325.19</v>
      </c>
      <c r="R103" s="32">
        <f t="shared" si="95"/>
        <v>3141325.19</v>
      </c>
      <c r="S103" s="32">
        <f t="shared" si="101"/>
        <v>3617199.3791666664</v>
      </c>
      <c r="T103" s="29">
        <f t="shared" si="102"/>
        <v>0.10666824261141124</v>
      </c>
    </row>
    <row r="104" spans="3:20" hidden="1" x14ac:dyDescent="0.2">
      <c r="C104" s="15">
        <v>40725</v>
      </c>
      <c r="D104" s="24">
        <v>0.13150000000000001</v>
      </c>
      <c r="E104" s="25">
        <v>0</v>
      </c>
      <c r="F104" s="25">
        <f t="shared" si="90"/>
        <v>0.13150000000000001</v>
      </c>
      <c r="G104" s="31">
        <f>3353940-411628</f>
        <v>2942312</v>
      </c>
      <c r="I104" s="32">
        <f t="shared" ref="I104" si="107">+G104-H104</f>
        <v>2942312</v>
      </c>
      <c r="J104" s="32">
        <f t="shared" ref="J104" si="108">SUM(I93:I104)/12</f>
        <v>2775280.5</v>
      </c>
      <c r="K104" s="32">
        <f t="shared" ref="K104" si="109">+F104*J104</f>
        <v>364949.38575000002</v>
      </c>
      <c r="L104" s="32"/>
      <c r="M104" s="32"/>
      <c r="N104" s="32">
        <v>90523</v>
      </c>
      <c r="O104" s="32">
        <f t="shared" si="106"/>
        <v>455472.38575000002</v>
      </c>
      <c r="P104" s="33">
        <v>3558654.62</v>
      </c>
      <c r="R104" s="32">
        <f t="shared" si="95"/>
        <v>3558654.62</v>
      </c>
      <c r="S104" s="32">
        <f t="shared" ref="S104" si="110">SUM(R93:R104)/12</f>
        <v>3608888.837499999</v>
      </c>
      <c r="T104" s="29">
        <f t="shared" ref="T104" si="111">+O104/S103</f>
        <v>0.12591851816996943</v>
      </c>
    </row>
    <row r="105" spans="3:20" hidden="1" x14ac:dyDescent="0.2">
      <c r="C105" s="15">
        <v>40756</v>
      </c>
      <c r="D105" s="24">
        <v>0.1128</v>
      </c>
      <c r="E105" s="25">
        <v>0</v>
      </c>
      <c r="F105" s="25">
        <f t="shared" si="90"/>
        <v>0.1128</v>
      </c>
      <c r="G105" s="48">
        <v>2941256</v>
      </c>
      <c r="I105" s="32">
        <f t="shared" ref="I105:I108" si="112">+G105-H105</f>
        <v>2941256</v>
      </c>
      <c r="J105" s="32">
        <f t="shared" ref="J105:J107" si="113">SUM(I94:I105)/12</f>
        <v>2777836.1666666665</v>
      </c>
      <c r="K105" s="32">
        <f t="shared" ref="K105:K107" si="114">+F105*J105</f>
        <v>313339.91959999996</v>
      </c>
      <c r="L105" s="32"/>
      <c r="M105" s="32"/>
      <c r="N105" s="32">
        <v>90523</v>
      </c>
      <c r="O105" s="32">
        <f t="shared" si="106"/>
        <v>403862.91959999996</v>
      </c>
      <c r="P105" s="33">
        <v>4079428.14</v>
      </c>
      <c r="R105" s="32">
        <f t="shared" ref="R105:R108" si="115">+P105-Q105</f>
        <v>4079428.14</v>
      </c>
      <c r="S105" s="32">
        <f t="shared" ref="S105:S108" si="116">SUM(R94:R105)/12</f>
        <v>3626568.5249999999</v>
      </c>
      <c r="T105" s="29">
        <f t="shared" ref="T105:T108" si="117">+O105/S104</f>
        <v>0.11190783030041171</v>
      </c>
    </row>
    <row r="106" spans="3:20" hidden="1" x14ac:dyDescent="0.2">
      <c r="C106" s="15">
        <v>40787</v>
      </c>
      <c r="D106" s="24">
        <v>0.1201</v>
      </c>
      <c r="E106" s="25">
        <v>0</v>
      </c>
      <c r="F106" s="25">
        <f t="shared" si="90"/>
        <v>0.1201</v>
      </c>
      <c r="G106" s="48">
        <v>2325912</v>
      </c>
      <c r="I106" s="32">
        <f t="shared" si="112"/>
        <v>2325912</v>
      </c>
      <c r="J106" s="32">
        <f t="shared" si="113"/>
        <v>2779711.5</v>
      </c>
      <c r="K106" s="32">
        <f t="shared" si="114"/>
        <v>333843.35115</v>
      </c>
      <c r="L106" s="32"/>
      <c r="M106" s="32"/>
      <c r="N106" s="32">
        <v>90523</v>
      </c>
      <c r="O106" s="32">
        <f t="shared" si="106"/>
        <v>424366.35115</v>
      </c>
      <c r="P106" s="33">
        <v>3070442.17</v>
      </c>
      <c r="R106" s="32">
        <f t="shared" si="115"/>
        <v>3070442.17</v>
      </c>
      <c r="S106" s="32">
        <f t="shared" si="116"/>
        <v>3608955.5775000001</v>
      </c>
      <c r="T106" s="29">
        <f t="shared" si="117"/>
        <v>0.11701594723072274</v>
      </c>
    </row>
    <row r="107" spans="3:20" hidden="1" x14ac:dyDescent="0.2">
      <c r="C107" s="15">
        <v>40817</v>
      </c>
      <c r="D107" s="24">
        <v>0.14849999999999999</v>
      </c>
      <c r="E107" s="25">
        <v>0</v>
      </c>
      <c r="F107" s="25">
        <f t="shared" si="90"/>
        <v>0.14849999999999999</v>
      </c>
      <c r="G107" s="49">
        <v>2341106</v>
      </c>
      <c r="I107" s="32">
        <f t="shared" si="112"/>
        <v>2341106</v>
      </c>
      <c r="J107" s="32">
        <f t="shared" si="113"/>
        <v>2809950.25</v>
      </c>
      <c r="K107" s="32">
        <f t="shared" si="114"/>
        <v>417277.61212499999</v>
      </c>
      <c r="L107" s="32"/>
      <c r="M107" s="32"/>
      <c r="N107" s="32">
        <v>90523</v>
      </c>
      <c r="O107" s="32">
        <f t="shared" si="106"/>
        <v>507800.61212499999</v>
      </c>
      <c r="P107" s="33">
        <v>2823769</v>
      </c>
      <c r="R107" s="32">
        <f t="shared" si="115"/>
        <v>2823769</v>
      </c>
      <c r="S107" s="32">
        <f t="shared" si="116"/>
        <v>3625545.6958333333</v>
      </c>
      <c r="T107" s="29">
        <f t="shared" si="117"/>
        <v>0.14070569759596882</v>
      </c>
    </row>
    <row r="108" spans="3:20" hidden="1" x14ac:dyDescent="0.2">
      <c r="C108" s="15">
        <v>40848</v>
      </c>
      <c r="D108" s="24">
        <v>0.15109999999999998</v>
      </c>
      <c r="E108" s="25">
        <v>0</v>
      </c>
      <c r="F108" s="25">
        <f t="shared" si="90"/>
        <v>0.15109999999999998</v>
      </c>
      <c r="G108" s="49">
        <v>2795680</v>
      </c>
      <c r="I108" s="32">
        <f t="shared" si="112"/>
        <v>2795680</v>
      </c>
      <c r="J108" s="32">
        <f t="shared" ref="J108" si="118">SUM(I97:I108)/12</f>
        <v>2844263.3333333335</v>
      </c>
      <c r="K108" s="32">
        <f t="shared" ref="K108" si="119">+F108*J108</f>
        <v>429768.18966666667</v>
      </c>
      <c r="L108" s="32"/>
      <c r="M108" s="32"/>
      <c r="N108" s="32">
        <v>90523</v>
      </c>
      <c r="O108" s="32">
        <f t="shared" si="106"/>
        <v>520291.18966666667</v>
      </c>
      <c r="P108" s="33">
        <v>3531231.49</v>
      </c>
      <c r="R108" s="32">
        <f t="shared" si="115"/>
        <v>3531231.49</v>
      </c>
      <c r="S108" s="32">
        <f t="shared" si="116"/>
        <v>3653616.1516666668</v>
      </c>
      <c r="T108" s="29">
        <f t="shared" si="117"/>
        <v>0.14350700096391353</v>
      </c>
    </row>
    <row r="109" spans="3:20" hidden="1" x14ac:dyDescent="0.2">
      <c r="C109" s="15">
        <v>40878</v>
      </c>
      <c r="D109" s="24">
        <v>0.1421</v>
      </c>
      <c r="E109" s="25">
        <v>0</v>
      </c>
      <c r="F109" s="25">
        <f t="shared" ref="F109:F114" si="120">+D109-E109</f>
        <v>0.1421</v>
      </c>
      <c r="G109" s="49">
        <v>3173705</v>
      </c>
      <c r="I109" s="32">
        <f t="shared" ref="I109:I114" si="121">+G109-H109</f>
        <v>3173705</v>
      </c>
      <c r="J109" s="32">
        <f t="shared" ref="J109" si="122">SUM(I98:I109)/12</f>
        <v>2786910.5</v>
      </c>
      <c r="K109" s="32">
        <f t="shared" ref="K109" si="123">+F109*J109</f>
        <v>396019.98204999999</v>
      </c>
      <c r="L109" s="32"/>
      <c r="M109" s="32"/>
      <c r="N109" s="32">
        <v>90523</v>
      </c>
      <c r="O109" s="32">
        <f t="shared" ref="O109:O111" si="124">+K109+N109</f>
        <v>486542.98204999999</v>
      </c>
      <c r="P109" s="33">
        <v>4125646.37</v>
      </c>
      <c r="R109" s="32">
        <f t="shared" ref="R109:R114" si="125">+P109-Q109</f>
        <v>4125646.37</v>
      </c>
      <c r="S109" s="32">
        <f t="shared" ref="S109" si="126">SUM(R98:R109)/12</f>
        <v>3583814.7725000004</v>
      </c>
      <c r="T109" s="29">
        <f t="shared" ref="T109" si="127">+O109/S108</f>
        <v>0.13316751455350725</v>
      </c>
    </row>
    <row r="110" spans="3:20" hidden="1" x14ac:dyDescent="0.2">
      <c r="C110" s="15">
        <v>40909</v>
      </c>
      <c r="D110" s="24">
        <v>0.12089999999999999</v>
      </c>
      <c r="E110" s="25">
        <v>0</v>
      </c>
      <c r="F110" s="25">
        <f t="shared" si="120"/>
        <v>0.12089999999999999</v>
      </c>
      <c r="G110" s="49">
        <v>3328318</v>
      </c>
      <c r="I110" s="32">
        <f t="shared" si="121"/>
        <v>3328318</v>
      </c>
      <c r="J110" s="32">
        <f t="shared" ref="J110:J116" si="128">SUM(I99:I110)/12</f>
        <v>2741921.5833333335</v>
      </c>
      <c r="K110" s="32">
        <f t="shared" ref="K110:K116" si="129">+F110*J110</f>
        <v>331498.31942499999</v>
      </c>
      <c r="L110" s="32"/>
      <c r="M110" s="32"/>
      <c r="N110" s="32">
        <v>0</v>
      </c>
      <c r="O110" s="32">
        <f t="shared" si="124"/>
        <v>331498.31942499999</v>
      </c>
      <c r="P110" s="33">
        <v>4369471.22</v>
      </c>
      <c r="R110" s="32">
        <f t="shared" si="125"/>
        <v>4369471.22</v>
      </c>
      <c r="S110" s="32">
        <f t="shared" ref="S110:S115" si="130">SUM(R99:R110)/12</f>
        <v>3533589.3391666668</v>
      </c>
      <c r="T110" s="29">
        <f t="shared" ref="T110:T111" si="131">+O110/S109</f>
        <v>9.2498731231512032E-2</v>
      </c>
    </row>
    <row r="111" spans="3:20" hidden="1" x14ac:dyDescent="0.2">
      <c r="C111" s="15">
        <v>40940</v>
      </c>
      <c r="D111" s="24">
        <v>0.10779999999999999</v>
      </c>
      <c r="E111" s="25">
        <v>0</v>
      </c>
      <c r="F111" s="25">
        <f t="shared" si="120"/>
        <v>0.10779999999999999</v>
      </c>
      <c r="G111" s="49">
        <v>3029048</v>
      </c>
      <c r="I111" s="32">
        <f t="shared" si="121"/>
        <v>3029048</v>
      </c>
      <c r="J111" s="32">
        <f t="shared" si="128"/>
        <v>2732084.5833333335</v>
      </c>
      <c r="K111" s="32">
        <f t="shared" si="129"/>
        <v>294518.71808333334</v>
      </c>
      <c r="L111" s="32"/>
      <c r="M111" s="32"/>
      <c r="N111" s="32">
        <v>0</v>
      </c>
      <c r="O111" s="32">
        <f t="shared" si="124"/>
        <v>294518.71808333334</v>
      </c>
      <c r="P111" s="33">
        <v>4316070.62</v>
      </c>
      <c r="R111" s="32">
        <f t="shared" si="125"/>
        <v>4316070.62</v>
      </c>
      <c r="S111" s="32">
        <f t="shared" si="130"/>
        <v>3539811.1149999998</v>
      </c>
      <c r="T111" s="29">
        <f t="shared" si="131"/>
        <v>8.3348315215596117E-2</v>
      </c>
    </row>
    <row r="112" spans="3:20" hidden="1" x14ac:dyDescent="0.2">
      <c r="C112" s="15">
        <v>40969</v>
      </c>
      <c r="D112" s="24">
        <v>0.12920000000000001</v>
      </c>
      <c r="E112" s="25">
        <v>0</v>
      </c>
      <c r="F112" s="25">
        <f t="shared" si="120"/>
        <v>0.12920000000000001</v>
      </c>
      <c r="G112" s="49">
        <v>2412544</v>
      </c>
      <c r="I112" s="32">
        <f t="shared" si="121"/>
        <v>2412544</v>
      </c>
      <c r="J112" s="32">
        <f t="shared" si="128"/>
        <v>2710881.6666666665</v>
      </c>
      <c r="K112" s="32">
        <f t="shared" si="129"/>
        <v>350245.91133333335</v>
      </c>
      <c r="L112" s="32"/>
      <c r="M112" s="32"/>
      <c r="N112" s="32">
        <v>0</v>
      </c>
      <c r="O112" s="32">
        <f t="shared" ref="O112" si="132">+K112+N112</f>
        <v>350245.91133333335</v>
      </c>
      <c r="P112" s="33">
        <v>2969089.92</v>
      </c>
      <c r="R112" s="32">
        <f t="shared" si="125"/>
        <v>2969089.92</v>
      </c>
      <c r="S112" s="32">
        <f t="shared" si="130"/>
        <v>3480759.708333334</v>
      </c>
      <c r="T112" s="29">
        <f t="shared" ref="T112" si="133">+O112/S111</f>
        <v>9.894480240743958E-2</v>
      </c>
    </row>
    <row r="113" spans="3:29" hidden="1" x14ac:dyDescent="0.2">
      <c r="C113" s="15">
        <v>41000</v>
      </c>
      <c r="D113" s="24">
        <v>0.14940000000000001</v>
      </c>
      <c r="E113" s="25">
        <v>0</v>
      </c>
      <c r="F113" s="25">
        <f t="shared" si="120"/>
        <v>0.14940000000000001</v>
      </c>
      <c r="G113" s="49">
        <v>2088654</v>
      </c>
      <c r="I113" s="32">
        <f t="shared" si="121"/>
        <v>2088654</v>
      </c>
      <c r="J113" s="32">
        <f t="shared" si="128"/>
        <v>2697312.5833333335</v>
      </c>
      <c r="K113" s="32">
        <f t="shared" si="129"/>
        <v>402978.49995000003</v>
      </c>
      <c r="L113" s="32"/>
      <c r="M113" s="32"/>
      <c r="N113" s="32">
        <v>0</v>
      </c>
      <c r="O113" s="32">
        <f t="shared" ref="O113" si="134">+K113+N113</f>
        <v>402978.49995000003</v>
      </c>
      <c r="P113" s="33">
        <v>2800486.28</v>
      </c>
      <c r="R113" s="32">
        <f t="shared" si="125"/>
        <v>2800486.28</v>
      </c>
      <c r="S113" s="32">
        <f t="shared" si="130"/>
        <v>3461926.5825000009</v>
      </c>
      <c r="T113" s="29">
        <f t="shared" ref="T113" si="135">+O113/S112</f>
        <v>0.11577314543868793</v>
      </c>
    </row>
    <row r="114" spans="3:29" hidden="1" x14ac:dyDescent="0.2">
      <c r="C114" s="15">
        <v>41030</v>
      </c>
      <c r="D114" s="24">
        <v>0.16900000000000001</v>
      </c>
      <c r="E114" s="25">
        <v>0</v>
      </c>
      <c r="F114" s="25">
        <f t="shared" si="120"/>
        <v>0.16900000000000001</v>
      </c>
      <c r="G114" s="49">
        <v>2273514</v>
      </c>
      <c r="I114" s="32">
        <f t="shared" si="121"/>
        <v>2273514</v>
      </c>
      <c r="J114" s="32">
        <f t="shared" si="128"/>
        <v>2696337.75</v>
      </c>
      <c r="K114" s="32">
        <f t="shared" si="129"/>
        <v>455681.07975000003</v>
      </c>
      <c r="L114" s="32"/>
      <c r="M114" s="32"/>
      <c r="N114" s="32">
        <v>0</v>
      </c>
      <c r="O114" s="32">
        <f t="shared" ref="O114" si="136">+K114+N114</f>
        <v>455681.07975000003</v>
      </c>
      <c r="P114" s="33">
        <v>3041094.04</v>
      </c>
      <c r="R114" s="32">
        <f t="shared" si="125"/>
        <v>3041094.04</v>
      </c>
      <c r="S114" s="32">
        <f t="shared" si="130"/>
        <v>3485559.0883333334</v>
      </c>
      <c r="T114" s="29">
        <f t="shared" ref="T114" si="137">+O114/S113</f>
        <v>0.13162644235538173</v>
      </c>
    </row>
    <row r="115" spans="3:29" hidden="1" x14ac:dyDescent="0.2">
      <c r="C115" s="15">
        <v>41061</v>
      </c>
      <c r="D115" s="24">
        <v>0.1555</v>
      </c>
      <c r="E115" s="25">
        <v>0</v>
      </c>
      <c r="F115" s="25">
        <f t="shared" ref="F115:F116" si="138">+D115-E115</f>
        <v>0.1555</v>
      </c>
      <c r="G115" s="49">
        <v>2464606</v>
      </c>
      <c r="I115" s="32">
        <f t="shared" ref="I115:I116" si="139">+G115-H115</f>
        <v>2464606</v>
      </c>
      <c r="J115" s="32">
        <f t="shared" si="128"/>
        <v>2676387.9166666665</v>
      </c>
      <c r="K115" s="32">
        <f t="shared" si="129"/>
        <v>416178.32104166667</v>
      </c>
      <c r="L115" s="32"/>
      <c r="M115" s="32"/>
      <c r="N115" s="32">
        <v>0</v>
      </c>
      <c r="O115" s="32">
        <f t="shared" ref="O115:O116" si="140">+K115+N115</f>
        <v>416178.32104166667</v>
      </c>
      <c r="P115" s="33">
        <v>2781416.79</v>
      </c>
      <c r="R115" s="32">
        <f t="shared" ref="R115:R116" si="141">+P115-Q115</f>
        <v>2781416.79</v>
      </c>
      <c r="S115" s="32">
        <f t="shared" si="130"/>
        <v>3455566.7216666671</v>
      </c>
      <c r="T115" s="29">
        <f t="shared" ref="T115" si="142">+O115/S114</f>
        <v>0.11940073615009864</v>
      </c>
    </row>
    <row r="116" spans="3:29" hidden="1" x14ac:dyDescent="0.2">
      <c r="C116" s="15">
        <v>41091</v>
      </c>
      <c r="D116" s="24">
        <v>0.14510000000000001</v>
      </c>
      <c r="E116" s="25">
        <v>0</v>
      </c>
      <c r="F116" s="25">
        <f t="shared" si="138"/>
        <v>0.14510000000000001</v>
      </c>
      <c r="G116" s="49">
        <v>2706093</v>
      </c>
      <c r="I116" s="32">
        <f t="shared" si="139"/>
        <v>2706093</v>
      </c>
      <c r="J116" s="32">
        <f t="shared" si="128"/>
        <v>2656703</v>
      </c>
      <c r="K116" s="32">
        <f t="shared" si="129"/>
        <v>385487.6053</v>
      </c>
      <c r="L116" s="32"/>
      <c r="M116" s="32"/>
      <c r="N116" s="32">
        <v>0</v>
      </c>
      <c r="O116" s="32">
        <f t="shared" si="140"/>
        <v>385487.6053</v>
      </c>
      <c r="P116" s="33">
        <v>3575045.33</v>
      </c>
      <c r="R116" s="32">
        <f t="shared" si="141"/>
        <v>3575045.33</v>
      </c>
      <c r="S116" s="32">
        <f t="shared" ref="S116" si="143">SUM(R105:R116)/12</f>
        <v>3456932.6141666663</v>
      </c>
      <c r="T116" s="29">
        <f t="shared" ref="T116" si="144">+O116/S115</f>
        <v>0.11155553816482931</v>
      </c>
    </row>
    <row r="117" spans="3:29" hidden="1" x14ac:dyDescent="0.2">
      <c r="C117" s="15">
        <v>41122</v>
      </c>
      <c r="D117" s="51">
        <v>0.14130000000000001</v>
      </c>
      <c r="E117" s="52">
        <v>0</v>
      </c>
      <c r="F117" s="25">
        <f t="shared" ref="F117" si="145">+D117-E117</f>
        <v>0.14130000000000001</v>
      </c>
      <c r="G117" s="53">
        <v>2516047</v>
      </c>
      <c r="I117" s="32">
        <f t="shared" ref="I117" si="146">+G117-H117</f>
        <v>2516047</v>
      </c>
      <c r="J117" s="32">
        <f t="shared" ref="J117" si="147">SUM(I106:I117)/12</f>
        <v>2621268.9166666665</v>
      </c>
      <c r="K117" s="32">
        <f t="shared" ref="K117" si="148">+F117*J117</f>
        <v>370385.29792500002</v>
      </c>
      <c r="L117" s="32"/>
      <c r="M117" s="32"/>
      <c r="N117" s="54">
        <v>0</v>
      </c>
      <c r="O117" s="32">
        <f t="shared" ref="O117" si="149">+K117+N117</f>
        <v>370385.29792500002</v>
      </c>
      <c r="P117" s="54">
        <v>3598947.28</v>
      </c>
      <c r="R117" s="32">
        <f t="shared" ref="R117" si="150">+P117-Q117</f>
        <v>3598947.28</v>
      </c>
      <c r="S117" s="32">
        <f t="shared" ref="S117" si="151">SUM(R106:R117)/12</f>
        <v>3416892.5425</v>
      </c>
      <c r="T117" s="29">
        <f t="shared" ref="T117" si="152">+O117/S116</f>
        <v>0.10714275899019388</v>
      </c>
    </row>
    <row r="118" spans="3:29" hidden="1" x14ac:dyDescent="0.2">
      <c r="C118" s="15">
        <v>41153</v>
      </c>
      <c r="D118" s="51">
        <v>0.1623</v>
      </c>
      <c r="E118" s="52">
        <v>0</v>
      </c>
      <c r="F118" s="25">
        <f t="shared" ref="F118" si="153">+D118-E118</f>
        <v>0.1623</v>
      </c>
      <c r="G118" s="53">
        <v>2217586</v>
      </c>
      <c r="I118" s="32">
        <f t="shared" ref="I118" si="154">+G118-H118</f>
        <v>2217586</v>
      </c>
      <c r="J118" s="32">
        <f t="shared" ref="J118:J123" si="155">SUM(I107:I118)/12</f>
        <v>2612241.75</v>
      </c>
      <c r="K118" s="32">
        <f t="shared" ref="K118" si="156">+F118*J118</f>
        <v>423966.83602500003</v>
      </c>
      <c r="L118" s="32"/>
      <c r="M118" s="32"/>
      <c r="N118" s="54">
        <v>0</v>
      </c>
      <c r="O118" s="32">
        <f t="shared" ref="O118" si="157">+K118+N118</f>
        <v>423966.83602500003</v>
      </c>
      <c r="P118" s="54">
        <v>2760296.06</v>
      </c>
      <c r="R118" s="32">
        <f t="shared" ref="R118" si="158">+P118-Q118</f>
        <v>2760296.06</v>
      </c>
      <c r="S118" s="32">
        <f t="shared" ref="S118:S123" si="159">SUM(R107:R118)/12</f>
        <v>3391047.0333333332</v>
      </c>
      <c r="T118" s="29">
        <f t="shared" ref="T118" si="160">+O118/S117</f>
        <v>0.12407965154057812</v>
      </c>
    </row>
    <row r="119" spans="3:29" hidden="1" x14ac:dyDescent="0.2">
      <c r="C119" s="15">
        <v>41183</v>
      </c>
      <c r="D119" s="51">
        <v>0.1757</v>
      </c>
      <c r="E119" s="52">
        <v>0</v>
      </c>
      <c r="F119" s="25">
        <f t="shared" ref="F119" si="161">+D119-E119</f>
        <v>0.1757</v>
      </c>
      <c r="G119" s="53">
        <v>2342637</v>
      </c>
      <c r="I119" s="32">
        <f t="shared" ref="I119" si="162">+G119-H119</f>
        <v>2342637</v>
      </c>
      <c r="J119" s="32">
        <f t="shared" si="155"/>
        <v>2612369.3333333335</v>
      </c>
      <c r="K119" s="32">
        <f t="shared" ref="K119" si="163">+F119*J119</f>
        <v>458993.2918666667</v>
      </c>
      <c r="L119" s="32"/>
      <c r="M119" s="32"/>
      <c r="N119" s="54">
        <v>0</v>
      </c>
      <c r="O119" s="32">
        <f t="shared" ref="O119" si="164">+K119+N119</f>
        <v>458993.2918666667</v>
      </c>
      <c r="P119" s="54">
        <v>2893661.89</v>
      </c>
      <c r="R119" s="32">
        <f t="shared" ref="R119" si="165">+P119-Q119</f>
        <v>2893661.89</v>
      </c>
      <c r="S119" s="32">
        <f t="shared" si="159"/>
        <v>3396871.4408333334</v>
      </c>
      <c r="T119" s="29">
        <f t="shared" ref="T119" si="166">+O119/S118</f>
        <v>0.13535444579649053</v>
      </c>
    </row>
    <row r="120" spans="3:29" hidden="1" x14ac:dyDescent="0.2">
      <c r="C120" s="15">
        <v>41214</v>
      </c>
      <c r="D120" s="51">
        <v>0.18229999999999999</v>
      </c>
      <c r="E120" s="52">
        <v>0</v>
      </c>
      <c r="F120" s="25">
        <f t="shared" ref="F120" si="167">+D120-E120</f>
        <v>0.18229999999999999</v>
      </c>
      <c r="G120" s="53">
        <v>2951708</v>
      </c>
      <c r="I120" s="32">
        <f t="shared" ref="I120" si="168">+G120-H120</f>
        <v>2951708</v>
      </c>
      <c r="J120" s="32">
        <f t="shared" si="155"/>
        <v>2625371.6666666665</v>
      </c>
      <c r="K120" s="32">
        <f t="shared" ref="K120" si="169">+F120*J120</f>
        <v>478605.25483333325</v>
      </c>
      <c r="L120" s="32"/>
      <c r="M120" s="32"/>
      <c r="N120" s="54">
        <v>0</v>
      </c>
      <c r="O120" s="32">
        <f t="shared" ref="O120" si="170">+K120+N120</f>
        <v>478605.25483333325</v>
      </c>
      <c r="P120" s="54">
        <v>3724856.25</v>
      </c>
      <c r="R120" s="32">
        <f t="shared" ref="R120" si="171">+P120-Q120</f>
        <v>3724856.25</v>
      </c>
      <c r="S120" s="32">
        <f t="shared" si="159"/>
        <v>3413006.8375000004</v>
      </c>
      <c r="T120" s="29">
        <f t="shared" ref="T120" si="172">+O120/S119</f>
        <v>0.14089589882033332</v>
      </c>
    </row>
    <row r="121" spans="3:29" hidden="1" x14ac:dyDescent="0.2">
      <c r="C121" s="15">
        <v>41244</v>
      </c>
      <c r="D121" s="51">
        <v>0.14610000000000001</v>
      </c>
      <c r="E121" s="52">
        <v>0</v>
      </c>
      <c r="F121" s="25">
        <f t="shared" ref="F121" si="173">+D121-E121</f>
        <v>0.14610000000000001</v>
      </c>
      <c r="G121" s="53">
        <v>3071075</v>
      </c>
      <c r="I121" s="32">
        <f t="shared" ref="I121" si="174">+G121-H121</f>
        <v>3071075</v>
      </c>
      <c r="J121" s="32">
        <f t="shared" si="155"/>
        <v>2616819.1666666665</v>
      </c>
      <c r="K121" s="32">
        <f t="shared" ref="K121" si="175">+F121*J121</f>
        <v>382317.28025000001</v>
      </c>
      <c r="L121" s="32"/>
      <c r="M121" s="32"/>
      <c r="N121" s="54">
        <v>0</v>
      </c>
      <c r="O121" s="32">
        <f t="shared" ref="O121" si="176">+K121+N121</f>
        <v>382317.28025000001</v>
      </c>
      <c r="P121" s="54">
        <v>3595070.66</v>
      </c>
      <c r="R121" s="32">
        <f t="shared" ref="R121" si="177">+P121-Q121</f>
        <v>3595070.66</v>
      </c>
      <c r="S121" s="32">
        <f t="shared" si="159"/>
        <v>3368792.1949999989</v>
      </c>
      <c r="T121" s="29">
        <f t="shared" ref="T121" si="178">+O121/S120</f>
        <v>0.112017730538754</v>
      </c>
    </row>
    <row r="122" spans="3:29" hidden="1" x14ac:dyDescent="0.2">
      <c r="C122" s="15">
        <v>41275</v>
      </c>
      <c r="D122" s="51">
        <v>0.13489999999999999</v>
      </c>
      <c r="E122" s="52">
        <v>0</v>
      </c>
      <c r="F122" s="25">
        <f t="shared" ref="F122" si="179">+D122-E122</f>
        <v>0.13489999999999999</v>
      </c>
      <c r="G122" s="53">
        <v>3226392</v>
      </c>
      <c r="I122" s="32">
        <f t="shared" ref="I122" si="180">+G122-H122</f>
        <v>3226392</v>
      </c>
      <c r="J122" s="32">
        <f t="shared" si="155"/>
        <v>2608325.3333333335</v>
      </c>
      <c r="K122" s="32">
        <f t="shared" ref="K122" si="181">+F122*J122</f>
        <v>351863.08746666665</v>
      </c>
      <c r="L122" s="32"/>
      <c r="M122" s="32"/>
      <c r="N122" s="54">
        <v>0</v>
      </c>
      <c r="O122" s="32">
        <f t="shared" ref="O122" si="182">+K122+N122</f>
        <v>351863.08746666665</v>
      </c>
      <c r="P122" s="54">
        <v>4642246.79</v>
      </c>
      <c r="R122" s="32">
        <f t="shared" ref="R122" si="183">+P122-Q122</f>
        <v>4642246.79</v>
      </c>
      <c r="S122" s="32">
        <f t="shared" si="159"/>
        <v>3391523.4924999997</v>
      </c>
      <c r="T122" s="29">
        <f t="shared" ref="T122" si="184">+O122/S121</f>
        <v>0.10444784572610503</v>
      </c>
    </row>
    <row r="123" spans="3:29" hidden="1" x14ac:dyDescent="0.2">
      <c r="C123" s="15">
        <v>41306</v>
      </c>
      <c r="D123" s="51">
        <v>0.12609999999999999</v>
      </c>
      <c r="E123" s="52">
        <v>0</v>
      </c>
      <c r="F123" s="25">
        <f t="shared" ref="F123" si="185">+D123-E123</f>
        <v>0.12609999999999999</v>
      </c>
      <c r="G123" s="53">
        <v>2916221</v>
      </c>
      <c r="I123" s="33">
        <f t="shared" ref="I123" si="186">+G123-H123</f>
        <v>2916221</v>
      </c>
      <c r="J123" s="33">
        <f t="shared" si="155"/>
        <v>2598923.0833333335</v>
      </c>
      <c r="K123" s="33">
        <f t="shared" ref="K123" si="187">+F123*J123</f>
        <v>327724.20080833335</v>
      </c>
      <c r="L123" s="33"/>
      <c r="M123" s="33"/>
      <c r="N123" s="54">
        <v>0</v>
      </c>
      <c r="O123" s="33">
        <f t="shared" ref="O123" si="188">+K123+N123</f>
        <v>327724.20080833335</v>
      </c>
      <c r="P123" s="54">
        <v>3893707.6</v>
      </c>
      <c r="R123" s="32">
        <f t="shared" ref="R123" si="189">+P123-Q123</f>
        <v>3893707.6</v>
      </c>
      <c r="S123" s="32">
        <f t="shared" si="159"/>
        <v>3356326.5741666667</v>
      </c>
      <c r="T123" s="29">
        <f t="shared" ref="T123" si="190">+O123/S122</f>
        <v>9.6630379100442976E-2</v>
      </c>
    </row>
    <row r="124" spans="3:29" hidden="1" x14ac:dyDescent="0.2">
      <c r="C124" s="15">
        <v>41334</v>
      </c>
      <c r="D124" s="51">
        <v>0.14369999999999999</v>
      </c>
      <c r="E124" s="52">
        <v>0</v>
      </c>
      <c r="F124" s="25">
        <f t="shared" ref="F124" si="191">+D124-E124</f>
        <v>0.14369999999999999</v>
      </c>
      <c r="G124" s="53">
        <v>3064072</v>
      </c>
      <c r="I124" s="33">
        <f t="shared" ref="I124" si="192">+G124-H124</f>
        <v>3064072</v>
      </c>
      <c r="J124" s="33">
        <f t="shared" ref="J124" si="193">SUM(I113:I124)/12</f>
        <v>2653217.0833333335</v>
      </c>
      <c r="K124" s="33">
        <f t="shared" ref="K124" si="194">+F124*J124</f>
        <v>381267.29487500002</v>
      </c>
      <c r="L124" s="33"/>
      <c r="M124" s="33"/>
      <c r="N124" s="54">
        <v>0</v>
      </c>
      <c r="O124" s="33">
        <f t="shared" ref="O124" si="195">+K124+N124</f>
        <v>381267.29487500002</v>
      </c>
      <c r="P124" s="54">
        <v>3770404.61</v>
      </c>
      <c r="R124" s="32">
        <f t="shared" ref="R124" si="196">+P124-Q124</f>
        <v>3770404.61</v>
      </c>
      <c r="S124" s="32">
        <f t="shared" ref="S124" si="197">SUM(R113:R124)/12</f>
        <v>3423102.7983333333</v>
      </c>
      <c r="T124" s="29">
        <f t="shared" ref="T124" si="198">+O124/S123</f>
        <v>0.11359660225246819</v>
      </c>
    </row>
    <row r="125" spans="3:29" hidden="1" x14ac:dyDescent="0.2">
      <c r="C125" s="15">
        <v>41365</v>
      </c>
      <c r="D125" s="51">
        <v>0.14269999999999999</v>
      </c>
      <c r="E125" s="52">
        <v>0</v>
      </c>
      <c r="F125" s="25">
        <f t="shared" ref="F125" si="199">+D125-E125</f>
        <v>0.14269999999999999</v>
      </c>
      <c r="G125" s="53">
        <v>2250724</v>
      </c>
      <c r="I125" s="33">
        <f t="shared" ref="I125" si="200">+G125-H125</f>
        <v>2250724</v>
      </c>
      <c r="J125" s="33">
        <f t="shared" ref="J125" si="201">SUM(I114:I125)/12</f>
        <v>2666722.9166666665</v>
      </c>
      <c r="K125" s="33">
        <f t="shared" ref="K125" si="202">+F125*J125</f>
        <v>380541.3602083333</v>
      </c>
      <c r="L125" s="33"/>
      <c r="M125" s="33"/>
      <c r="N125" s="54">
        <v>0</v>
      </c>
      <c r="O125" s="33">
        <f t="shared" ref="O125" si="203">+K125+N125</f>
        <v>380541.3602083333</v>
      </c>
      <c r="P125" s="54">
        <v>3085729.56</v>
      </c>
      <c r="R125" s="32">
        <f t="shared" ref="R125" si="204">+P125-Q125</f>
        <v>3085729.56</v>
      </c>
      <c r="S125" s="32">
        <f t="shared" ref="S125" si="205">SUM(R114:R125)/12</f>
        <v>3446873.0716666668</v>
      </c>
      <c r="T125" s="29">
        <f t="shared" ref="T125" si="206">+O125/S124</f>
        <v>0.11116854579816131</v>
      </c>
    </row>
    <row r="126" spans="3:29" hidden="1" x14ac:dyDescent="0.2">
      <c r="C126" s="15">
        <v>41395</v>
      </c>
      <c r="D126" s="51">
        <v>0.1797</v>
      </c>
      <c r="E126" s="52">
        <v>0</v>
      </c>
      <c r="F126" s="25">
        <f t="shared" ref="F126" si="207">+D126-E126</f>
        <v>0.1797</v>
      </c>
      <c r="G126" s="53">
        <v>2239113</v>
      </c>
      <c r="I126" s="33">
        <f t="shared" ref="I126" si="208">+G126-H126</f>
        <v>2239113</v>
      </c>
      <c r="J126" s="33">
        <f t="shared" ref="J126" si="209">SUM(I115:I126)/12</f>
        <v>2663856.1666666665</v>
      </c>
      <c r="K126" s="33">
        <f t="shared" ref="K126" si="210">+F126*J126</f>
        <v>478694.95314999996</v>
      </c>
      <c r="L126" s="33"/>
      <c r="M126" s="33"/>
      <c r="N126" s="54">
        <v>0</v>
      </c>
      <c r="O126" s="33">
        <f t="shared" ref="O126" si="211">+K126+N126</f>
        <v>478694.95314999996</v>
      </c>
      <c r="P126" s="54">
        <v>2800324.79</v>
      </c>
      <c r="R126" s="32">
        <f t="shared" ref="R126" si="212">+P126-Q126</f>
        <v>2800324.79</v>
      </c>
      <c r="S126" s="32">
        <f t="shared" ref="S126" si="213">SUM(R115:R126)/12</f>
        <v>3426808.9675000007</v>
      </c>
      <c r="T126" s="29">
        <f t="shared" ref="T126" si="214">+O126/S125</f>
        <v>0.13887803327742979</v>
      </c>
    </row>
    <row r="127" spans="3:29" hidden="1" x14ac:dyDescent="0.2">
      <c r="C127" s="15">
        <v>41426</v>
      </c>
      <c r="D127" s="51">
        <v>0.1709</v>
      </c>
      <c r="E127" s="52">
        <v>0</v>
      </c>
      <c r="F127" s="52">
        <f t="shared" ref="F127" si="215">+D127-E127</f>
        <v>0.1709</v>
      </c>
      <c r="G127" s="53">
        <v>2432452</v>
      </c>
      <c r="H127" s="38"/>
      <c r="I127" s="54">
        <f t="shared" ref="I127" si="216">+G127-H127</f>
        <v>2432452</v>
      </c>
      <c r="J127" s="54">
        <f t="shared" ref="J127" si="217">SUM(I116:I127)/12</f>
        <v>2661176.6666666665</v>
      </c>
      <c r="K127" s="54">
        <f t="shared" ref="K127" si="218">+F127*J127</f>
        <v>454795.09233333328</v>
      </c>
      <c r="L127" s="54"/>
      <c r="M127" s="54"/>
      <c r="N127" s="54">
        <v>0</v>
      </c>
      <c r="O127" s="54">
        <f t="shared" ref="O127" si="219">+K127+N127</f>
        <v>454795.09233333328</v>
      </c>
      <c r="P127" s="54">
        <v>3151321.31</v>
      </c>
      <c r="R127" s="32">
        <f t="shared" ref="R127" si="220">+P127-Q127</f>
        <v>3151321.31</v>
      </c>
      <c r="S127" s="32">
        <f t="shared" ref="S127" si="221">SUM(R116:R127)/12</f>
        <v>3457634.3441666667</v>
      </c>
      <c r="T127" s="29">
        <f t="shared" ref="T127" si="222">+O127/S126</f>
        <v>0.13271679181612658</v>
      </c>
      <c r="V127" s="55"/>
      <c r="W127" s="55"/>
      <c r="X127" s="55"/>
    </row>
    <row r="128" spans="3:29" hidden="1" x14ac:dyDescent="0.2">
      <c r="C128" s="15">
        <v>41456</v>
      </c>
      <c r="D128" s="51">
        <v>0.15770000000000001</v>
      </c>
      <c r="E128" s="52">
        <v>0</v>
      </c>
      <c r="F128" s="52">
        <f t="shared" ref="F128" si="223">+D128-E128</f>
        <v>0.15770000000000001</v>
      </c>
      <c r="G128" s="53">
        <v>2434308</v>
      </c>
      <c r="H128" s="38"/>
      <c r="I128" s="54">
        <f t="shared" ref="I128" si="224">+G128-H128</f>
        <v>2434308</v>
      </c>
      <c r="J128" s="54">
        <f t="shared" ref="J128" si="225">SUM(I117:I128)/12</f>
        <v>2638527.9166666665</v>
      </c>
      <c r="K128" s="54">
        <f t="shared" ref="K128" si="226">+F128*J128</f>
        <v>416095.85245833331</v>
      </c>
      <c r="L128" s="54"/>
      <c r="M128" s="54"/>
      <c r="N128" s="54">
        <v>-86631</v>
      </c>
      <c r="O128" s="54">
        <f t="shared" ref="O128" si="227">+K128+N128</f>
        <v>329464.85245833331</v>
      </c>
      <c r="P128" s="54">
        <v>3144887.97</v>
      </c>
      <c r="R128" s="32">
        <f t="shared" ref="R128" si="228">+P128-Q128</f>
        <v>3144887.97</v>
      </c>
      <c r="S128" s="32">
        <f t="shared" ref="S128" si="229">SUM(R117:R128)/12</f>
        <v>3421787.8975000004</v>
      </c>
      <c r="T128" s="29">
        <f t="shared" ref="T128" si="230">+O128/S127</f>
        <v>9.528620428420069E-2</v>
      </c>
      <c r="V128" s="58">
        <v>-86631</v>
      </c>
      <c r="W128" s="58">
        <v>0</v>
      </c>
      <c r="X128" s="59">
        <f t="shared" ref="X128:X133" si="231">SUM(V128:W128)</f>
        <v>-86631</v>
      </c>
      <c r="Y128" s="60" t="s">
        <v>68</v>
      </c>
      <c r="Z128" s="61"/>
      <c r="AA128" s="61"/>
      <c r="AB128" s="61"/>
      <c r="AC128" s="62"/>
    </row>
    <row r="129" spans="3:29" hidden="1" x14ac:dyDescent="0.2">
      <c r="C129" s="15">
        <v>41487</v>
      </c>
      <c r="D129" s="51">
        <v>0.15490000000000001</v>
      </c>
      <c r="E129" s="52">
        <v>0</v>
      </c>
      <c r="F129" s="52">
        <f t="shared" ref="F129" si="232">+D129-E129</f>
        <v>0.15490000000000001</v>
      </c>
      <c r="G129" s="53">
        <v>2428129</v>
      </c>
      <c r="H129" s="38"/>
      <c r="I129" s="54">
        <f t="shared" ref="I129" si="233">+G129-H129</f>
        <v>2428129</v>
      </c>
      <c r="J129" s="54">
        <f t="shared" ref="J129" si="234">SUM(I118:I129)/12</f>
        <v>2631201.4166666665</v>
      </c>
      <c r="K129" s="54">
        <f t="shared" ref="K129" si="235">+F129*J129</f>
        <v>407573.09944166668</v>
      </c>
      <c r="L129" s="54"/>
      <c r="M129" s="54"/>
      <c r="N129" s="54">
        <v>-72539</v>
      </c>
      <c r="O129" s="54">
        <f t="shared" ref="O129" si="236">+K129+N129</f>
        <v>335034.09944166668</v>
      </c>
      <c r="P129" s="54">
        <v>3137473.57</v>
      </c>
      <c r="R129" s="32">
        <f t="shared" ref="R129" si="237">+P129-Q129</f>
        <v>3137473.57</v>
      </c>
      <c r="S129" s="32">
        <f t="shared" ref="S129" si="238">SUM(R118:R129)/12</f>
        <v>3383331.7549999994</v>
      </c>
      <c r="T129" s="29">
        <f t="shared" ref="T129" si="239">+O129/S128</f>
        <v>9.7912000824611795E-2</v>
      </c>
      <c r="V129" s="58">
        <v>-86631</v>
      </c>
      <c r="W129" s="58">
        <v>14092</v>
      </c>
      <c r="X129" s="59">
        <f t="shared" si="231"/>
        <v>-72539</v>
      </c>
      <c r="Y129" s="60" t="s">
        <v>69</v>
      </c>
      <c r="Z129" s="61"/>
      <c r="AA129" s="61"/>
      <c r="AB129" s="61"/>
      <c r="AC129" s="62"/>
    </row>
    <row r="130" spans="3:29" hidden="1" x14ac:dyDescent="0.2">
      <c r="C130" s="15">
        <v>41518</v>
      </c>
      <c r="D130" s="51">
        <v>0.14929999999999999</v>
      </c>
      <c r="E130" s="52">
        <v>0</v>
      </c>
      <c r="F130" s="52">
        <f t="shared" ref="F130" si="240">+D130-E130</f>
        <v>0.14929999999999999</v>
      </c>
      <c r="G130" s="53">
        <v>2130317</v>
      </c>
      <c r="H130" s="38"/>
      <c r="I130" s="54">
        <f t="shared" ref="I130" si="241">+G130-H130</f>
        <v>2130317</v>
      </c>
      <c r="J130" s="54">
        <f t="shared" ref="J130" si="242">SUM(I119:I130)/12</f>
        <v>2623929</v>
      </c>
      <c r="K130" s="54">
        <f t="shared" ref="K130" si="243">+F130*J130</f>
        <v>391752.59969999996</v>
      </c>
      <c r="L130" s="54"/>
      <c r="M130" s="54"/>
      <c r="N130" s="54">
        <v>-72539</v>
      </c>
      <c r="O130" s="54">
        <f t="shared" ref="O130" si="244">+K130+N130</f>
        <v>319213.59969999996</v>
      </c>
      <c r="P130" s="54">
        <v>2896034.94</v>
      </c>
      <c r="R130" s="32">
        <f t="shared" ref="R130" si="245">+P130-Q130</f>
        <v>2896034.94</v>
      </c>
      <c r="S130" s="32">
        <f t="shared" ref="S130" si="246">SUM(R119:R130)/12</f>
        <v>3394643.3283333331</v>
      </c>
      <c r="T130" s="29">
        <f t="shared" ref="T130" si="247">+O130/S129</f>
        <v>9.4348891215960587E-2</v>
      </c>
      <c r="V130" s="58">
        <v>-86631</v>
      </c>
      <c r="W130" s="58">
        <v>14092</v>
      </c>
      <c r="X130" s="59">
        <f t="shared" si="231"/>
        <v>-72539</v>
      </c>
      <c r="Y130" s="60" t="s">
        <v>69</v>
      </c>
      <c r="Z130" s="61"/>
      <c r="AA130" s="61"/>
      <c r="AB130" s="61"/>
      <c r="AC130" s="62"/>
    </row>
    <row r="131" spans="3:29" hidden="1" x14ac:dyDescent="0.2">
      <c r="C131" s="15">
        <v>41548</v>
      </c>
      <c r="D131" s="51">
        <v>0.16689999999999999</v>
      </c>
      <c r="E131" s="52">
        <v>0</v>
      </c>
      <c r="F131" s="52">
        <f t="shared" ref="F131" si="248">+D131-E131</f>
        <v>0.16689999999999999</v>
      </c>
      <c r="G131" s="53">
        <v>2065805</v>
      </c>
      <c r="H131" s="38"/>
      <c r="I131" s="54">
        <f t="shared" ref="I131" si="249">+G131-H131</f>
        <v>2065805</v>
      </c>
      <c r="J131" s="54">
        <f t="shared" ref="J131" si="250">SUM(I120:I131)/12</f>
        <v>2600859.6666666665</v>
      </c>
      <c r="K131" s="54">
        <f t="shared" ref="K131" si="251">+F131*J131</f>
        <v>434083.47836666665</v>
      </c>
      <c r="L131" s="54"/>
      <c r="M131" s="54"/>
      <c r="N131" s="54">
        <v>-72539</v>
      </c>
      <c r="O131" s="54">
        <f t="shared" ref="O131" si="252">+K131+N131</f>
        <v>361544.47836666665</v>
      </c>
      <c r="P131" s="54">
        <v>2683024.75</v>
      </c>
      <c r="R131" s="32">
        <f t="shared" ref="R131" si="253">+P131-Q131</f>
        <v>2683024.75</v>
      </c>
      <c r="S131" s="32">
        <f t="shared" ref="S131" si="254">SUM(R120:R131)/12</f>
        <v>3377090.2333333325</v>
      </c>
      <c r="T131" s="29">
        <f t="shared" ref="T131" si="255">+O131/S130</f>
        <v>0.10650440809172551</v>
      </c>
      <c r="V131" s="58">
        <v>-86631</v>
      </c>
      <c r="W131" s="58">
        <v>14092</v>
      </c>
      <c r="X131" s="59">
        <f t="shared" si="231"/>
        <v>-72539</v>
      </c>
      <c r="Y131" s="60" t="s">
        <v>69</v>
      </c>
      <c r="Z131" s="61"/>
      <c r="AA131" s="61"/>
      <c r="AB131" s="61"/>
      <c r="AC131" s="62"/>
    </row>
    <row r="132" spans="3:29" hidden="1" x14ac:dyDescent="0.2">
      <c r="C132" s="15">
        <v>41579</v>
      </c>
      <c r="D132" s="51">
        <v>0.17430000000000001</v>
      </c>
      <c r="E132" s="52">
        <v>0</v>
      </c>
      <c r="F132" s="52">
        <f t="shared" ref="F132" si="256">+D132-E132</f>
        <v>0.17430000000000001</v>
      </c>
      <c r="G132" s="53">
        <v>2694276</v>
      </c>
      <c r="H132" s="38"/>
      <c r="I132" s="54">
        <f t="shared" ref="I132" si="257">+G132-H132</f>
        <v>2694276</v>
      </c>
      <c r="J132" s="54">
        <f t="shared" ref="J132" si="258">SUM(I121:I132)/12</f>
        <v>2579407</v>
      </c>
      <c r="K132" s="54">
        <f t="shared" ref="K132" si="259">+F132*J132</f>
        <v>449590.64010000002</v>
      </c>
      <c r="L132" s="54"/>
      <c r="M132" s="54"/>
      <c r="N132" s="54">
        <v>-72539</v>
      </c>
      <c r="O132" s="54">
        <f t="shared" ref="O132" si="260">+K132+N132</f>
        <v>377051.64010000002</v>
      </c>
      <c r="P132" s="54">
        <v>3151600.96</v>
      </c>
      <c r="R132" s="32">
        <f t="shared" ref="R132" si="261">+P132-Q132</f>
        <v>3151600.96</v>
      </c>
      <c r="S132" s="32">
        <f t="shared" ref="S132" si="262">SUM(R121:R132)/12</f>
        <v>3329318.9591666665</v>
      </c>
      <c r="T132" s="29">
        <f t="shared" ref="T132" si="263">+O132/S131</f>
        <v>0.1116498565476096</v>
      </c>
      <c r="V132" s="58">
        <v>-86631</v>
      </c>
      <c r="W132" s="58">
        <v>14092</v>
      </c>
      <c r="X132" s="59">
        <f t="shared" si="231"/>
        <v>-72539</v>
      </c>
      <c r="Y132" s="60" t="s">
        <v>69</v>
      </c>
      <c r="Z132" s="61"/>
      <c r="AA132" s="61"/>
      <c r="AB132" s="61"/>
      <c r="AC132" s="62"/>
    </row>
    <row r="133" spans="3:29" hidden="1" x14ac:dyDescent="0.2">
      <c r="C133" s="15">
        <v>41609</v>
      </c>
      <c r="D133" s="51">
        <v>0.1454</v>
      </c>
      <c r="E133" s="52">
        <v>0</v>
      </c>
      <c r="F133" s="52">
        <f t="shared" ref="F133" si="264">+D133-E133</f>
        <v>0.1454</v>
      </c>
      <c r="G133" s="53">
        <v>3126509</v>
      </c>
      <c r="H133" s="38"/>
      <c r="I133" s="54">
        <f t="shared" ref="I133" si="265">+G133-H133</f>
        <v>3126509</v>
      </c>
      <c r="J133" s="54">
        <f t="shared" ref="J133" si="266">SUM(I122:I133)/12</f>
        <v>2584026.5</v>
      </c>
      <c r="K133" s="54">
        <f t="shared" ref="K133" si="267">+F133*J133</f>
        <v>375717.45309999998</v>
      </c>
      <c r="L133" s="54"/>
      <c r="M133" s="54"/>
      <c r="N133" s="54">
        <v>-72539</v>
      </c>
      <c r="O133" s="54">
        <f t="shared" ref="O133" si="268">+K133+N133</f>
        <v>303178.45309999998</v>
      </c>
      <c r="P133" s="54">
        <v>4087433.87</v>
      </c>
      <c r="R133" s="32">
        <f t="shared" ref="R133" si="269">+P133-Q133</f>
        <v>4087433.87</v>
      </c>
      <c r="S133" s="32">
        <f t="shared" ref="S133" si="270">SUM(R122:R133)/12</f>
        <v>3370349.2266666666</v>
      </c>
      <c r="T133" s="29">
        <f t="shared" ref="T133" si="271">+O133/S132</f>
        <v>9.1063204462658628E-2</v>
      </c>
      <c r="V133" s="58">
        <v>-86631</v>
      </c>
      <c r="W133" s="58">
        <v>14092</v>
      </c>
      <c r="X133" s="59">
        <f t="shared" si="231"/>
        <v>-72539</v>
      </c>
      <c r="Y133" s="60" t="s">
        <v>69</v>
      </c>
      <c r="Z133" s="61"/>
      <c r="AA133" s="61"/>
      <c r="AB133" s="61"/>
      <c r="AC133" s="62"/>
    </row>
    <row r="134" spans="3:29" hidden="1" x14ac:dyDescent="0.2">
      <c r="C134" s="15">
        <v>41640</v>
      </c>
      <c r="D134" s="51">
        <v>0.10920000000000001</v>
      </c>
      <c r="E134" s="52">
        <v>0</v>
      </c>
      <c r="F134" s="52">
        <f t="shared" ref="F134" si="272">+D134-E134</f>
        <v>0.10920000000000001</v>
      </c>
      <c r="G134" s="53">
        <v>4015375</v>
      </c>
      <c r="H134" s="38"/>
      <c r="I134" s="54">
        <f t="shared" ref="I134" si="273">+G134-H134</f>
        <v>4015375</v>
      </c>
      <c r="J134" s="54">
        <f t="shared" ref="J134" si="274">SUM(I123:I134)/12</f>
        <v>2649775.0833333335</v>
      </c>
      <c r="K134" s="54">
        <f t="shared" ref="K134" si="275">+F134*J134</f>
        <v>289355.43910000002</v>
      </c>
      <c r="L134" s="54"/>
      <c r="M134" s="54"/>
      <c r="N134" s="54">
        <v>14092</v>
      </c>
      <c r="O134" s="54">
        <f t="shared" ref="O134" si="276">+K134+N134</f>
        <v>303447.43910000002</v>
      </c>
      <c r="P134" s="54">
        <v>5132307.5999999996</v>
      </c>
      <c r="R134" s="32">
        <f t="shared" ref="R134" si="277">+P134-Q134</f>
        <v>5132307.5999999996</v>
      </c>
      <c r="S134" s="32">
        <f t="shared" ref="S134" si="278">SUM(R123:R134)/12</f>
        <v>3411187.6274999999</v>
      </c>
      <c r="T134" s="29">
        <f t="shared" ref="T134" si="279">+O134/S133</f>
        <v>9.0034420379669314E-2</v>
      </c>
      <c r="V134" s="58">
        <v>0</v>
      </c>
      <c r="W134" s="58">
        <v>14092</v>
      </c>
      <c r="X134" s="59">
        <f t="shared" ref="X134" si="280">SUM(V134:W134)</f>
        <v>14092</v>
      </c>
      <c r="Y134" s="60" t="s">
        <v>70</v>
      </c>
      <c r="Z134" s="61"/>
      <c r="AA134" s="61"/>
      <c r="AB134" s="61"/>
      <c r="AC134" s="62"/>
    </row>
    <row r="135" spans="3:29" hidden="1" x14ac:dyDescent="0.2">
      <c r="C135" s="15">
        <v>41671</v>
      </c>
      <c r="D135" s="51">
        <v>5.4399999999999997E-2</v>
      </c>
      <c r="E135" s="52">
        <v>0</v>
      </c>
      <c r="F135" s="52">
        <f t="shared" ref="F135" si="281">+D135-E135</f>
        <v>5.4399999999999997E-2</v>
      </c>
      <c r="G135" s="53">
        <v>3131762</v>
      </c>
      <c r="H135" s="38"/>
      <c r="I135" s="54">
        <f t="shared" ref="I135" si="282">+G135-H135</f>
        <v>3131762</v>
      </c>
      <c r="J135" s="54">
        <f t="shared" ref="J135" si="283">SUM(I124:I135)/12</f>
        <v>2667736.8333333335</v>
      </c>
      <c r="K135" s="54">
        <f t="shared" ref="K135" si="284">+F135*J135</f>
        <v>145124.88373333332</v>
      </c>
      <c r="L135" s="54"/>
      <c r="M135" s="54"/>
      <c r="N135" s="54">
        <v>0</v>
      </c>
      <c r="O135" s="54">
        <f t="shared" ref="O135" si="285">+K135+N135</f>
        <v>145124.88373333332</v>
      </c>
      <c r="P135" s="54">
        <v>4369861.9800000004</v>
      </c>
      <c r="R135" s="32">
        <f t="shared" ref="R135" si="286">+P135-Q135</f>
        <v>4369861.9800000004</v>
      </c>
      <c r="S135" s="32">
        <f t="shared" ref="S135" si="287">SUM(R124:R135)/12</f>
        <v>3450867.1591666676</v>
      </c>
      <c r="T135" s="29">
        <f t="shared" ref="T135" si="288">+O135/S134</f>
        <v>4.2543799867054755E-2</v>
      </c>
      <c r="V135" s="56"/>
      <c r="W135" s="56"/>
      <c r="X135" s="57"/>
    </row>
    <row r="136" spans="3:29" hidden="1" x14ac:dyDescent="0.2">
      <c r="C136" s="15">
        <v>41699</v>
      </c>
      <c r="D136" s="51">
        <v>0.1162</v>
      </c>
      <c r="E136" s="52">
        <v>0</v>
      </c>
      <c r="F136" s="52">
        <f t="shared" ref="F136" si="289">+D136-E136</f>
        <v>0.1162</v>
      </c>
      <c r="G136" s="53">
        <v>2986840</v>
      </c>
      <c r="H136" s="38"/>
      <c r="I136" s="54">
        <f t="shared" ref="I136" si="290">+G136-H136</f>
        <v>2986840</v>
      </c>
      <c r="J136" s="54">
        <f t="shared" ref="J136" si="291">SUM(I125:I136)/12</f>
        <v>2661300.8333333335</v>
      </c>
      <c r="K136" s="54">
        <f t="shared" ref="K136" si="292">+F136*J136</f>
        <v>309243.15683333337</v>
      </c>
      <c r="L136" s="54"/>
      <c r="M136" s="54"/>
      <c r="N136" s="54">
        <v>-19814</v>
      </c>
      <c r="O136" s="54">
        <f t="shared" ref="O136" si="293">+K136+N136</f>
        <v>289429.15683333337</v>
      </c>
      <c r="P136" s="54">
        <v>3828196.19</v>
      </c>
      <c r="R136" s="32">
        <f t="shared" ref="R136" si="294">+P136-Q136</f>
        <v>3828196.19</v>
      </c>
      <c r="S136" s="32">
        <f t="shared" ref="S136" si="295">SUM(R125:R136)/12</f>
        <v>3455683.1241666661</v>
      </c>
      <c r="T136" s="29">
        <f t="shared" ref="T136" si="296">+O136/S135</f>
        <v>8.3871428103081819E-2</v>
      </c>
      <c r="V136" s="58">
        <v>-19814</v>
      </c>
      <c r="W136" s="58">
        <v>0</v>
      </c>
      <c r="X136" s="59">
        <f t="shared" ref="X136" si="297">SUM(V136:W136)</f>
        <v>-19814</v>
      </c>
      <c r="Y136" s="60" t="s">
        <v>71</v>
      </c>
      <c r="Z136" s="61"/>
      <c r="AA136" s="61"/>
      <c r="AB136" s="61"/>
      <c r="AC136" s="62"/>
    </row>
    <row r="137" spans="3:29" hidden="1" x14ac:dyDescent="0.2">
      <c r="C137" s="15">
        <v>41730</v>
      </c>
      <c r="D137" s="51">
        <v>0.13469999999999999</v>
      </c>
      <c r="E137" s="52">
        <v>0</v>
      </c>
      <c r="F137" s="52">
        <f t="shared" ref="F137" si="298">+D137-E137</f>
        <v>0.13469999999999999</v>
      </c>
      <c r="G137" s="53">
        <v>2216294</v>
      </c>
      <c r="H137" s="38"/>
      <c r="I137" s="54">
        <f t="shared" ref="I137" si="299">+G137-H137</f>
        <v>2216294</v>
      </c>
      <c r="J137" s="54">
        <f t="shared" ref="J137" si="300">SUM(I126:I137)/12</f>
        <v>2658431.6666666665</v>
      </c>
      <c r="K137" s="54">
        <f t="shared" ref="K137" si="301">+F137*J137</f>
        <v>358090.74549999996</v>
      </c>
      <c r="L137" s="54"/>
      <c r="M137" s="54"/>
      <c r="N137" s="54">
        <v>-19814</v>
      </c>
      <c r="O137" s="54">
        <f t="shared" ref="O137" si="302">+K137+N137</f>
        <v>338276.74549999996</v>
      </c>
      <c r="P137" s="54">
        <v>2887592.37</v>
      </c>
      <c r="R137" s="32">
        <f t="shared" ref="R137" si="303">+P137-Q137</f>
        <v>2887592.37</v>
      </c>
      <c r="S137" s="32">
        <f t="shared" ref="S137" si="304">SUM(R126:R137)/12</f>
        <v>3439171.691666666</v>
      </c>
      <c r="T137" s="29">
        <f t="shared" ref="T137" si="305">+O137/S136</f>
        <v>9.7889978144791556E-2</v>
      </c>
      <c r="V137" s="58">
        <v>-19814</v>
      </c>
      <c r="W137" s="58">
        <v>0</v>
      </c>
      <c r="X137" s="59">
        <f t="shared" ref="X137" si="306">SUM(V137:W137)</f>
        <v>-19814</v>
      </c>
      <c r="Y137" s="60" t="s">
        <v>71</v>
      </c>
      <c r="Z137" s="61"/>
      <c r="AA137" s="61"/>
      <c r="AB137" s="61"/>
      <c r="AC137" s="62"/>
    </row>
    <row r="138" spans="3:29" hidden="1" x14ac:dyDescent="0.2">
      <c r="C138" s="15">
        <v>41760</v>
      </c>
      <c r="D138" s="51">
        <v>0.15840000000000001</v>
      </c>
      <c r="E138" s="52">
        <v>0</v>
      </c>
      <c r="F138" s="52">
        <f t="shared" ref="F138" si="307">+D138-E138</f>
        <v>0.15840000000000001</v>
      </c>
      <c r="G138" s="53">
        <v>2198009</v>
      </c>
      <c r="H138" s="38"/>
      <c r="I138" s="54">
        <f t="shared" ref="I138" si="308">+G138-H138</f>
        <v>2198009</v>
      </c>
      <c r="J138" s="54">
        <f t="shared" ref="J138" si="309">SUM(I127:I138)/12</f>
        <v>2655006.3333333335</v>
      </c>
      <c r="K138" s="54">
        <f t="shared" ref="K138" si="310">+F138*J138</f>
        <v>420553.00320000004</v>
      </c>
      <c r="L138" s="54"/>
      <c r="M138" s="54"/>
      <c r="N138" s="54">
        <v>-19814</v>
      </c>
      <c r="O138" s="54">
        <f t="shared" ref="O138" si="311">+K138+N138</f>
        <v>400739.00320000004</v>
      </c>
      <c r="P138" s="54">
        <v>2941166.01</v>
      </c>
      <c r="R138" s="32">
        <f t="shared" ref="R138" si="312">+P138-Q138</f>
        <v>2941166.01</v>
      </c>
      <c r="S138" s="32">
        <f t="shared" ref="S138" si="313">SUM(R127:R138)/12</f>
        <v>3450908.4599999995</v>
      </c>
      <c r="T138" s="29">
        <f t="shared" ref="T138" si="314">+O138/S137</f>
        <v>0.11652195328631496</v>
      </c>
      <c r="V138" s="58">
        <v>-19814</v>
      </c>
      <c r="W138" s="58">
        <v>0</v>
      </c>
      <c r="X138" s="59">
        <f t="shared" ref="X138" si="315">SUM(V138:W138)</f>
        <v>-19814</v>
      </c>
      <c r="Y138" s="60" t="s">
        <v>71</v>
      </c>
      <c r="Z138" s="61"/>
      <c r="AA138" s="61"/>
      <c r="AB138" s="61"/>
      <c r="AC138" s="62"/>
    </row>
    <row r="139" spans="3:29" hidden="1" x14ac:dyDescent="0.2">
      <c r="C139" s="15">
        <v>41791</v>
      </c>
      <c r="D139" s="51">
        <v>0.15670000000000001</v>
      </c>
      <c r="E139" s="52">
        <v>0</v>
      </c>
      <c r="F139" s="52">
        <f t="shared" ref="F139:F144" si="316">+D139-E139</f>
        <v>0.15670000000000001</v>
      </c>
      <c r="G139" s="53">
        <v>2516965</v>
      </c>
      <c r="H139" s="38"/>
      <c r="I139" s="54">
        <f t="shared" ref="I139:I144" si="317">+G139-H139</f>
        <v>2516965</v>
      </c>
      <c r="J139" s="54">
        <f t="shared" ref="J139:J144" si="318">SUM(I128:I139)/12</f>
        <v>2662049.0833333335</v>
      </c>
      <c r="K139" s="54">
        <f t="shared" ref="K139:K144" si="319">+F139*J139</f>
        <v>417143.09135833336</v>
      </c>
      <c r="L139" s="54"/>
      <c r="M139" s="54"/>
      <c r="N139" s="54">
        <v>-19814</v>
      </c>
      <c r="O139" s="54">
        <f t="shared" ref="O139:O144" si="320">+K139+N139</f>
        <v>397329.09135833336</v>
      </c>
      <c r="P139" s="54">
        <v>3104725.45</v>
      </c>
      <c r="R139" s="32">
        <f t="shared" ref="R139:R144" si="321">+P139-Q139</f>
        <v>3104725.45</v>
      </c>
      <c r="S139" s="32">
        <f t="shared" ref="S139:S144" si="322">SUM(R128:R139)/12</f>
        <v>3447025.4716666671</v>
      </c>
      <c r="T139" s="29">
        <f t="shared" ref="T139:T144" si="323">+O139/S138</f>
        <v>0.11513753435184816</v>
      </c>
      <c r="V139" s="58">
        <v>-19814</v>
      </c>
      <c r="W139" s="58">
        <v>0</v>
      </c>
      <c r="X139" s="59">
        <f t="shared" ref="X139" si="324">SUM(V139:W139)</f>
        <v>-19814</v>
      </c>
      <c r="Y139" s="60" t="s">
        <v>71</v>
      </c>
      <c r="Z139" s="61"/>
      <c r="AA139" s="61"/>
      <c r="AB139" s="61"/>
      <c r="AC139" s="62"/>
    </row>
    <row r="140" spans="3:29" hidden="1" x14ac:dyDescent="0.2">
      <c r="C140" s="15">
        <v>41821</v>
      </c>
      <c r="D140" s="51">
        <v>0.14380000000000001</v>
      </c>
      <c r="E140" s="52">
        <v>0</v>
      </c>
      <c r="F140" s="52">
        <f t="shared" si="316"/>
        <v>0.14380000000000001</v>
      </c>
      <c r="G140" s="53">
        <v>2544514</v>
      </c>
      <c r="H140" s="38"/>
      <c r="I140" s="54">
        <f t="shared" si="317"/>
        <v>2544514</v>
      </c>
      <c r="J140" s="54">
        <f t="shared" si="318"/>
        <v>2671232.9166666665</v>
      </c>
      <c r="K140" s="54">
        <f t="shared" si="319"/>
        <v>384123.29341666668</v>
      </c>
      <c r="L140" s="54"/>
      <c r="M140" s="54"/>
      <c r="N140" s="54">
        <v>-19814</v>
      </c>
      <c r="O140" s="54">
        <f t="shared" si="320"/>
        <v>364309.29341666668</v>
      </c>
      <c r="P140" s="54">
        <v>3310341.6</v>
      </c>
      <c r="R140" s="32">
        <f t="shared" si="321"/>
        <v>3310341.6</v>
      </c>
      <c r="S140" s="32">
        <f t="shared" si="322"/>
        <v>3460813.2741666674</v>
      </c>
      <c r="T140" s="29">
        <f t="shared" si="323"/>
        <v>0.10568801896335275</v>
      </c>
      <c r="V140" s="58">
        <v>-19814</v>
      </c>
      <c r="W140" s="58">
        <v>0</v>
      </c>
      <c r="X140" s="59">
        <f t="shared" ref="X140" si="325">SUM(V140:W140)</f>
        <v>-19814</v>
      </c>
      <c r="Y140" s="60" t="s">
        <v>71</v>
      </c>
      <c r="Z140" s="61"/>
      <c r="AA140" s="61"/>
      <c r="AB140" s="61"/>
      <c r="AC140" s="62"/>
    </row>
    <row r="141" spans="3:29" hidden="1" x14ac:dyDescent="0.2">
      <c r="C141" s="15">
        <v>41852</v>
      </c>
      <c r="D141" s="51">
        <v>0.12620000000000001</v>
      </c>
      <c r="E141" s="52">
        <v>0</v>
      </c>
      <c r="F141" s="52">
        <f t="shared" si="316"/>
        <v>0.12620000000000001</v>
      </c>
      <c r="G141" s="53">
        <v>2578655</v>
      </c>
      <c r="H141" s="38"/>
      <c r="I141" s="54">
        <f t="shared" si="317"/>
        <v>2578655</v>
      </c>
      <c r="J141" s="54">
        <f t="shared" si="318"/>
        <v>2683776.75</v>
      </c>
      <c r="K141" s="54">
        <f t="shared" si="319"/>
        <v>338692.62585000001</v>
      </c>
      <c r="L141" s="54"/>
      <c r="M141" s="54"/>
      <c r="N141" s="54">
        <v>-19814</v>
      </c>
      <c r="O141" s="54">
        <f t="shared" si="320"/>
        <v>318878.62585000001</v>
      </c>
      <c r="P141" s="54">
        <v>3327004.82</v>
      </c>
      <c r="R141" s="32">
        <f t="shared" si="321"/>
        <v>3327004.82</v>
      </c>
      <c r="S141" s="32">
        <f t="shared" si="322"/>
        <v>3476607.5450000004</v>
      </c>
      <c r="T141" s="29">
        <f t="shared" si="323"/>
        <v>9.2139795067904415E-2</v>
      </c>
      <c r="V141" s="58">
        <v>-19814</v>
      </c>
      <c r="W141" s="58">
        <v>0</v>
      </c>
      <c r="X141" s="59">
        <f t="shared" ref="X141" si="326">SUM(V141:W141)</f>
        <v>-19814</v>
      </c>
      <c r="Y141" s="60" t="s">
        <v>71</v>
      </c>
      <c r="Z141" s="61"/>
      <c r="AA141" s="61"/>
      <c r="AB141" s="61"/>
      <c r="AC141" s="62"/>
    </row>
    <row r="142" spans="3:29" hidden="1" x14ac:dyDescent="0.2">
      <c r="C142" s="15">
        <v>41883</v>
      </c>
      <c r="D142" s="51">
        <v>0.1353</v>
      </c>
      <c r="E142" s="52">
        <v>0</v>
      </c>
      <c r="F142" s="52">
        <f t="shared" si="316"/>
        <v>0.1353</v>
      </c>
      <c r="G142" s="53">
        <v>2169281</v>
      </c>
      <c r="H142" s="38"/>
      <c r="I142" s="54">
        <f t="shared" si="317"/>
        <v>2169281</v>
      </c>
      <c r="J142" s="54">
        <f t="shared" si="318"/>
        <v>2687023.75</v>
      </c>
      <c r="K142" s="54">
        <f t="shared" si="319"/>
        <v>363554.31337500003</v>
      </c>
      <c r="L142" s="54"/>
      <c r="M142" s="54"/>
      <c r="N142" s="54">
        <v>0</v>
      </c>
      <c r="O142" s="54">
        <f t="shared" si="320"/>
        <v>363554.31337500003</v>
      </c>
      <c r="P142" s="54">
        <v>2880760.56</v>
      </c>
      <c r="R142" s="32">
        <f t="shared" si="321"/>
        <v>2880760.56</v>
      </c>
      <c r="S142" s="32">
        <f t="shared" si="322"/>
        <v>3475334.68</v>
      </c>
      <c r="T142" s="29">
        <f t="shared" si="323"/>
        <v>0.10457157118520836</v>
      </c>
      <c r="V142" s="63"/>
      <c r="W142" s="63"/>
      <c r="X142" s="57"/>
      <c r="Y142" s="64"/>
    </row>
    <row r="143" spans="3:29" hidden="1" x14ac:dyDescent="0.2">
      <c r="C143" s="15">
        <v>41913</v>
      </c>
      <c r="D143" s="51">
        <v>0.15570000000000001</v>
      </c>
      <c r="E143" s="52">
        <v>0</v>
      </c>
      <c r="F143" s="52">
        <f t="shared" si="316"/>
        <v>0.15570000000000001</v>
      </c>
      <c r="G143" s="53">
        <v>1986486</v>
      </c>
      <c r="H143" s="38"/>
      <c r="I143" s="54">
        <f t="shared" si="317"/>
        <v>1986486</v>
      </c>
      <c r="J143" s="54">
        <f t="shared" si="318"/>
        <v>2680413.8333333335</v>
      </c>
      <c r="K143" s="54">
        <f t="shared" si="319"/>
        <v>417340.43385000003</v>
      </c>
      <c r="L143" s="54"/>
      <c r="M143" s="54"/>
      <c r="N143" s="54">
        <v>0</v>
      </c>
      <c r="O143" s="54">
        <f t="shared" si="320"/>
        <v>417340.43385000003</v>
      </c>
      <c r="P143" s="54">
        <v>2856333.15</v>
      </c>
      <c r="R143" s="32">
        <f t="shared" si="321"/>
        <v>2856333.15</v>
      </c>
      <c r="S143" s="32">
        <f t="shared" si="322"/>
        <v>3489777.0466666669</v>
      </c>
      <c r="T143" s="29">
        <f t="shared" si="323"/>
        <v>0.12008640095923079</v>
      </c>
      <c r="V143" s="63"/>
      <c r="W143" s="63"/>
      <c r="X143" s="57"/>
      <c r="Y143" s="64"/>
    </row>
    <row r="144" spans="3:29" hidden="1" x14ac:dyDescent="0.2">
      <c r="C144" s="15">
        <v>41944</v>
      </c>
      <c r="D144" s="51">
        <v>0.16950000000000001</v>
      </c>
      <c r="E144" s="52">
        <v>0</v>
      </c>
      <c r="F144" s="52">
        <f t="shared" si="316"/>
        <v>0.16950000000000001</v>
      </c>
      <c r="G144" s="53">
        <v>2875985</v>
      </c>
      <c r="H144" s="38"/>
      <c r="I144" s="54">
        <f t="shared" si="317"/>
        <v>2875985</v>
      </c>
      <c r="J144" s="54">
        <f t="shared" si="318"/>
        <v>2695556.25</v>
      </c>
      <c r="K144" s="54">
        <f t="shared" si="319"/>
        <v>456896.78437500005</v>
      </c>
      <c r="L144" s="54"/>
      <c r="M144" s="54"/>
      <c r="N144" s="54">
        <v>0</v>
      </c>
      <c r="O144" s="54">
        <f t="shared" si="320"/>
        <v>456896.78437500005</v>
      </c>
      <c r="P144" s="54">
        <v>3814308.02</v>
      </c>
      <c r="R144" s="32">
        <f t="shared" si="321"/>
        <v>3814308.02</v>
      </c>
      <c r="S144" s="32">
        <f t="shared" si="322"/>
        <v>3545002.6350000002</v>
      </c>
      <c r="T144" s="29">
        <f t="shared" si="323"/>
        <v>0.13092434796412411</v>
      </c>
      <c r="V144" s="63"/>
      <c r="W144" s="63"/>
      <c r="X144" s="57"/>
      <c r="Y144" s="64"/>
    </row>
    <row r="145" spans="3:29" hidden="1" x14ac:dyDescent="0.2">
      <c r="C145" s="15">
        <v>41974</v>
      </c>
      <c r="D145" s="51">
        <v>0.13880000000000001</v>
      </c>
      <c r="E145" s="52">
        <v>0</v>
      </c>
      <c r="F145" s="52">
        <f t="shared" ref="F145" si="327">+D145-E145</f>
        <v>0.13880000000000001</v>
      </c>
      <c r="G145" s="53">
        <v>2935469</v>
      </c>
      <c r="H145" s="38"/>
      <c r="I145" s="54">
        <f t="shared" ref="I145" si="328">+G145-H145</f>
        <v>2935469</v>
      </c>
      <c r="J145" s="54">
        <f t="shared" ref="J145" si="329">SUM(I134:I145)/12</f>
        <v>2679636.25</v>
      </c>
      <c r="K145" s="54">
        <f t="shared" ref="K145" si="330">+F145*J145</f>
        <v>371933.51150000002</v>
      </c>
      <c r="L145" s="54"/>
      <c r="M145" s="54"/>
      <c r="N145" s="54">
        <v>0</v>
      </c>
      <c r="O145" s="54">
        <f t="shared" ref="O145" si="331">+K145+N145</f>
        <v>371933.51150000002</v>
      </c>
      <c r="P145" s="54">
        <v>3607210.21</v>
      </c>
      <c r="R145" s="32">
        <f t="shared" ref="R145" si="332">+P145-Q145</f>
        <v>3607210.21</v>
      </c>
      <c r="S145" s="32">
        <f t="shared" ref="S145" si="333">SUM(R134:R145)/12</f>
        <v>3504983.9966666666</v>
      </c>
      <c r="T145" s="29">
        <f t="shared" ref="T145" si="334">+O145/S144</f>
        <v>0.10491769676780509</v>
      </c>
      <c r="V145" s="63"/>
      <c r="W145" s="63"/>
      <c r="X145" s="57"/>
      <c r="Y145" s="64"/>
    </row>
    <row r="146" spans="3:29" hidden="1" x14ac:dyDescent="0.2">
      <c r="C146" s="15">
        <v>42005</v>
      </c>
      <c r="D146" s="51">
        <v>0.13669999999999999</v>
      </c>
      <c r="E146" s="52">
        <v>0</v>
      </c>
      <c r="F146" s="52">
        <f t="shared" ref="F146" si="335">+D146-E146</f>
        <v>0.13669999999999999</v>
      </c>
      <c r="G146" s="53">
        <v>3429110</v>
      </c>
      <c r="H146" s="38"/>
      <c r="I146" s="54">
        <f t="shared" ref="I146" si="336">+G146-H146</f>
        <v>3429110</v>
      </c>
      <c r="J146" s="54">
        <f t="shared" ref="J146" si="337">SUM(I135:I146)/12</f>
        <v>2630780.8333333335</v>
      </c>
      <c r="K146" s="54">
        <f t="shared" ref="K146" si="338">+F146*J146</f>
        <v>359627.73991666664</v>
      </c>
      <c r="L146" s="54"/>
      <c r="M146" s="54"/>
      <c r="N146" s="54">
        <v>0</v>
      </c>
      <c r="O146" s="54">
        <f t="shared" ref="O146" si="339">+K146+N146</f>
        <v>359627.73991666664</v>
      </c>
      <c r="P146" s="54">
        <v>4385055.1900000004</v>
      </c>
      <c r="R146" s="32">
        <f t="shared" ref="R146" si="340">+P146-Q146</f>
        <v>4385055.1900000004</v>
      </c>
      <c r="S146" s="32">
        <f t="shared" ref="S146" si="341">SUM(R135:R146)/12</f>
        <v>3442712.9624999999</v>
      </c>
      <c r="T146" s="29">
        <f t="shared" ref="T146" si="342">+O146/S145</f>
        <v>0.10260467387545343</v>
      </c>
      <c r="V146" s="63"/>
      <c r="W146" s="63"/>
      <c r="X146" s="57"/>
      <c r="Y146" s="64"/>
    </row>
    <row r="147" spans="3:29" hidden="1" x14ac:dyDescent="0.2">
      <c r="C147" s="15">
        <v>42036</v>
      </c>
      <c r="D147" s="51">
        <v>0.1149</v>
      </c>
      <c r="E147" s="52">
        <v>0</v>
      </c>
      <c r="F147" s="52">
        <f t="shared" ref="F147" si="343">+D147-E147</f>
        <v>0.1149</v>
      </c>
      <c r="G147" s="53">
        <v>3593190</v>
      </c>
      <c r="H147" s="38"/>
      <c r="I147" s="54">
        <f t="shared" ref="I147" si="344">+G147-H147</f>
        <v>3593190</v>
      </c>
      <c r="J147" s="54">
        <f t="shared" ref="J147" si="345">SUM(I136:I147)/12</f>
        <v>2669233.1666666665</v>
      </c>
      <c r="K147" s="54">
        <f t="shared" ref="K147" si="346">+F147*J147</f>
        <v>306694.89084999997</v>
      </c>
      <c r="L147" s="54"/>
      <c r="M147" s="54"/>
      <c r="N147" s="54">
        <v>0</v>
      </c>
      <c r="O147" s="54">
        <f t="shared" ref="O147" si="347">+K147+N147</f>
        <v>306694.89084999997</v>
      </c>
      <c r="P147" s="54">
        <v>4838911.67</v>
      </c>
      <c r="R147" s="32">
        <f t="shared" ref="R147" si="348">+P147-Q147</f>
        <v>4838911.67</v>
      </c>
      <c r="S147" s="32">
        <f t="shared" ref="S147" si="349">SUM(R136:R147)/12</f>
        <v>3481800.4366666661</v>
      </c>
      <c r="T147" s="29">
        <f t="shared" ref="T147" si="350">+O147/S146</f>
        <v>8.9085234287812037E-2</v>
      </c>
      <c r="V147" s="63"/>
      <c r="W147" s="63"/>
      <c r="X147" s="57"/>
      <c r="Y147" s="64"/>
    </row>
    <row r="148" spans="3:29" hidden="1" x14ac:dyDescent="0.2">
      <c r="C148" s="15">
        <v>42064</v>
      </c>
      <c r="D148" s="51">
        <v>0.109</v>
      </c>
      <c r="E148" s="52">
        <v>0</v>
      </c>
      <c r="F148" s="52">
        <f t="shared" ref="F148" si="351">+D148-E148</f>
        <v>0.109</v>
      </c>
      <c r="G148" s="53">
        <v>2688858</v>
      </c>
      <c r="H148" s="38"/>
      <c r="I148" s="54">
        <f t="shared" ref="I148" si="352">+G148-H148</f>
        <v>2688858</v>
      </c>
      <c r="J148" s="54">
        <f t="shared" ref="J148" si="353">SUM(I137:I148)/12</f>
        <v>2644401.3333333335</v>
      </c>
      <c r="K148" s="54">
        <f t="shared" ref="K148" si="354">+F148*J148</f>
        <v>288239.74533333333</v>
      </c>
      <c r="L148" s="54"/>
      <c r="M148" s="54"/>
      <c r="N148" s="54">
        <v>0</v>
      </c>
      <c r="O148" s="54">
        <f t="shared" ref="O148" si="355">+K148+N148</f>
        <v>288239.74533333333</v>
      </c>
      <c r="P148" s="54">
        <v>3417243.24</v>
      </c>
      <c r="R148" s="32">
        <f t="shared" ref="R148" si="356">+P148-Q148</f>
        <v>3417243.24</v>
      </c>
      <c r="S148" s="32">
        <f t="shared" ref="S148" si="357">SUM(R137:R148)/12</f>
        <v>3447554.3574999999</v>
      </c>
      <c r="T148" s="29">
        <f t="shared" ref="T148" si="358">+O148/S147</f>
        <v>8.2784682975478724E-2</v>
      </c>
      <c r="V148" s="63"/>
      <c r="W148" s="63"/>
      <c r="X148" s="57"/>
      <c r="Y148" s="64"/>
    </row>
    <row r="149" spans="3:29" hidden="1" x14ac:dyDescent="0.2">
      <c r="C149" s="15">
        <v>42095</v>
      </c>
      <c r="D149" s="51">
        <v>0.1444</v>
      </c>
      <c r="E149" s="52">
        <v>0</v>
      </c>
      <c r="F149" s="52">
        <f t="shared" ref="F149" si="359">+D149-E149</f>
        <v>0.1444</v>
      </c>
      <c r="G149" s="53">
        <v>1801957</v>
      </c>
      <c r="H149" s="38"/>
      <c r="I149" s="54">
        <f t="shared" ref="I149" si="360">+G149-H149</f>
        <v>1801957</v>
      </c>
      <c r="J149" s="54">
        <f t="shared" ref="J149" si="361">SUM(I138:I149)/12</f>
        <v>2609873.25</v>
      </c>
      <c r="K149" s="54">
        <f t="shared" ref="K149" si="362">+F149*J149</f>
        <v>376865.6973</v>
      </c>
      <c r="L149" s="54"/>
      <c r="M149" s="54"/>
      <c r="N149" s="54">
        <v>0</v>
      </c>
      <c r="O149" s="54">
        <f t="shared" ref="O149" si="363">+K149+N149</f>
        <v>376865.6973</v>
      </c>
      <c r="P149" s="54">
        <v>2768695.68</v>
      </c>
      <c r="R149" s="32">
        <f t="shared" ref="R149" si="364">+P149-Q149</f>
        <v>2768695.68</v>
      </c>
      <c r="S149" s="32">
        <f t="shared" ref="S149" si="365">SUM(R138:R149)/12</f>
        <v>3437646.3000000003</v>
      </c>
      <c r="T149" s="29">
        <f t="shared" ref="T149" si="366">+O149/S148</f>
        <v>0.10931392466086737</v>
      </c>
      <c r="V149" s="63"/>
      <c r="W149" s="63"/>
      <c r="X149" s="57"/>
      <c r="Y149" s="64"/>
    </row>
    <row r="150" spans="3:29" hidden="1" x14ac:dyDescent="0.2">
      <c r="C150" s="15">
        <v>42125</v>
      </c>
      <c r="D150" s="51">
        <v>0.18090000000000001</v>
      </c>
      <c r="E150" s="52">
        <v>0</v>
      </c>
      <c r="F150" s="52">
        <f t="shared" ref="F150" si="367">+D150-E150</f>
        <v>0.18090000000000001</v>
      </c>
      <c r="G150" s="53">
        <v>1846198</v>
      </c>
      <c r="H150" s="38"/>
      <c r="I150" s="54">
        <f t="shared" ref="I150" si="368">+G150-H150</f>
        <v>1846198</v>
      </c>
      <c r="J150" s="54">
        <f t="shared" ref="J150" si="369">SUM(I139:I150)/12</f>
        <v>2580555.6666666665</v>
      </c>
      <c r="K150" s="54">
        <f t="shared" ref="K150" si="370">+F150*J150</f>
        <v>466822.52009999997</v>
      </c>
      <c r="L150" s="54"/>
      <c r="M150" s="54"/>
      <c r="N150" s="54">
        <v>0</v>
      </c>
      <c r="O150" s="54">
        <f t="shared" ref="O150" si="371">+K150+N150</f>
        <v>466822.52009999997</v>
      </c>
      <c r="P150" s="54">
        <v>2560101.59</v>
      </c>
      <c r="R150" s="32">
        <f t="shared" ref="R150" si="372">+P150-Q150</f>
        <v>2560101.59</v>
      </c>
      <c r="S150" s="32">
        <f t="shared" ref="S150" si="373">SUM(R139:R150)/12</f>
        <v>3405890.9316666671</v>
      </c>
      <c r="T150" s="29">
        <f t="shared" ref="T150" si="374">+O150/S149</f>
        <v>0.13579713541209865</v>
      </c>
      <c r="V150" s="63"/>
      <c r="W150" s="63"/>
      <c r="X150" s="57"/>
      <c r="Y150" s="64"/>
    </row>
    <row r="151" spans="3:29" hidden="1" x14ac:dyDescent="0.2">
      <c r="C151" s="15">
        <v>42156</v>
      </c>
      <c r="D151" s="51">
        <v>0.18440000000000001</v>
      </c>
      <c r="E151" s="52">
        <v>0</v>
      </c>
      <c r="F151" s="52">
        <f t="shared" ref="F151" si="375">+D151-E151</f>
        <v>0.18440000000000001</v>
      </c>
      <c r="G151" s="53">
        <v>2351355</v>
      </c>
      <c r="H151" s="38"/>
      <c r="I151" s="54">
        <f t="shared" ref="I151" si="376">+G151-H151</f>
        <v>2351355</v>
      </c>
      <c r="J151" s="54">
        <f t="shared" ref="J151" si="377">SUM(I140:I151)/12</f>
        <v>2566754.8333333335</v>
      </c>
      <c r="K151" s="54">
        <f t="shared" ref="K151" si="378">+F151*J151</f>
        <v>473309.59126666671</v>
      </c>
      <c r="L151" s="54"/>
      <c r="M151" s="54"/>
      <c r="N151" s="54">
        <v>0</v>
      </c>
      <c r="O151" s="54">
        <f t="shared" ref="O151" si="379">+K151+N151</f>
        <v>473309.59126666671</v>
      </c>
      <c r="P151" s="54">
        <v>2904423.3</v>
      </c>
      <c r="R151" s="32">
        <f t="shared" ref="R151" si="380">+P151-Q151</f>
        <v>2904423.3</v>
      </c>
      <c r="S151" s="32">
        <f t="shared" ref="S151" si="381">SUM(R140:R151)/12</f>
        <v>3389199.0858333334</v>
      </c>
      <c r="T151" s="29">
        <f t="shared" ref="T151" si="382">+O151/S150</f>
        <v>0.13896792374236525</v>
      </c>
      <c r="V151" s="63"/>
      <c r="W151" s="63"/>
      <c r="X151" s="57"/>
      <c r="Y151" s="64"/>
    </row>
    <row r="152" spans="3:29" hidden="1" x14ac:dyDescent="0.2">
      <c r="C152" s="15">
        <v>42186</v>
      </c>
      <c r="D152" s="51">
        <v>0.15909999999999999</v>
      </c>
      <c r="E152" s="52">
        <v>0</v>
      </c>
      <c r="F152" s="52">
        <f t="shared" ref="F152" si="383">+D152-E152</f>
        <v>0.15909999999999999</v>
      </c>
      <c r="G152" s="53">
        <v>2476143</v>
      </c>
      <c r="H152" s="38"/>
      <c r="I152" s="54">
        <f t="shared" ref="I152" si="384">+G152-H152</f>
        <v>2476143</v>
      </c>
      <c r="J152" s="54">
        <f t="shared" ref="J152" si="385">SUM(I141:I152)/12</f>
        <v>2561057.25</v>
      </c>
      <c r="K152" s="54">
        <f t="shared" ref="K152" si="386">+F152*J152</f>
        <v>407464.20847499999</v>
      </c>
      <c r="L152" s="54"/>
      <c r="M152" s="54"/>
      <c r="N152" s="54">
        <v>0</v>
      </c>
      <c r="O152" s="54">
        <f t="shared" ref="O152" si="387">+K152+N152</f>
        <v>407464.20847499999</v>
      </c>
      <c r="P152" s="54">
        <v>3434852.3</v>
      </c>
      <c r="R152" s="32">
        <f t="shared" ref="R152" si="388">+P152-Q152</f>
        <v>3434852.3</v>
      </c>
      <c r="S152" s="32">
        <f t="shared" ref="S152" si="389">SUM(R141:R152)/12</f>
        <v>3399574.9774999991</v>
      </c>
      <c r="T152" s="29">
        <f t="shared" ref="T152" si="390">+O152/S151</f>
        <v>0.12022433564855428</v>
      </c>
      <c r="V152" s="63"/>
      <c r="W152" s="63"/>
      <c r="X152" s="57"/>
      <c r="Y152" s="64"/>
    </row>
    <row r="153" spans="3:29" hidden="1" x14ac:dyDescent="0.2">
      <c r="C153" s="15">
        <v>42217</v>
      </c>
      <c r="D153" s="51">
        <v>0.16250000000000001</v>
      </c>
      <c r="E153" s="52">
        <v>0</v>
      </c>
      <c r="F153" s="52">
        <f t="shared" ref="F153" si="391">+D153-E153</f>
        <v>0.16250000000000001</v>
      </c>
      <c r="G153" s="53">
        <v>2286077</v>
      </c>
      <c r="H153" s="38"/>
      <c r="I153" s="54">
        <f t="shared" ref="I153" si="392">+G153-H153</f>
        <v>2286077</v>
      </c>
      <c r="J153" s="54">
        <f t="shared" ref="J153" si="393">SUM(I142:I153)/12</f>
        <v>2536675.75</v>
      </c>
      <c r="K153" s="54">
        <f t="shared" ref="K153" si="394">+F153*J153</f>
        <v>412209.80937500001</v>
      </c>
      <c r="L153" s="54"/>
      <c r="M153" s="54"/>
      <c r="N153" s="54">
        <v>51284</v>
      </c>
      <c r="O153" s="54">
        <f t="shared" ref="O153" si="395">+K153+N153</f>
        <v>463493.80937500001</v>
      </c>
      <c r="P153" s="54">
        <v>3098157.15</v>
      </c>
      <c r="R153" s="32">
        <f t="shared" ref="R153" si="396">+P153-Q153</f>
        <v>3098157.15</v>
      </c>
      <c r="S153" s="32">
        <f t="shared" ref="S153" si="397">SUM(R142:R153)/12</f>
        <v>3380504.3383333334</v>
      </c>
      <c r="T153" s="29">
        <f t="shared" ref="T153" si="398">+O153/S152</f>
        <v>0.13633875188593339</v>
      </c>
      <c r="V153" s="58">
        <v>51284</v>
      </c>
      <c r="W153" s="58">
        <v>0</v>
      </c>
      <c r="X153" s="59">
        <f t="shared" ref="X153" si="399">SUM(V153:W153)</f>
        <v>51284</v>
      </c>
      <c r="Y153" s="60" t="s">
        <v>72</v>
      </c>
      <c r="Z153" s="61"/>
      <c r="AA153" s="61"/>
      <c r="AB153" s="61"/>
      <c r="AC153" s="62"/>
    </row>
    <row r="154" spans="3:29" hidden="1" x14ac:dyDescent="0.2">
      <c r="C154" s="15">
        <v>42248</v>
      </c>
      <c r="D154" s="51">
        <v>0.17069999999999999</v>
      </c>
      <c r="E154" s="52">
        <v>0</v>
      </c>
      <c r="F154" s="52">
        <f t="shared" ref="F154" si="400">+D154-E154</f>
        <v>0.17069999999999999</v>
      </c>
      <c r="G154" s="53">
        <v>2035131</v>
      </c>
      <c r="H154" s="38"/>
      <c r="I154" s="54">
        <f t="shared" ref="I154" si="401">+G154-H154</f>
        <v>2035131</v>
      </c>
      <c r="J154" s="54">
        <f t="shared" ref="J154" si="402">SUM(I143:I154)/12</f>
        <v>2525496.5833333335</v>
      </c>
      <c r="K154" s="54">
        <f t="shared" ref="K154" si="403">+F154*J154</f>
        <v>431102.26677500003</v>
      </c>
      <c r="L154" s="54"/>
      <c r="M154" s="54"/>
      <c r="N154" s="54">
        <v>51284</v>
      </c>
      <c r="O154" s="54">
        <f t="shared" ref="O154" si="404">+K154+N154</f>
        <v>482386.26677500003</v>
      </c>
      <c r="P154" s="54">
        <v>2748815.04</v>
      </c>
      <c r="R154" s="32">
        <f t="shared" ref="R154" si="405">+P154-Q154</f>
        <v>2748815.04</v>
      </c>
      <c r="S154" s="32">
        <f t="shared" ref="S154" si="406">SUM(R143:R154)/12</f>
        <v>3369508.8783333334</v>
      </c>
      <c r="T154" s="29">
        <f t="shared" ref="T154" si="407">+O154/S153</f>
        <v>0.14269653829606607</v>
      </c>
      <c r="V154" s="58">
        <v>51284</v>
      </c>
      <c r="W154" s="58">
        <v>0</v>
      </c>
      <c r="X154" s="59">
        <f t="shared" ref="X154" si="408">SUM(V154:W154)</f>
        <v>51284</v>
      </c>
      <c r="Y154" s="60" t="s">
        <v>72</v>
      </c>
      <c r="Z154" s="61"/>
      <c r="AA154" s="61"/>
      <c r="AB154" s="61"/>
      <c r="AC154" s="62"/>
    </row>
    <row r="155" spans="3:29" hidden="1" x14ac:dyDescent="0.2">
      <c r="C155" s="15">
        <v>42278</v>
      </c>
      <c r="D155" s="51">
        <v>0.18509999999999999</v>
      </c>
      <c r="E155" s="52">
        <v>0</v>
      </c>
      <c r="F155" s="52">
        <f t="shared" ref="F155" si="409">+D155-E155</f>
        <v>0.18509999999999999</v>
      </c>
      <c r="G155" s="53">
        <v>1903972</v>
      </c>
      <c r="H155" s="38"/>
      <c r="I155" s="54">
        <f t="shared" ref="I155" si="410">+G155-H155</f>
        <v>1903972</v>
      </c>
      <c r="J155" s="54">
        <f t="shared" ref="J155" si="411">SUM(I144:I155)/12</f>
        <v>2518620.4166666665</v>
      </c>
      <c r="K155" s="54">
        <f t="shared" ref="K155" si="412">+F155*J155</f>
        <v>466196.63912499993</v>
      </c>
      <c r="L155" s="54"/>
      <c r="M155" s="54"/>
      <c r="N155" s="54">
        <v>51284</v>
      </c>
      <c r="O155" s="54">
        <f t="shared" ref="O155" si="413">+K155+N155</f>
        <v>517480.63912499993</v>
      </c>
      <c r="P155" s="54">
        <v>2658191.59</v>
      </c>
      <c r="R155" s="32">
        <f t="shared" ref="R155" si="414">+P155-Q155</f>
        <v>2658191.59</v>
      </c>
      <c r="S155" s="32">
        <f t="shared" ref="S155" si="415">SUM(R144:R155)/12</f>
        <v>3352997.081666667</v>
      </c>
      <c r="T155" s="29">
        <f t="shared" ref="T155" si="416">+O155/S154</f>
        <v>0.15357746716517404</v>
      </c>
      <c r="V155" s="58">
        <v>51284</v>
      </c>
      <c r="W155" s="58">
        <v>0</v>
      </c>
      <c r="X155" s="59">
        <f t="shared" ref="X155" si="417">SUM(V155:W155)</f>
        <v>51284</v>
      </c>
      <c r="Y155" s="60" t="s">
        <v>72</v>
      </c>
      <c r="Z155" s="61"/>
      <c r="AA155" s="61"/>
      <c r="AB155" s="61"/>
      <c r="AC155" s="62"/>
    </row>
    <row r="156" spans="3:29" hidden="1" x14ac:dyDescent="0.2">
      <c r="C156" s="15">
        <v>42309</v>
      </c>
      <c r="D156" s="51">
        <v>0.18809999999999999</v>
      </c>
      <c r="E156" s="52">
        <v>0</v>
      </c>
      <c r="F156" s="52">
        <f t="shared" ref="F156" si="418">+D156-E156</f>
        <v>0.18809999999999999</v>
      </c>
      <c r="G156" s="53">
        <v>2217995</v>
      </c>
      <c r="H156" s="38"/>
      <c r="I156" s="54">
        <f t="shared" ref="I156" si="419">+G156-H156</f>
        <v>2217995</v>
      </c>
      <c r="J156" s="54">
        <f t="shared" ref="J156" si="420">SUM(I145:I156)/12</f>
        <v>2463787.9166666665</v>
      </c>
      <c r="K156" s="54">
        <f t="shared" ref="K156" si="421">+F156*J156</f>
        <v>463438.50712499995</v>
      </c>
      <c r="L156" s="54"/>
      <c r="M156" s="54"/>
      <c r="N156" s="54">
        <v>51284</v>
      </c>
      <c r="O156" s="54">
        <f t="shared" ref="O156" si="422">+K156+N156</f>
        <v>514722.50712499995</v>
      </c>
      <c r="P156" s="54">
        <v>2946592.7</v>
      </c>
      <c r="R156" s="32">
        <f t="shared" ref="R156" si="423">+P156-Q156</f>
        <v>2946592.7</v>
      </c>
      <c r="S156" s="32">
        <f t="shared" ref="S156" si="424">SUM(R145:R156)/12</f>
        <v>3280687.4716666676</v>
      </c>
      <c r="T156" s="29">
        <f t="shared" ref="T156" si="425">+O156/S155</f>
        <v>0.15351117062981395</v>
      </c>
      <c r="V156" s="58">
        <v>51284</v>
      </c>
      <c r="W156" s="58">
        <v>0</v>
      </c>
      <c r="X156" s="59">
        <f t="shared" ref="X156" si="426">SUM(V156:W156)</f>
        <v>51284</v>
      </c>
      <c r="Y156" s="60" t="s">
        <v>72</v>
      </c>
      <c r="Z156" s="61"/>
      <c r="AA156" s="61"/>
      <c r="AB156" s="61"/>
      <c r="AC156" s="62"/>
    </row>
    <row r="157" spans="3:29" hidden="1" x14ac:dyDescent="0.2">
      <c r="C157" s="15">
        <v>42339</v>
      </c>
      <c r="D157" s="51">
        <v>0.184</v>
      </c>
      <c r="E157" s="52">
        <v>0</v>
      </c>
      <c r="F157" s="52">
        <f t="shared" ref="F157" si="427">+D157-E157</f>
        <v>0.184</v>
      </c>
      <c r="G157" s="53">
        <v>2338046</v>
      </c>
      <c r="H157" s="38"/>
      <c r="I157" s="54">
        <f t="shared" ref="I157" si="428">+G157-H157</f>
        <v>2338046</v>
      </c>
      <c r="J157" s="54">
        <f t="shared" ref="J157" si="429">SUM(I146:I157)/12</f>
        <v>2414002.6666666665</v>
      </c>
      <c r="K157" s="54">
        <f t="shared" ref="K157" si="430">+F157*J157</f>
        <v>444176.49066666665</v>
      </c>
      <c r="L157" s="54"/>
      <c r="M157" s="54"/>
      <c r="N157" s="54">
        <v>51284</v>
      </c>
      <c r="O157" s="54">
        <f t="shared" ref="O157" si="431">+K157+N157</f>
        <v>495460.49066666665</v>
      </c>
      <c r="P157" s="54">
        <v>3054138.31</v>
      </c>
      <c r="R157" s="32">
        <f t="shared" ref="R157" si="432">+P157-Q157</f>
        <v>3054138.31</v>
      </c>
      <c r="S157" s="32">
        <f t="shared" ref="S157" si="433">SUM(R146:R157)/12</f>
        <v>3234598.1466666665</v>
      </c>
      <c r="T157" s="29">
        <f t="shared" ref="T157" si="434">+O157/S156</f>
        <v>0.15102337389515524</v>
      </c>
      <c r="V157" s="58">
        <v>51284</v>
      </c>
      <c r="W157" s="58">
        <v>0</v>
      </c>
      <c r="X157" s="59">
        <f t="shared" ref="X157" si="435">SUM(V157:W157)</f>
        <v>51284</v>
      </c>
      <c r="Y157" s="60" t="s">
        <v>72</v>
      </c>
      <c r="Z157" s="61"/>
      <c r="AA157" s="61"/>
      <c r="AB157" s="61"/>
      <c r="AC157" s="62"/>
    </row>
    <row r="158" spans="3:29" hidden="1" x14ac:dyDescent="0.2">
      <c r="C158" s="15">
        <v>42370</v>
      </c>
      <c r="D158" s="51">
        <v>0.16</v>
      </c>
      <c r="E158" s="52">
        <v>0</v>
      </c>
      <c r="F158" s="52">
        <f t="shared" ref="F158" si="436">+D158-E158</f>
        <v>0.16</v>
      </c>
      <c r="G158" s="53">
        <v>3205061</v>
      </c>
      <c r="H158" s="38"/>
      <c r="I158" s="54">
        <f t="shared" ref="I158" si="437">+G158-H158</f>
        <v>3205061</v>
      </c>
      <c r="J158" s="54">
        <f t="shared" ref="J158" si="438">SUM(I147:I158)/12</f>
        <v>2395331.9166666665</v>
      </c>
      <c r="K158" s="54">
        <f t="shared" ref="K158" si="439">+F158*J158</f>
        <v>383253.10666666663</v>
      </c>
      <c r="L158" s="54"/>
      <c r="M158" s="54"/>
      <c r="N158" s="54">
        <v>51284</v>
      </c>
      <c r="O158" s="54">
        <f t="shared" ref="O158" si="440">+K158+N158</f>
        <v>434537.10666666663</v>
      </c>
      <c r="P158" s="54">
        <v>4266702.24</v>
      </c>
      <c r="R158" s="32">
        <f t="shared" ref="R158" si="441">+P158-Q158</f>
        <v>4266702.24</v>
      </c>
      <c r="S158" s="32">
        <f t="shared" ref="S158" si="442">SUM(R147:R158)/12</f>
        <v>3224735.4008333334</v>
      </c>
      <c r="T158" s="29">
        <f t="shared" ref="T158" si="443">+O158/S157</f>
        <v>0.13434036840541316</v>
      </c>
      <c r="V158" s="58">
        <v>51284</v>
      </c>
      <c r="W158" s="58">
        <v>0</v>
      </c>
      <c r="X158" s="59">
        <f t="shared" ref="X158" si="444">SUM(V158:W158)</f>
        <v>51284</v>
      </c>
      <c r="Y158" s="60" t="s">
        <v>72</v>
      </c>
      <c r="Z158" s="61"/>
      <c r="AA158" s="61"/>
      <c r="AB158" s="61"/>
      <c r="AC158" s="62"/>
    </row>
    <row r="159" spans="3:29" hidden="1" x14ac:dyDescent="0.2">
      <c r="C159" s="15">
        <v>42401</v>
      </c>
      <c r="D159" s="51">
        <v>0.10920000000000001</v>
      </c>
      <c r="E159" s="52">
        <v>0</v>
      </c>
      <c r="F159" s="52">
        <f t="shared" ref="F159" si="445">+D159-E159</f>
        <v>0.10920000000000001</v>
      </c>
      <c r="G159" s="53">
        <v>2725508</v>
      </c>
      <c r="H159" s="38"/>
      <c r="I159" s="54">
        <f t="shared" ref="I159" si="446">+G159-H159</f>
        <v>2725508</v>
      </c>
      <c r="J159" s="54">
        <f t="shared" ref="J159" si="447">SUM(I148:I159)/12</f>
        <v>2323025.0833333335</v>
      </c>
      <c r="K159" s="54">
        <f t="shared" ref="K159" si="448">+F159*J159</f>
        <v>253674.33910000004</v>
      </c>
      <c r="L159" s="54"/>
      <c r="M159" s="54"/>
      <c r="N159" s="54">
        <v>0</v>
      </c>
      <c r="O159" s="54">
        <f t="shared" ref="O159" si="449">+K159+N159</f>
        <v>253674.33910000004</v>
      </c>
      <c r="P159" s="54">
        <v>3759897.79</v>
      </c>
      <c r="R159" s="32">
        <f t="shared" ref="R159" si="450">+P159-Q159</f>
        <v>3759897.79</v>
      </c>
      <c r="S159" s="32">
        <f t="shared" ref="S159" si="451">SUM(R148:R159)/12</f>
        <v>3134817.5774999992</v>
      </c>
      <c r="T159" s="29">
        <f t="shared" ref="T159" si="452">+O159/S158</f>
        <v>7.8665163980413941E-2</v>
      </c>
      <c r="V159" s="63"/>
      <c r="W159" s="63"/>
      <c r="X159" s="57"/>
      <c r="Y159" s="64"/>
    </row>
    <row r="160" spans="3:29" hidden="1" x14ac:dyDescent="0.2">
      <c r="C160" s="15">
        <v>42430</v>
      </c>
      <c r="D160" s="51">
        <v>0.14299999999999999</v>
      </c>
      <c r="E160" s="52">
        <v>0</v>
      </c>
      <c r="F160" s="52">
        <f t="shared" ref="F160" si="453">+D160-E160</f>
        <v>0.14299999999999999</v>
      </c>
      <c r="G160" s="53">
        <v>2071720</v>
      </c>
      <c r="H160" s="38"/>
      <c r="I160" s="54">
        <f t="shared" ref="I160" si="454">+G160-H160</f>
        <v>2071720</v>
      </c>
      <c r="J160" s="54">
        <f t="shared" ref="J160" si="455">SUM(I149:I160)/12</f>
        <v>2271596.9166666665</v>
      </c>
      <c r="K160" s="54">
        <f t="shared" ref="K160" si="456">+F160*J160</f>
        <v>324838.35908333329</v>
      </c>
      <c r="L160" s="54"/>
      <c r="M160" s="54"/>
      <c r="N160" s="54">
        <v>15822</v>
      </c>
      <c r="O160" s="54">
        <f t="shared" ref="O160" si="457">+K160+N160</f>
        <v>340660.35908333329</v>
      </c>
      <c r="P160" s="54">
        <v>3070380.91</v>
      </c>
      <c r="R160" s="32">
        <f t="shared" ref="R160" si="458">+P160-Q160</f>
        <v>3070380.91</v>
      </c>
      <c r="S160" s="32">
        <f t="shared" ref="S160" si="459">SUM(R149:R160)/12</f>
        <v>3105912.3833333328</v>
      </c>
      <c r="T160" s="29">
        <f t="shared" ref="T160" si="460">+O160/S159</f>
        <v>0.1086699148072942</v>
      </c>
      <c r="V160" s="58">
        <v>15822</v>
      </c>
      <c r="W160" s="58">
        <v>0</v>
      </c>
      <c r="X160" s="59">
        <f t="shared" ref="X160" si="461">SUM(V160:W160)</f>
        <v>15822</v>
      </c>
      <c r="Y160" s="60" t="s">
        <v>73</v>
      </c>
      <c r="Z160" s="61"/>
      <c r="AA160" s="61"/>
      <c r="AB160" s="61"/>
      <c r="AC160" s="62"/>
    </row>
    <row r="161" spans="3:29" hidden="1" x14ac:dyDescent="0.2">
      <c r="C161" s="15">
        <v>42461</v>
      </c>
      <c r="D161" s="51">
        <v>0.1759</v>
      </c>
      <c r="E161" s="52">
        <v>0</v>
      </c>
      <c r="F161" s="52">
        <f t="shared" ref="F161" si="462">+D161-E161</f>
        <v>0.1759</v>
      </c>
      <c r="G161" s="53">
        <v>1747929</v>
      </c>
      <c r="H161" s="38"/>
      <c r="I161" s="54">
        <f t="shared" ref="I161" si="463">+G161-H161</f>
        <v>1747929</v>
      </c>
      <c r="J161" s="54">
        <f t="shared" ref="J161" si="464">SUM(I150:I161)/12</f>
        <v>2267094.5833333335</v>
      </c>
      <c r="K161" s="54">
        <f t="shared" ref="K161" si="465">+F161*J161</f>
        <v>398781.93720833334</v>
      </c>
      <c r="L161" s="54"/>
      <c r="M161" s="54"/>
      <c r="N161" s="54">
        <v>15822</v>
      </c>
      <c r="O161" s="54">
        <f t="shared" ref="O161" si="466">+K161+N161</f>
        <v>414603.93720833334</v>
      </c>
      <c r="P161" s="54">
        <v>2585986.5299999998</v>
      </c>
      <c r="R161" s="32">
        <f t="shared" ref="R161" si="467">+P161-Q161</f>
        <v>2585986.5299999998</v>
      </c>
      <c r="S161" s="32">
        <f t="shared" ref="S161" si="468">SUM(R150:R161)/12</f>
        <v>3090686.6208333336</v>
      </c>
      <c r="T161" s="29">
        <f t="shared" ref="T161" si="469">+O161/S160</f>
        <v>0.13348861334052553</v>
      </c>
      <c r="V161" s="58">
        <v>15822</v>
      </c>
      <c r="W161" s="58">
        <v>0</v>
      </c>
      <c r="X161" s="59">
        <f t="shared" ref="X161" si="470">SUM(V161:W161)</f>
        <v>15822</v>
      </c>
      <c r="Y161" s="60" t="s">
        <v>73</v>
      </c>
      <c r="Z161" s="61"/>
      <c r="AA161" s="61"/>
      <c r="AB161" s="61"/>
      <c r="AC161" s="62"/>
    </row>
    <row r="162" spans="3:29" hidden="1" x14ac:dyDescent="0.2">
      <c r="C162" s="15">
        <v>42491</v>
      </c>
      <c r="D162" s="51">
        <v>0.18990000000000001</v>
      </c>
      <c r="E162" s="52">
        <v>0</v>
      </c>
      <c r="F162" s="52">
        <f t="shared" ref="F162" si="471">+D162-E162</f>
        <v>0.18990000000000001</v>
      </c>
      <c r="G162" s="53">
        <v>1821160</v>
      </c>
      <c r="H162" s="38"/>
      <c r="I162" s="54">
        <f t="shared" ref="I162" si="472">+G162-H162</f>
        <v>1821160</v>
      </c>
      <c r="J162" s="54">
        <f t="shared" ref="J162" si="473">SUM(I151:I162)/12</f>
        <v>2265008.0833333335</v>
      </c>
      <c r="K162" s="54">
        <f t="shared" ref="K162" si="474">+F162*J162</f>
        <v>430125.03502500005</v>
      </c>
      <c r="L162" s="54"/>
      <c r="M162" s="54"/>
      <c r="N162" s="54">
        <v>15822</v>
      </c>
      <c r="O162" s="54">
        <f t="shared" ref="O162" si="475">+K162+N162</f>
        <v>445947.03502500005</v>
      </c>
      <c r="P162" s="54">
        <v>2270828.41</v>
      </c>
      <c r="R162" s="32">
        <f t="shared" ref="R162" si="476">+P162-Q162</f>
        <v>2270828.41</v>
      </c>
      <c r="S162" s="32">
        <f t="shared" ref="S162" si="477">SUM(R151:R162)/12</f>
        <v>3066580.5224999995</v>
      </c>
      <c r="T162" s="29">
        <f t="shared" ref="T162" si="478">+O162/S161</f>
        <v>0.14428736709151074</v>
      </c>
      <c r="V162" s="58">
        <v>15822</v>
      </c>
      <c r="W162" s="58">
        <v>0</v>
      </c>
      <c r="X162" s="59">
        <f t="shared" ref="X162" si="479">SUM(V162:W162)</f>
        <v>15822</v>
      </c>
      <c r="Y162" s="60" t="s">
        <v>73</v>
      </c>
      <c r="Z162" s="61"/>
      <c r="AA162" s="61"/>
      <c r="AB162" s="61"/>
      <c r="AC162" s="62"/>
    </row>
    <row r="163" spans="3:29" hidden="1" x14ac:dyDescent="0.2">
      <c r="C163" s="15">
        <v>42522</v>
      </c>
      <c r="D163" s="51">
        <v>0.19600000000000001</v>
      </c>
      <c r="E163" s="52">
        <v>0</v>
      </c>
      <c r="F163" s="52">
        <f t="shared" ref="F163" si="480">+D163-E163</f>
        <v>0.19600000000000001</v>
      </c>
      <c r="G163" s="53">
        <v>2147958</v>
      </c>
      <c r="H163" s="38"/>
      <c r="I163" s="54">
        <f t="shared" ref="I163" si="481">+G163-H163</f>
        <v>2147958</v>
      </c>
      <c r="J163" s="54">
        <f t="shared" ref="J163" si="482">SUM(I152:I163)/12</f>
        <v>2248058.3333333335</v>
      </c>
      <c r="K163" s="54">
        <f t="shared" ref="K163" si="483">+F163*J163</f>
        <v>440619.43333333341</v>
      </c>
      <c r="L163" s="54"/>
      <c r="M163" s="54"/>
      <c r="N163" s="54">
        <v>15822</v>
      </c>
      <c r="O163" s="54">
        <f t="shared" ref="O163" si="484">+K163+N163</f>
        <v>456441.43333333341</v>
      </c>
      <c r="P163" s="54">
        <v>2961179.02</v>
      </c>
      <c r="R163" s="32">
        <f t="shared" ref="R163" si="485">+P163-Q163</f>
        <v>2961179.02</v>
      </c>
      <c r="S163" s="32">
        <f t="shared" ref="S163" si="486">SUM(R152:R163)/12</f>
        <v>3071310.1658333335</v>
      </c>
      <c r="T163" s="29">
        <f t="shared" ref="T163" si="487">+O163/S162</f>
        <v>0.14884377892064091</v>
      </c>
      <c r="V163" s="58">
        <v>15822</v>
      </c>
      <c r="W163" s="58">
        <v>0</v>
      </c>
      <c r="X163" s="59">
        <f t="shared" ref="X163" si="488">SUM(V163:W163)</f>
        <v>15822</v>
      </c>
      <c r="Y163" s="60" t="s">
        <v>73</v>
      </c>
      <c r="Z163" s="61"/>
      <c r="AA163" s="61"/>
      <c r="AB163" s="61"/>
      <c r="AC163" s="62"/>
    </row>
    <row r="164" spans="3:29" hidden="1" x14ac:dyDescent="0.2">
      <c r="C164" s="15">
        <v>42552</v>
      </c>
      <c r="D164" s="51">
        <v>0.16500000000000001</v>
      </c>
      <c r="E164" s="52">
        <v>0</v>
      </c>
      <c r="F164" s="52">
        <f t="shared" ref="F164" si="489">+D164-E164</f>
        <v>0.16500000000000001</v>
      </c>
      <c r="G164" s="53">
        <v>2403724</v>
      </c>
      <c r="H164" s="38"/>
      <c r="I164" s="54">
        <f t="shared" ref="I164" si="490">+G164-H164</f>
        <v>2403724</v>
      </c>
      <c r="J164" s="54">
        <f t="shared" ref="J164" si="491">SUM(I153:I164)/12</f>
        <v>2242023.4166666665</v>
      </c>
      <c r="K164" s="54">
        <f t="shared" ref="K164" si="492">+F164*J164</f>
        <v>369933.86375000002</v>
      </c>
      <c r="L164" s="54"/>
      <c r="M164" s="54"/>
      <c r="N164" s="54">
        <v>15822</v>
      </c>
      <c r="O164" s="54">
        <f t="shared" ref="O164" si="493">+K164+N164</f>
        <v>385755.86375000002</v>
      </c>
      <c r="P164" s="54">
        <v>3309279.19</v>
      </c>
      <c r="R164" s="32">
        <f t="shared" ref="R164" si="494">+P164-Q164</f>
        <v>3309279.19</v>
      </c>
      <c r="S164" s="32">
        <f t="shared" ref="S164" si="495">SUM(R153:R164)/12</f>
        <v>3060845.74</v>
      </c>
      <c r="T164" s="29">
        <f t="shared" ref="T164" si="496">+O164/S163</f>
        <v>0.12559977433778119</v>
      </c>
      <c r="V164" s="58">
        <v>15822</v>
      </c>
      <c r="W164" s="58">
        <v>0</v>
      </c>
      <c r="X164" s="59">
        <f t="shared" ref="X164" si="497">SUM(V164:W164)</f>
        <v>15822</v>
      </c>
      <c r="Y164" s="60" t="s">
        <v>73</v>
      </c>
      <c r="Z164" s="61"/>
      <c r="AA164" s="61"/>
      <c r="AB164" s="61"/>
      <c r="AC164" s="62"/>
    </row>
    <row r="165" spans="3:29" hidden="1" x14ac:dyDescent="0.2">
      <c r="C165" s="15">
        <v>42583</v>
      </c>
      <c r="D165" s="51">
        <v>0.1429</v>
      </c>
      <c r="E165" s="52">
        <v>0</v>
      </c>
      <c r="F165" s="52">
        <f t="shared" ref="F165" si="498">+D165-E165</f>
        <v>0.1429</v>
      </c>
      <c r="G165" s="53">
        <v>2453561</v>
      </c>
      <c r="H165" s="38"/>
      <c r="I165" s="54">
        <f t="shared" ref="I165" si="499">+G165-H165</f>
        <v>2453561</v>
      </c>
      <c r="J165" s="54">
        <f t="shared" ref="J165" si="500">SUM(I154:I165)/12</f>
        <v>2255980.4166666665</v>
      </c>
      <c r="K165" s="54">
        <f t="shared" ref="K165" si="501">+F165*J165</f>
        <v>322379.60154166666</v>
      </c>
      <c r="L165" s="54"/>
      <c r="M165" s="54"/>
      <c r="N165" s="54">
        <v>15948</v>
      </c>
      <c r="O165" s="54">
        <f t="shared" ref="O165" si="502">+K165+N165</f>
        <v>338327.60154166666</v>
      </c>
      <c r="P165" s="54">
        <v>3218955.27</v>
      </c>
      <c r="R165" s="32">
        <f t="shared" ref="R165" si="503">+P165-Q165</f>
        <v>3218955.27</v>
      </c>
      <c r="S165" s="32">
        <f t="shared" ref="S165" si="504">SUM(R154:R165)/12</f>
        <v>3070912.2500000005</v>
      </c>
      <c r="T165" s="29">
        <f t="shared" ref="T165" si="505">+O165/S164</f>
        <v>0.11053402565189928</v>
      </c>
      <c r="V165" s="58">
        <v>15822</v>
      </c>
      <c r="W165" s="58">
        <v>126</v>
      </c>
      <c r="X165" s="59">
        <f t="shared" ref="X165" si="506">SUM(V165:W165)</f>
        <v>15948</v>
      </c>
      <c r="Y165" s="60" t="s">
        <v>74</v>
      </c>
      <c r="Z165" s="61"/>
      <c r="AA165" s="61"/>
      <c r="AB165" s="61"/>
      <c r="AC165" s="62"/>
    </row>
    <row r="166" spans="3:29" hidden="1" x14ac:dyDescent="0.2">
      <c r="C166" s="15">
        <v>42614</v>
      </c>
      <c r="D166" s="51">
        <v>0.14760000000000001</v>
      </c>
      <c r="E166" s="52">
        <v>0</v>
      </c>
      <c r="F166" s="52">
        <f t="shared" ref="F166" si="507">+D166-E166</f>
        <v>0.14760000000000001</v>
      </c>
      <c r="G166" s="53">
        <v>2083941</v>
      </c>
      <c r="H166" s="38"/>
      <c r="I166" s="54">
        <f t="shared" ref="I166" si="508">+G166-H166</f>
        <v>2083941</v>
      </c>
      <c r="J166" s="54">
        <f t="shared" ref="J166" si="509">SUM(I155:I166)/12</f>
        <v>2260047.9166666665</v>
      </c>
      <c r="K166" s="54">
        <f t="shared" ref="K166" si="510">+F166*J166</f>
        <v>333583.07250000001</v>
      </c>
      <c r="L166" s="54"/>
      <c r="M166" s="54"/>
      <c r="N166" s="54">
        <v>126</v>
      </c>
      <c r="O166" s="54">
        <f t="shared" ref="O166" si="511">+K166+N166</f>
        <v>333709.07250000001</v>
      </c>
      <c r="P166" s="54">
        <v>3225324.78</v>
      </c>
      <c r="R166" s="32">
        <f t="shared" ref="R166" si="512">+P166-Q166</f>
        <v>3225324.78</v>
      </c>
      <c r="S166" s="32">
        <f t="shared" ref="S166" si="513">SUM(R155:R166)/12</f>
        <v>3110621.395</v>
      </c>
      <c r="T166" s="29">
        <f t="shared" ref="T166" si="514">+O166/S165</f>
        <v>0.10866773301646765</v>
      </c>
      <c r="V166" s="58">
        <v>0</v>
      </c>
      <c r="W166" s="58">
        <v>126</v>
      </c>
      <c r="X166" s="59">
        <f t="shared" ref="X166" si="515">SUM(V166:W166)</f>
        <v>126</v>
      </c>
      <c r="Y166" s="60" t="s">
        <v>75</v>
      </c>
      <c r="Z166" s="61"/>
      <c r="AA166" s="61"/>
      <c r="AB166" s="61"/>
      <c r="AC166" s="62"/>
    </row>
    <row r="167" spans="3:29" hidden="1" x14ac:dyDescent="0.2">
      <c r="C167" s="15">
        <v>42644</v>
      </c>
      <c r="D167" s="51">
        <v>0.17169999999999999</v>
      </c>
      <c r="E167" s="52">
        <v>0</v>
      </c>
      <c r="F167" s="52">
        <f t="shared" ref="F167" si="516">+D167-E167</f>
        <v>0.17169999999999999</v>
      </c>
      <c r="G167" s="53">
        <v>1703731</v>
      </c>
      <c r="H167" s="38"/>
      <c r="I167" s="54">
        <f t="shared" ref="I167" si="517">+G167-H167</f>
        <v>1703731</v>
      </c>
      <c r="J167" s="54">
        <f t="shared" ref="J167" si="518">SUM(I156:I167)/12</f>
        <v>2243361.1666666665</v>
      </c>
      <c r="K167" s="54">
        <f t="shared" ref="K167" si="519">+F167*J167</f>
        <v>385185.11231666664</v>
      </c>
      <c r="L167" s="54"/>
      <c r="M167" s="54"/>
      <c r="N167" s="54">
        <v>126</v>
      </c>
      <c r="O167" s="54">
        <f t="shared" ref="O167" si="520">+K167+N167</f>
        <v>385311.11231666664</v>
      </c>
      <c r="P167" s="54">
        <v>2300792.0099999998</v>
      </c>
      <c r="R167" s="32">
        <f t="shared" ref="R167" si="521">+P167-Q167</f>
        <v>2300792.0099999998</v>
      </c>
      <c r="S167" s="32">
        <f t="shared" ref="S167" si="522">SUM(R156:R167)/12</f>
        <v>3080838.0966666662</v>
      </c>
      <c r="T167" s="29">
        <f t="shared" ref="T167" si="523">+O167/S166</f>
        <v>0.12386949853042679</v>
      </c>
      <c r="V167" s="58">
        <v>0</v>
      </c>
      <c r="W167" s="58">
        <v>126</v>
      </c>
      <c r="X167" s="59">
        <f t="shared" ref="X167" si="524">SUM(V167:W167)</f>
        <v>126</v>
      </c>
      <c r="Y167" s="60" t="s">
        <v>75</v>
      </c>
      <c r="Z167" s="61"/>
      <c r="AA167" s="61"/>
      <c r="AB167" s="61"/>
      <c r="AC167" s="62"/>
    </row>
    <row r="168" spans="3:29" hidden="1" x14ac:dyDescent="0.2">
      <c r="C168" s="15">
        <v>42675</v>
      </c>
      <c r="D168" s="51">
        <v>0.19950000000000001</v>
      </c>
      <c r="E168" s="52">
        <v>0</v>
      </c>
      <c r="F168" s="52">
        <f t="shared" ref="F168" si="525">+D168-E168</f>
        <v>0.19950000000000001</v>
      </c>
      <c r="G168" s="53">
        <v>2143385</v>
      </c>
      <c r="H168" s="38"/>
      <c r="I168" s="54">
        <f t="shared" ref="I168" si="526">+G168-H168</f>
        <v>2143385</v>
      </c>
      <c r="J168" s="54">
        <f t="shared" ref="J168" si="527">SUM(I157:I168)/12</f>
        <v>2237143.6666666665</v>
      </c>
      <c r="K168" s="54">
        <f t="shared" ref="K168" si="528">+F168*J168</f>
        <v>446310.16149999999</v>
      </c>
      <c r="L168" s="54"/>
      <c r="M168" s="54"/>
      <c r="N168" s="54">
        <v>126</v>
      </c>
      <c r="O168" s="54">
        <f t="shared" ref="O168" si="529">+K168+N168</f>
        <v>446436.16149999999</v>
      </c>
      <c r="P168" s="54">
        <v>2946674.76</v>
      </c>
      <c r="R168" s="32">
        <f t="shared" ref="R168" si="530">+P168-Q168</f>
        <v>2946674.76</v>
      </c>
      <c r="S168" s="32">
        <f t="shared" ref="S168" si="531">SUM(R157:R168)/12</f>
        <v>3080844.9350000001</v>
      </c>
      <c r="T168" s="29">
        <f t="shared" ref="T168" si="532">+O168/S167</f>
        <v>0.1449073750363658</v>
      </c>
      <c r="V168" s="58">
        <v>0</v>
      </c>
      <c r="W168" s="58">
        <v>126</v>
      </c>
      <c r="X168" s="59">
        <f t="shared" ref="X168" si="533">SUM(V168:W168)</f>
        <v>126</v>
      </c>
      <c r="Y168" s="60" t="s">
        <v>75</v>
      </c>
      <c r="Z168" s="61"/>
      <c r="AA168" s="61"/>
      <c r="AB168" s="61"/>
      <c r="AC168" s="62"/>
    </row>
    <row r="169" spans="3:29" hidden="1" x14ac:dyDescent="0.2">
      <c r="C169" s="15">
        <v>42705</v>
      </c>
      <c r="D169" s="51">
        <v>0.16919999999999999</v>
      </c>
      <c r="E169" s="52">
        <v>0</v>
      </c>
      <c r="F169" s="52">
        <f t="shared" ref="F169" si="534">+D169-E169</f>
        <v>0.16919999999999999</v>
      </c>
      <c r="G169" s="53">
        <v>2726467</v>
      </c>
      <c r="H169" s="38"/>
      <c r="I169" s="54">
        <f t="shared" ref="I169" si="535">+G169-H169</f>
        <v>2726467</v>
      </c>
      <c r="J169" s="54">
        <f t="shared" ref="J169" si="536">SUM(I158:I169)/12</f>
        <v>2269512.0833333335</v>
      </c>
      <c r="K169" s="54">
        <f t="shared" ref="K169" si="537">+F169*J169</f>
        <v>384001.44449999998</v>
      </c>
      <c r="L169" s="54"/>
      <c r="M169" s="54"/>
      <c r="N169" s="54">
        <v>126</v>
      </c>
      <c r="O169" s="54">
        <f t="shared" ref="O169" si="538">+K169+N169</f>
        <v>384127.44449999998</v>
      </c>
      <c r="P169" s="54">
        <v>3617479.06</v>
      </c>
      <c r="R169" s="32">
        <f t="shared" ref="R169" si="539">+P169-Q169</f>
        <v>3617479.06</v>
      </c>
      <c r="S169" s="32">
        <f t="shared" ref="S169" si="540">SUM(R158:R169)/12</f>
        <v>3127789.9975000005</v>
      </c>
      <c r="T169" s="29">
        <f t="shared" ref="T169" si="541">+O169/S168</f>
        <v>0.12468249866655493</v>
      </c>
      <c r="V169" s="58">
        <v>0</v>
      </c>
      <c r="W169" s="58">
        <v>126</v>
      </c>
      <c r="X169" s="59">
        <f t="shared" ref="X169" si="542">SUM(V169:W169)</f>
        <v>126</v>
      </c>
      <c r="Y169" s="60" t="s">
        <v>75</v>
      </c>
      <c r="Z169" s="61"/>
      <c r="AA169" s="61"/>
      <c r="AB169" s="61"/>
      <c r="AC169" s="62"/>
    </row>
    <row r="170" spans="3:29" hidden="1" x14ac:dyDescent="0.2">
      <c r="C170" s="15">
        <v>42736</v>
      </c>
      <c r="D170" s="51">
        <v>0.11210000000000001</v>
      </c>
      <c r="E170" s="52">
        <v>0</v>
      </c>
      <c r="F170" s="52">
        <f t="shared" ref="F170" si="543">+D170-E170</f>
        <v>0.11210000000000001</v>
      </c>
      <c r="G170" s="53">
        <v>2698236</v>
      </c>
      <c r="H170" s="38"/>
      <c r="I170" s="54">
        <f t="shared" ref="I170" si="544">+G170-H170</f>
        <v>2698236</v>
      </c>
      <c r="J170" s="54">
        <f t="shared" ref="J170" si="545">SUM(I159:I170)/12</f>
        <v>2227276.6666666665</v>
      </c>
      <c r="K170" s="54">
        <f t="shared" ref="K170" si="546">+F170*J170</f>
        <v>249677.71433333334</v>
      </c>
      <c r="L170" s="54"/>
      <c r="M170" s="54"/>
      <c r="N170" s="54">
        <v>125</v>
      </c>
      <c r="O170" s="54">
        <f t="shared" ref="O170" si="547">+K170+N170</f>
        <v>249802.71433333334</v>
      </c>
      <c r="P170" s="54">
        <v>3434081.9</v>
      </c>
      <c r="R170" s="32">
        <f t="shared" ref="R170" si="548">+P170-Q170</f>
        <v>3434081.9</v>
      </c>
      <c r="S170" s="32">
        <f t="shared" ref="S170" si="549">SUM(R159:R170)/12</f>
        <v>3058404.9691666667</v>
      </c>
      <c r="T170" s="29">
        <f t="shared" ref="T170" si="550">+O170/S169</f>
        <v>7.9865564674417786E-2</v>
      </c>
      <c r="V170" s="58">
        <v>0</v>
      </c>
      <c r="W170" s="65">
        <f>755-SUM(W165:W169)</f>
        <v>125</v>
      </c>
      <c r="X170" s="59">
        <f t="shared" ref="X170" si="551">SUM(V170:W170)</f>
        <v>125</v>
      </c>
      <c r="Y170" s="60" t="s">
        <v>75</v>
      </c>
      <c r="Z170" s="61"/>
      <c r="AA170" s="61"/>
      <c r="AB170" s="61"/>
      <c r="AC170" s="62"/>
    </row>
    <row r="171" spans="3:29" hidden="1" x14ac:dyDescent="0.2">
      <c r="C171" s="15">
        <v>42767</v>
      </c>
      <c r="D171" s="51">
        <v>0.1226</v>
      </c>
      <c r="E171" s="52">
        <v>0</v>
      </c>
      <c r="F171" s="52">
        <f t="shared" ref="F171" si="552">+D171-E171</f>
        <v>0.1226</v>
      </c>
      <c r="G171" s="53">
        <v>2287998</v>
      </c>
      <c r="H171" s="38"/>
      <c r="I171" s="54">
        <f t="shared" ref="I171" si="553">+G171-H171</f>
        <v>2287998</v>
      </c>
      <c r="J171" s="54">
        <f t="shared" ref="J171" si="554">SUM(I160:I171)/12</f>
        <v>2190817.5</v>
      </c>
      <c r="K171" s="54">
        <f t="shared" ref="K171" si="555">+F171*J171</f>
        <v>268594.2255</v>
      </c>
      <c r="L171" s="54"/>
      <c r="M171" s="54"/>
      <c r="N171" s="54">
        <v>0</v>
      </c>
      <c r="O171" s="54">
        <f t="shared" ref="O171" si="556">+K171+N171</f>
        <v>268594.2255</v>
      </c>
      <c r="P171" s="54">
        <v>3372094.99</v>
      </c>
      <c r="R171" s="32">
        <f t="shared" ref="R171" si="557">+P171-Q171</f>
        <v>3372094.99</v>
      </c>
      <c r="S171" s="32">
        <f t="shared" ref="S171" si="558">SUM(R160:R171)/12</f>
        <v>3026088.0691666659</v>
      </c>
      <c r="T171" s="29">
        <f t="shared" ref="T171" si="559">+O171/S170</f>
        <v>8.782166789808242E-2</v>
      </c>
      <c r="V171" s="63"/>
      <c r="W171" s="66"/>
      <c r="X171" s="57"/>
      <c r="Y171" s="64"/>
    </row>
    <row r="172" spans="3:29" hidden="1" x14ac:dyDescent="0.2">
      <c r="C172" s="15">
        <v>42795</v>
      </c>
      <c r="D172" s="51">
        <v>0.1573</v>
      </c>
      <c r="E172" s="52">
        <v>0</v>
      </c>
      <c r="F172" s="52">
        <f t="shared" ref="F172" si="560">+D172-E172</f>
        <v>0.1573</v>
      </c>
      <c r="G172" s="53">
        <v>2281888</v>
      </c>
      <c r="H172" s="38"/>
      <c r="I172" s="54">
        <f t="shared" ref="I172" si="561">+G172-H172</f>
        <v>2281888</v>
      </c>
      <c r="J172" s="54">
        <f t="shared" ref="J172" si="562">SUM(I161:I172)/12</f>
        <v>2208331.5</v>
      </c>
      <c r="K172" s="54">
        <f t="shared" ref="K172" si="563">+F172*J172</f>
        <v>347370.54495000001</v>
      </c>
      <c r="L172" s="54"/>
      <c r="M172" s="54"/>
      <c r="N172" s="54">
        <v>0</v>
      </c>
      <c r="O172" s="54">
        <f t="shared" ref="O172" si="564">+K172+N172</f>
        <v>347370.54495000001</v>
      </c>
      <c r="P172" s="54">
        <v>3375058.81</v>
      </c>
      <c r="R172" s="32">
        <f t="shared" ref="R172" si="565">+P172-Q172</f>
        <v>3375058.81</v>
      </c>
      <c r="S172" s="32">
        <f t="shared" ref="S172" si="566">SUM(R161:R172)/12</f>
        <v>3051477.8941666665</v>
      </c>
      <c r="T172" s="29">
        <f t="shared" ref="T172" si="567">+O172/S171</f>
        <v>0.11479194822167223</v>
      </c>
      <c r="V172" s="63"/>
      <c r="W172" s="66"/>
      <c r="X172" s="57"/>
      <c r="Y172" s="64"/>
    </row>
    <row r="173" spans="3:29" hidden="1" x14ac:dyDescent="0.2">
      <c r="C173" s="15">
        <v>42826</v>
      </c>
      <c r="D173" s="51">
        <v>0.154</v>
      </c>
      <c r="E173" s="52">
        <v>0</v>
      </c>
      <c r="F173" s="52">
        <f t="shared" ref="F173" si="568">+D173-E173</f>
        <v>0.154</v>
      </c>
      <c r="G173" s="53">
        <v>1692443</v>
      </c>
      <c r="H173" s="38"/>
      <c r="I173" s="54">
        <f t="shared" ref="I173" si="569">+G173-H173</f>
        <v>1692443</v>
      </c>
      <c r="J173" s="54">
        <f t="shared" ref="J173" si="570">SUM(I162:I173)/12</f>
        <v>2203707.6666666665</v>
      </c>
      <c r="K173" s="54">
        <f t="shared" ref="K173" si="571">+F173*J173</f>
        <v>339370.98066666664</v>
      </c>
      <c r="L173" s="54"/>
      <c r="M173" s="54"/>
      <c r="N173" s="54">
        <v>-10771</v>
      </c>
      <c r="O173" s="54">
        <f t="shared" ref="O173" si="572">+K173+N173</f>
        <v>328599.98066666664</v>
      </c>
      <c r="P173" s="54">
        <v>2448410.67</v>
      </c>
      <c r="R173" s="32">
        <f t="shared" ref="R173" si="573">+P173-Q173</f>
        <v>2448410.67</v>
      </c>
      <c r="S173" s="32">
        <f t="shared" ref="S173" si="574">SUM(R162:R173)/12</f>
        <v>3040013.2391666663</v>
      </c>
      <c r="T173" s="29">
        <f t="shared" ref="T173" si="575">+O173/S172</f>
        <v>0.10768551897257135</v>
      </c>
      <c r="V173" s="58">
        <v>-10771</v>
      </c>
      <c r="W173" s="58">
        <v>0</v>
      </c>
      <c r="X173" s="59">
        <f t="shared" ref="X173" si="576">SUM(V173:W173)</f>
        <v>-10771</v>
      </c>
      <c r="Y173" s="60" t="s">
        <v>76</v>
      </c>
      <c r="Z173" s="61"/>
      <c r="AA173" s="61"/>
      <c r="AB173" s="61"/>
      <c r="AC173" s="62"/>
    </row>
    <row r="174" spans="3:29" hidden="1" x14ac:dyDescent="0.2">
      <c r="C174" s="15">
        <v>42856</v>
      </c>
      <c r="D174" s="51">
        <v>0.1986</v>
      </c>
      <c r="E174" s="52">
        <v>0</v>
      </c>
      <c r="F174" s="52">
        <f t="shared" ref="F174" si="577">+D174-E174</f>
        <v>0.1986</v>
      </c>
      <c r="G174" s="53">
        <v>1822894</v>
      </c>
      <c r="H174" s="38"/>
      <c r="I174" s="54">
        <f t="shared" ref="I174" si="578">+G174-H174</f>
        <v>1822894</v>
      </c>
      <c r="J174" s="54">
        <f t="shared" ref="J174" si="579">SUM(I163:I174)/12</f>
        <v>2203852.1666666665</v>
      </c>
      <c r="K174" s="54">
        <f t="shared" ref="K174" si="580">+F174*J174</f>
        <v>437685.04029999999</v>
      </c>
      <c r="L174" s="54"/>
      <c r="M174" s="54"/>
      <c r="N174" s="54">
        <v>-10771</v>
      </c>
      <c r="O174" s="54">
        <f t="shared" ref="O174" si="581">+K174+N174</f>
        <v>426914.04029999999</v>
      </c>
      <c r="P174" s="54">
        <v>2612967.84</v>
      </c>
      <c r="R174" s="32">
        <f t="shared" ref="R174" si="582">+P174-Q174</f>
        <v>2612967.84</v>
      </c>
      <c r="S174" s="32">
        <f t="shared" ref="S174" si="583">SUM(R163:R174)/12</f>
        <v>3068524.8583333329</v>
      </c>
      <c r="T174" s="29">
        <f t="shared" ref="T174" si="584">+O174/S173</f>
        <v>0.1404316385204383</v>
      </c>
      <c r="V174" s="58">
        <v>-10771</v>
      </c>
      <c r="W174" s="58">
        <v>0</v>
      </c>
      <c r="X174" s="59">
        <f t="shared" ref="X174" si="585">SUM(V174:W174)</f>
        <v>-10771</v>
      </c>
      <c r="Y174" s="60" t="s">
        <v>76</v>
      </c>
      <c r="Z174" s="61"/>
      <c r="AA174" s="61"/>
      <c r="AB174" s="61"/>
      <c r="AC174" s="62"/>
    </row>
    <row r="175" spans="3:29" hidden="1" x14ac:dyDescent="0.2">
      <c r="C175" s="15">
        <v>42887</v>
      </c>
      <c r="D175" s="51">
        <v>0.18129999999999999</v>
      </c>
      <c r="E175" s="52">
        <v>0</v>
      </c>
      <c r="F175" s="52">
        <f t="shared" ref="F175" si="586">+D175-E175</f>
        <v>0.18129999999999999</v>
      </c>
      <c r="G175" s="53">
        <v>1915811</v>
      </c>
      <c r="H175" s="38"/>
      <c r="I175" s="54">
        <f t="shared" ref="I175" si="587">+G175-H175</f>
        <v>1915811</v>
      </c>
      <c r="J175" s="54">
        <f t="shared" ref="J175" si="588">SUM(I164:I175)/12</f>
        <v>2184506.5833333335</v>
      </c>
      <c r="K175" s="54">
        <f t="shared" ref="K175" si="589">+F175*J175</f>
        <v>396051.04355833336</v>
      </c>
      <c r="L175" s="54"/>
      <c r="M175" s="54"/>
      <c r="N175" s="54">
        <v>-8009</v>
      </c>
      <c r="O175" s="54">
        <f t="shared" ref="O175" si="590">+K175+N175</f>
        <v>388042.04355833336</v>
      </c>
      <c r="P175" s="54">
        <v>2898340.77</v>
      </c>
      <c r="R175" s="32">
        <f t="shared" ref="R175" si="591">+P175-Q175</f>
        <v>2898340.77</v>
      </c>
      <c r="S175" s="32">
        <f t="shared" ref="S175" si="592">SUM(R164:R175)/12</f>
        <v>3063288.3375000004</v>
      </c>
      <c r="T175" s="29">
        <f t="shared" ref="T175" si="593">+O175/S174</f>
        <v>0.12645882353030638</v>
      </c>
      <c r="V175" s="58">
        <v>-10771</v>
      </c>
      <c r="W175" s="58">
        <v>2762</v>
      </c>
      <c r="X175" s="59">
        <f t="shared" ref="X175" si="594">SUM(V175:W175)</f>
        <v>-8009</v>
      </c>
      <c r="Y175" s="60" t="s">
        <v>77</v>
      </c>
      <c r="Z175" s="61"/>
      <c r="AA175" s="61"/>
      <c r="AB175" s="61"/>
      <c r="AC175" s="62"/>
    </row>
    <row r="176" spans="3:29" hidden="1" x14ac:dyDescent="0.2">
      <c r="C176" s="15">
        <v>42917</v>
      </c>
      <c r="D176" s="51">
        <v>0.17749999999999999</v>
      </c>
      <c r="E176" s="52">
        <v>0</v>
      </c>
      <c r="F176" s="52">
        <f t="shared" ref="F176" si="595">+D176-E176</f>
        <v>0.17749999999999999</v>
      </c>
      <c r="G176" s="53">
        <v>2257537</v>
      </c>
      <c r="H176" s="38"/>
      <c r="I176" s="54">
        <f t="shared" ref="I176" si="596">+G176-H176</f>
        <v>2257537</v>
      </c>
      <c r="J176" s="54">
        <f t="shared" ref="J176" si="597">SUM(I165:I176)/12</f>
        <v>2172324.3333333335</v>
      </c>
      <c r="K176" s="54">
        <f t="shared" ref="K176" si="598">+F176*J176</f>
        <v>385587.56916666665</v>
      </c>
      <c r="L176" s="54"/>
      <c r="M176" s="54"/>
      <c r="N176" s="54">
        <v>-8009</v>
      </c>
      <c r="O176" s="54">
        <f t="shared" ref="O176" si="599">+K176+N176</f>
        <v>377578.56916666665</v>
      </c>
      <c r="P176" s="54">
        <v>3154287.17</v>
      </c>
      <c r="R176" s="32">
        <f t="shared" ref="R176" si="600">+P176-Q176</f>
        <v>3154287.17</v>
      </c>
      <c r="S176" s="32">
        <f t="shared" ref="S176" si="601">SUM(R165:R176)/12</f>
        <v>3050372.335833333</v>
      </c>
      <c r="T176" s="29">
        <f t="shared" ref="T176" si="602">+O176/S175</f>
        <v>0.12325923242172322</v>
      </c>
      <c r="V176" s="58">
        <v>-10771</v>
      </c>
      <c r="W176" s="58">
        <v>2762</v>
      </c>
      <c r="X176" s="59">
        <f t="shared" ref="X176" si="603">SUM(V176:W176)</f>
        <v>-8009</v>
      </c>
      <c r="Y176" s="60" t="s">
        <v>77</v>
      </c>
      <c r="Z176" s="61"/>
      <c r="AA176" s="61"/>
      <c r="AB176" s="61"/>
      <c r="AC176" s="62"/>
    </row>
    <row r="177" spans="3:29" hidden="1" x14ac:dyDescent="0.2">
      <c r="C177" s="15">
        <v>42948</v>
      </c>
      <c r="D177" s="51">
        <v>0.15890000000000001</v>
      </c>
      <c r="E177" s="52">
        <v>0</v>
      </c>
      <c r="F177" s="52">
        <f t="shared" ref="F177" si="604">+D177-E177</f>
        <v>0.15890000000000001</v>
      </c>
      <c r="G177" s="53">
        <v>2128958</v>
      </c>
      <c r="H177" s="38"/>
      <c r="I177" s="54">
        <f t="shared" ref="I177" si="605">+G177-H177</f>
        <v>2128958</v>
      </c>
      <c r="J177" s="54">
        <f t="shared" ref="J177" si="606">SUM(I166:I177)/12</f>
        <v>2145274.0833333335</v>
      </c>
      <c r="K177" s="54">
        <f t="shared" ref="K177" si="607">+F177*J177</f>
        <v>340884.05184166675</v>
      </c>
      <c r="L177" s="54"/>
      <c r="M177" s="54"/>
      <c r="N177" s="54">
        <v>-8009</v>
      </c>
      <c r="O177" s="54">
        <f t="shared" ref="O177" si="608">+K177+N177</f>
        <v>332875.05184166675</v>
      </c>
      <c r="P177" s="54">
        <v>3123648.72</v>
      </c>
      <c r="R177" s="32">
        <f t="shared" ref="R177" si="609">+P177-Q177</f>
        <v>3123648.72</v>
      </c>
      <c r="S177" s="32">
        <f t="shared" ref="S177" si="610">SUM(R166:R177)/12</f>
        <v>3042430.1233333331</v>
      </c>
      <c r="T177" s="29">
        <f t="shared" ref="T177" si="611">+O177/S176</f>
        <v>0.10912603944486286</v>
      </c>
      <c r="V177" s="58">
        <v>-10771</v>
      </c>
      <c r="W177" s="58">
        <v>2762</v>
      </c>
      <c r="X177" s="59">
        <f t="shared" ref="X177" si="612">SUM(V177:W177)</f>
        <v>-8009</v>
      </c>
      <c r="Y177" s="60" t="s">
        <v>77</v>
      </c>
      <c r="Z177" s="61"/>
      <c r="AA177" s="61"/>
      <c r="AB177" s="61"/>
      <c r="AC177" s="62"/>
    </row>
    <row r="178" spans="3:29" hidden="1" x14ac:dyDescent="0.2">
      <c r="C178" s="15">
        <v>42979</v>
      </c>
      <c r="D178" s="51">
        <v>0.17530000000000001</v>
      </c>
      <c r="E178" s="52">
        <v>0</v>
      </c>
      <c r="F178" s="52">
        <f t="shared" ref="F178" si="613">+D178-E178</f>
        <v>0.17530000000000001</v>
      </c>
      <c r="G178" s="53">
        <v>1667687</v>
      </c>
      <c r="H178" s="38"/>
      <c r="I178" s="54">
        <f t="shared" ref="I178" si="614">+G178-H178</f>
        <v>1667687</v>
      </c>
      <c r="J178" s="54">
        <f t="shared" ref="J178" si="615">SUM(I167:I178)/12</f>
        <v>2110586.25</v>
      </c>
      <c r="K178" s="54">
        <f t="shared" ref="K178" si="616">+F178*J178</f>
        <v>369985.76962500002</v>
      </c>
      <c r="L178" s="54"/>
      <c r="M178" s="54"/>
      <c r="N178" s="54">
        <v>-8008</v>
      </c>
      <c r="O178" s="54">
        <f t="shared" ref="O178" si="617">+K178+N178</f>
        <v>361977.76962500002</v>
      </c>
      <c r="P178" s="54">
        <v>2620037.7999999998</v>
      </c>
      <c r="R178" s="32">
        <f t="shared" ref="R178" si="618">+P178-Q178</f>
        <v>2620037.7999999998</v>
      </c>
      <c r="S178" s="32">
        <f t="shared" ref="S178" si="619">SUM(R167:R178)/12</f>
        <v>2991989.5416666665</v>
      </c>
      <c r="T178" s="29">
        <f t="shared" ref="T178" si="620">+O178/S177</f>
        <v>0.11897652697062164</v>
      </c>
      <c r="V178" s="65">
        <f>-64625-SUM(V173:V177)</f>
        <v>-10770</v>
      </c>
      <c r="W178" s="58">
        <v>2762</v>
      </c>
      <c r="X178" s="59">
        <f t="shared" ref="X178" si="621">SUM(V178:W178)</f>
        <v>-8008</v>
      </c>
      <c r="Y178" s="60" t="s">
        <v>77</v>
      </c>
      <c r="Z178" s="61"/>
      <c r="AA178" s="61"/>
      <c r="AB178" s="61"/>
      <c r="AC178" s="62"/>
    </row>
    <row r="179" spans="3:29" hidden="1" x14ac:dyDescent="0.2">
      <c r="C179" s="15">
        <v>43009</v>
      </c>
      <c r="D179" s="51">
        <v>0.2051</v>
      </c>
      <c r="E179" s="52">
        <v>0</v>
      </c>
      <c r="F179" s="52">
        <f t="shared" ref="F179" si="622">+D179-E179</f>
        <v>0.2051</v>
      </c>
      <c r="G179" s="53">
        <v>1921094</v>
      </c>
      <c r="H179" s="38"/>
      <c r="I179" s="54">
        <f t="shared" ref="I179" si="623">+G179-H179</f>
        <v>1921094</v>
      </c>
      <c r="J179" s="54">
        <f t="shared" ref="J179" si="624">SUM(I168:I179)/12</f>
        <v>2128699.8333333335</v>
      </c>
      <c r="K179" s="54">
        <f t="shared" ref="K179" si="625">+F179*J179</f>
        <v>436596.33581666672</v>
      </c>
      <c r="L179" s="54"/>
      <c r="M179" s="54"/>
      <c r="N179" s="54">
        <v>2762</v>
      </c>
      <c r="O179" s="54">
        <f t="shared" ref="O179" si="626">+K179+N179</f>
        <v>439358.33581666672</v>
      </c>
      <c r="P179" s="54">
        <v>2324849.77</v>
      </c>
      <c r="R179" s="32">
        <f t="shared" ref="R179" si="627">+P179-Q179</f>
        <v>2324849.77</v>
      </c>
      <c r="S179" s="32">
        <f t="shared" ref="S179" si="628">SUM(R168:R179)/12</f>
        <v>2993994.355</v>
      </c>
      <c r="T179" s="29">
        <f t="shared" ref="T179" si="629">+O179/S178</f>
        <v>0.14684487686140951</v>
      </c>
      <c r="V179" s="65">
        <v>0</v>
      </c>
      <c r="W179" s="58">
        <v>2762</v>
      </c>
      <c r="X179" s="59">
        <f t="shared" ref="X179" si="630">SUM(V179:W179)</f>
        <v>2762</v>
      </c>
      <c r="Y179" s="60" t="s">
        <v>77</v>
      </c>
      <c r="Z179" s="61"/>
      <c r="AA179" s="61"/>
      <c r="AB179" s="61"/>
      <c r="AC179" s="62"/>
    </row>
    <row r="180" spans="3:29" hidden="1" x14ac:dyDescent="0.2">
      <c r="C180" s="15">
        <v>43040</v>
      </c>
      <c r="D180" s="51">
        <v>0.1787</v>
      </c>
      <c r="E180" s="52">
        <v>0</v>
      </c>
      <c r="F180" s="52">
        <f t="shared" ref="F180" si="631">+D180-E180</f>
        <v>0.1787</v>
      </c>
      <c r="G180" s="53">
        <v>2195719</v>
      </c>
      <c r="H180" s="38"/>
      <c r="I180" s="54">
        <f t="shared" ref="I180" si="632">+G180-H180</f>
        <v>2195719</v>
      </c>
      <c r="J180" s="54">
        <f t="shared" ref="J180" si="633">SUM(I169:I180)/12</f>
        <v>2133061</v>
      </c>
      <c r="K180" s="54">
        <f t="shared" ref="K180" si="634">+F180*J180</f>
        <v>381178.00069999998</v>
      </c>
      <c r="L180" s="54"/>
      <c r="M180" s="54"/>
      <c r="N180" s="54">
        <v>2760</v>
      </c>
      <c r="O180" s="54">
        <f t="shared" ref="O180" si="635">+K180+N180</f>
        <v>383938.00069999998</v>
      </c>
      <c r="P180" s="54">
        <v>3215243.33</v>
      </c>
      <c r="R180" s="32">
        <f t="shared" ref="R180" si="636">+P180-Q180</f>
        <v>3215243.33</v>
      </c>
      <c r="S180" s="32">
        <f t="shared" ref="S180" si="637">SUM(R169:R180)/12</f>
        <v>3016375.0691666664</v>
      </c>
      <c r="T180" s="29">
        <f t="shared" ref="T180" si="638">+O180/S179</f>
        <v>0.12823604695807783</v>
      </c>
      <c r="V180" s="65">
        <v>0</v>
      </c>
      <c r="W180" s="65">
        <f>16570-SUM(W175:W179)</f>
        <v>2760</v>
      </c>
      <c r="X180" s="59">
        <f t="shared" ref="X180" si="639">SUM(V180:W180)</f>
        <v>2760</v>
      </c>
      <c r="Y180" s="60" t="s">
        <v>77</v>
      </c>
      <c r="Z180" s="61"/>
      <c r="AA180" s="61"/>
      <c r="AB180" s="61"/>
      <c r="AC180" s="62"/>
    </row>
    <row r="181" spans="3:29" hidden="1" x14ac:dyDescent="0.2">
      <c r="C181" s="15">
        <v>43070</v>
      </c>
      <c r="D181" s="51">
        <v>0.16389999999999999</v>
      </c>
      <c r="E181" s="52">
        <v>0</v>
      </c>
      <c r="F181" s="52">
        <f t="shared" ref="F181" si="640">+D181-E181</f>
        <v>0.16389999999999999</v>
      </c>
      <c r="G181" s="53">
        <v>2903405</v>
      </c>
      <c r="H181" s="38"/>
      <c r="I181" s="54">
        <f t="shared" ref="I181" si="641">+G181-H181</f>
        <v>2903405</v>
      </c>
      <c r="J181" s="54">
        <f t="shared" ref="J181" si="642">SUM(I170:I181)/12</f>
        <v>2147805.8333333335</v>
      </c>
      <c r="K181" s="54">
        <f t="shared" ref="K181" si="643">+F181*J181</f>
        <v>352025.37608333334</v>
      </c>
      <c r="L181" s="54"/>
      <c r="M181" s="54"/>
      <c r="N181" s="54">
        <v>-17505</v>
      </c>
      <c r="O181" s="54">
        <f t="shared" ref="O181" si="644">+K181+N181</f>
        <v>334520.37608333334</v>
      </c>
      <c r="P181" s="54">
        <v>4003876.18</v>
      </c>
      <c r="R181" s="32">
        <f t="shared" ref="R181" si="645">+P181-Q181</f>
        <v>4003876.18</v>
      </c>
      <c r="S181" s="32">
        <f t="shared" ref="S181" si="646">SUM(R170:R181)/12</f>
        <v>3048574.8291666661</v>
      </c>
      <c r="T181" s="29">
        <f t="shared" ref="T181" si="647">+O181/S180</f>
        <v>0.11090145237666059</v>
      </c>
      <c r="V181" s="67">
        <v>-17505</v>
      </c>
      <c r="W181" s="65">
        <v>0</v>
      </c>
      <c r="X181" s="59">
        <f t="shared" ref="X181" si="648">SUM(V181:W181)</f>
        <v>-17505</v>
      </c>
      <c r="Y181" s="60" t="s">
        <v>78</v>
      </c>
      <c r="Z181" s="61"/>
      <c r="AA181" s="61"/>
      <c r="AB181" s="61"/>
      <c r="AC181" s="62"/>
    </row>
    <row r="182" spans="3:29" hidden="1" x14ac:dyDescent="0.2">
      <c r="C182" s="15">
        <v>43101</v>
      </c>
      <c r="D182" s="51">
        <v>0.1079</v>
      </c>
      <c r="E182" s="52">
        <v>0</v>
      </c>
      <c r="F182" s="52">
        <f t="shared" ref="F182" si="649">+D182-E182</f>
        <v>0.1079</v>
      </c>
      <c r="G182" s="53">
        <v>3555791</v>
      </c>
      <c r="H182" s="38"/>
      <c r="I182" s="54">
        <f t="shared" ref="I182" si="650">+G182-H182</f>
        <v>3555791</v>
      </c>
      <c r="J182" s="54">
        <f t="shared" ref="J182" si="651">SUM(I171:I182)/12</f>
        <v>2219268.75</v>
      </c>
      <c r="K182" s="54">
        <f t="shared" ref="K182" si="652">+F182*J182</f>
        <v>239459.09812499999</v>
      </c>
      <c r="L182" s="54"/>
      <c r="M182" s="54"/>
      <c r="N182" s="54">
        <v>-17505</v>
      </c>
      <c r="O182" s="54">
        <f t="shared" ref="O182" si="653">+K182+N182</f>
        <v>221954.09812499999</v>
      </c>
      <c r="P182" s="54">
        <v>4655531.28</v>
      </c>
      <c r="R182" s="32">
        <f t="shared" ref="R182" si="654">+P182-Q182</f>
        <v>4655531.28</v>
      </c>
      <c r="S182" s="32">
        <f t="shared" ref="S182" si="655">SUM(R171:R182)/12</f>
        <v>3150362.2774999999</v>
      </c>
      <c r="T182" s="29">
        <f t="shared" ref="T182" si="656">+O182/S181</f>
        <v>7.2805855379207335E-2</v>
      </c>
      <c r="V182" s="67">
        <v>-17505</v>
      </c>
      <c r="W182" s="65">
        <v>0</v>
      </c>
      <c r="X182" s="59">
        <f t="shared" ref="X182" si="657">SUM(V182:W182)</f>
        <v>-17505</v>
      </c>
      <c r="Y182" s="60" t="s">
        <v>78</v>
      </c>
      <c r="Z182" s="61"/>
      <c r="AA182" s="61"/>
      <c r="AB182" s="61"/>
      <c r="AC182" s="62"/>
    </row>
    <row r="183" spans="3:29" hidden="1" x14ac:dyDescent="0.2">
      <c r="C183" s="15">
        <v>43132</v>
      </c>
      <c r="D183" s="51">
        <v>7.2900000000000006E-2</v>
      </c>
      <c r="E183" s="52">
        <v>0</v>
      </c>
      <c r="F183" s="52">
        <f t="shared" ref="F183" si="658">+D183-E183</f>
        <v>7.2900000000000006E-2</v>
      </c>
      <c r="G183" s="53">
        <v>2498609</v>
      </c>
      <c r="H183" s="38"/>
      <c r="I183" s="54">
        <f t="shared" ref="I183" si="659">+G183-H183</f>
        <v>2498609</v>
      </c>
      <c r="J183" s="54">
        <f t="shared" ref="J183" si="660">SUM(I172:I183)/12</f>
        <v>2236819.6666666665</v>
      </c>
      <c r="K183" s="54">
        <f t="shared" ref="K183" si="661">+F183*J183</f>
        <v>163064.1537</v>
      </c>
      <c r="L183" s="54"/>
      <c r="M183" s="54"/>
      <c r="N183" s="54">
        <v>-17505</v>
      </c>
      <c r="O183" s="54">
        <f t="shared" ref="O183" si="662">+K183+N183</f>
        <v>145559.1537</v>
      </c>
      <c r="P183" s="54">
        <v>3753560.27</v>
      </c>
      <c r="R183" s="32">
        <f t="shared" ref="R183" si="663">+P183-Q183</f>
        <v>3753560.27</v>
      </c>
      <c r="S183" s="32">
        <f t="shared" ref="S183" si="664">SUM(R172:R183)/12</f>
        <v>3182151.0508333337</v>
      </c>
      <c r="T183" s="29">
        <f t="shared" ref="T183" si="665">+O183/S182</f>
        <v>4.6203941286241487E-2</v>
      </c>
      <c r="V183" s="67">
        <v>-17505</v>
      </c>
      <c r="W183" s="65">
        <v>0</v>
      </c>
      <c r="X183" s="59">
        <f t="shared" ref="X183" si="666">SUM(V183:W183)</f>
        <v>-17505</v>
      </c>
      <c r="Y183" s="60" t="s">
        <v>78</v>
      </c>
      <c r="Z183" s="61"/>
      <c r="AA183" s="61"/>
      <c r="AB183" s="61"/>
      <c r="AC183" s="62"/>
    </row>
    <row r="184" spans="3:29" hidden="1" x14ac:dyDescent="0.2">
      <c r="C184" s="15">
        <v>43160</v>
      </c>
      <c r="D184" s="51">
        <v>0.13519999999999999</v>
      </c>
      <c r="E184" s="52">
        <v>0</v>
      </c>
      <c r="F184" s="52">
        <f t="shared" ref="F184" si="667">+D184-E184</f>
        <v>0.13519999999999999</v>
      </c>
      <c r="G184" s="53">
        <v>2405016</v>
      </c>
      <c r="H184" s="38"/>
      <c r="I184" s="54">
        <f t="shared" ref="I184" si="668">+G184-H184</f>
        <v>2405016</v>
      </c>
      <c r="J184" s="54">
        <f t="shared" ref="J184" si="669">SUM(I173:I184)/12</f>
        <v>2247080.3333333335</v>
      </c>
      <c r="K184" s="54">
        <f t="shared" ref="K184" si="670">+F184*J184</f>
        <v>303805.26106666663</v>
      </c>
      <c r="L184" s="54"/>
      <c r="M184" s="54"/>
      <c r="N184" s="54">
        <v>-17505</v>
      </c>
      <c r="O184" s="54">
        <f t="shared" ref="O184" si="671">+K184+N184</f>
        <v>286300.26106666663</v>
      </c>
      <c r="P184" s="54">
        <v>3598700.73</v>
      </c>
      <c r="R184" s="32">
        <f t="shared" ref="R184" si="672">+P184-Q184</f>
        <v>3598700.73</v>
      </c>
      <c r="S184" s="32">
        <f t="shared" ref="S184" si="673">SUM(R173:R184)/12</f>
        <v>3200787.8774999999</v>
      </c>
      <c r="T184" s="29">
        <f t="shared" ref="T184" si="674">+O184/S183</f>
        <v>8.9970669680086698E-2</v>
      </c>
      <c r="V184" s="67">
        <v>-17505</v>
      </c>
      <c r="W184" s="65">
        <v>0</v>
      </c>
      <c r="X184" s="59">
        <f t="shared" ref="X184" si="675">SUM(V184:W184)</f>
        <v>-17505</v>
      </c>
      <c r="Y184" s="60" t="s">
        <v>78</v>
      </c>
      <c r="Z184" s="61"/>
      <c r="AA184" s="61"/>
      <c r="AB184" s="61"/>
      <c r="AC184" s="62"/>
    </row>
    <row r="185" spans="3:29" hidden="1" x14ac:dyDescent="0.2">
      <c r="C185" s="15">
        <v>43191</v>
      </c>
      <c r="D185" s="51">
        <v>0.1449</v>
      </c>
      <c r="E185" s="52">
        <v>0</v>
      </c>
      <c r="F185" s="52">
        <f t="shared" ref="F185" si="676">+D185-E185</f>
        <v>0.1449</v>
      </c>
      <c r="G185" s="53">
        <v>2013088</v>
      </c>
      <c r="H185" s="38"/>
      <c r="I185" s="54">
        <f t="shared" ref="I185" si="677">+G185-H185</f>
        <v>2013088</v>
      </c>
      <c r="J185" s="54">
        <f t="shared" ref="J185" si="678">SUM(I174:I185)/12</f>
        <v>2273800.75</v>
      </c>
      <c r="K185" s="54">
        <f t="shared" ref="K185" si="679">+F185*J185</f>
        <v>329473.72867500002</v>
      </c>
      <c r="L185" s="54"/>
      <c r="M185" s="54"/>
      <c r="N185" s="54">
        <v>-17505</v>
      </c>
      <c r="O185" s="54">
        <f t="shared" ref="O185" si="680">+K185+N185</f>
        <v>311968.72867500002</v>
      </c>
      <c r="P185" s="54">
        <v>2965540.58</v>
      </c>
      <c r="R185" s="32">
        <f t="shared" ref="R185" si="681">+P185-Q185</f>
        <v>2965540.58</v>
      </c>
      <c r="S185" s="32">
        <f t="shared" ref="S185" si="682">SUM(R174:R185)/12</f>
        <v>3243882.0366666666</v>
      </c>
      <c r="T185" s="29">
        <f t="shared" ref="T185" si="683">+O185/S184</f>
        <v>9.7466230382834862E-2</v>
      </c>
      <c r="V185" s="67">
        <v>-17505</v>
      </c>
      <c r="W185" s="65">
        <v>0</v>
      </c>
      <c r="X185" s="59">
        <f t="shared" ref="X185" si="684">SUM(V185:W185)</f>
        <v>-17505</v>
      </c>
      <c r="Y185" s="60" t="s">
        <v>78</v>
      </c>
      <c r="Z185" s="61"/>
      <c r="AA185" s="61"/>
      <c r="AB185" s="61"/>
      <c r="AC185" s="62"/>
    </row>
    <row r="186" spans="3:29" hidden="1" x14ac:dyDescent="0.2">
      <c r="C186" s="15">
        <v>43221</v>
      </c>
      <c r="D186" s="51">
        <v>0.15840000000000001</v>
      </c>
      <c r="E186" s="52">
        <v>0</v>
      </c>
      <c r="F186" s="52">
        <f t="shared" ref="F186" si="685">+D186-E186</f>
        <v>0.15840000000000001</v>
      </c>
      <c r="G186" s="53">
        <v>2003562</v>
      </c>
      <c r="H186" s="38"/>
      <c r="I186" s="54">
        <f t="shared" ref="I186" si="686">+G186-H186</f>
        <v>2003562</v>
      </c>
      <c r="J186" s="54">
        <f t="shared" ref="J186" si="687">SUM(I175:I186)/12</f>
        <v>2288856.4166666665</v>
      </c>
      <c r="K186" s="54">
        <f t="shared" ref="K186" si="688">+F186*J186</f>
        <v>362554.85639999999</v>
      </c>
      <c r="L186" s="54"/>
      <c r="M186" s="54"/>
      <c r="N186" s="54">
        <v>-17505</v>
      </c>
      <c r="O186" s="54">
        <f t="shared" ref="O186" si="689">+K186+N186</f>
        <v>345049.85639999999</v>
      </c>
      <c r="P186" s="54">
        <v>2923066.6</v>
      </c>
      <c r="R186" s="32">
        <f t="shared" ref="R186" si="690">+P186-Q186</f>
        <v>2923066.6</v>
      </c>
      <c r="S186" s="32">
        <f t="shared" ref="S186" si="691">SUM(R175:R186)/12</f>
        <v>3269723.6</v>
      </c>
      <c r="T186" s="29">
        <f t="shared" ref="T186" si="692">+O186/S185</f>
        <v>0.1063694217298249</v>
      </c>
      <c r="V186" s="65">
        <f>-105030-SUM(V181:V185)</f>
        <v>-17505</v>
      </c>
      <c r="W186" s="65">
        <v>0</v>
      </c>
      <c r="X186" s="59">
        <f t="shared" ref="X186" si="693">SUM(V186:W186)</f>
        <v>-17505</v>
      </c>
      <c r="Y186" s="60" t="s">
        <v>78</v>
      </c>
      <c r="Z186" s="61"/>
      <c r="AA186" s="61"/>
      <c r="AB186" s="61"/>
      <c r="AC186" s="62"/>
    </row>
    <row r="187" spans="3:29" hidden="1" x14ac:dyDescent="0.2">
      <c r="C187" s="15">
        <v>43252</v>
      </c>
      <c r="D187" s="51">
        <v>0.15590000000000001</v>
      </c>
      <c r="E187" s="52">
        <v>0</v>
      </c>
      <c r="F187" s="52">
        <f t="shared" ref="F187" si="694">+D187-E187</f>
        <v>0.15590000000000001</v>
      </c>
      <c r="G187" s="53">
        <v>2250206</v>
      </c>
      <c r="H187" s="38"/>
      <c r="I187" s="54">
        <f t="shared" ref="I187" si="695">+G187-H187</f>
        <v>2250206</v>
      </c>
      <c r="J187" s="54">
        <f t="shared" ref="J187" si="696">SUM(I176:I187)/12</f>
        <v>2316722.6666666665</v>
      </c>
      <c r="K187" s="54">
        <f t="shared" ref="K187" si="697">+F187*J187</f>
        <v>361177.06373333331</v>
      </c>
      <c r="L187" s="54"/>
      <c r="M187" s="54"/>
      <c r="N187" s="54">
        <v>0</v>
      </c>
      <c r="O187" s="54">
        <f t="shared" ref="O187" si="698">+K187+N187</f>
        <v>361177.06373333331</v>
      </c>
      <c r="P187" s="54">
        <v>3078201.63</v>
      </c>
      <c r="R187" s="32">
        <f t="shared" ref="R187" si="699">+P187-Q187</f>
        <v>3078201.63</v>
      </c>
      <c r="S187" s="32">
        <f t="shared" ref="S187" si="700">SUM(R176:R187)/12</f>
        <v>3284712.0050000008</v>
      </c>
      <c r="T187" s="29">
        <f t="shared" ref="T187" si="701">+O187/S186</f>
        <v>0.1104610382765483</v>
      </c>
      <c r="V187" s="66"/>
      <c r="W187" s="66"/>
      <c r="X187" s="57"/>
      <c r="Y187" s="64"/>
    </row>
    <row r="188" spans="3:29" hidden="1" x14ac:dyDescent="0.2">
      <c r="C188" s="15">
        <v>43282</v>
      </c>
      <c r="D188" s="51">
        <v>0.14169999999999999</v>
      </c>
      <c r="E188" s="52">
        <v>0</v>
      </c>
      <c r="F188" s="52">
        <f t="shared" ref="F188" si="702">+D188-E188</f>
        <v>0.14169999999999999</v>
      </c>
      <c r="G188" s="53">
        <v>2182828</v>
      </c>
      <c r="H188" s="38"/>
      <c r="I188" s="54">
        <f t="shared" ref="I188" si="703">+G188-H188</f>
        <v>2182828</v>
      </c>
      <c r="J188" s="54">
        <f t="shared" ref="J188" si="704">SUM(I177:I188)/12</f>
        <v>2310496.9166666665</v>
      </c>
      <c r="K188" s="54">
        <f t="shared" ref="K188" si="705">+F188*J188</f>
        <v>327397.41309166665</v>
      </c>
      <c r="L188" s="54"/>
      <c r="M188" s="54"/>
      <c r="N188" s="54">
        <v>-11180</v>
      </c>
      <c r="O188" s="54">
        <f t="shared" ref="O188" si="706">+K188+N188</f>
        <v>316217.41309166665</v>
      </c>
      <c r="P188" s="54">
        <v>3370944.08</v>
      </c>
      <c r="R188" s="32">
        <f t="shared" ref="R188" si="707">+P188-Q188</f>
        <v>3370944.08</v>
      </c>
      <c r="S188" s="32">
        <f t="shared" ref="S188" si="708">SUM(R177:R188)/12</f>
        <v>3302766.7475000001</v>
      </c>
      <c r="T188" s="29">
        <f t="shared" ref="T188" si="709">+O188/S187</f>
        <v>9.6269448466203222E-2</v>
      </c>
      <c r="V188" s="67">
        <v>-11180</v>
      </c>
      <c r="W188" s="65">
        <v>0</v>
      </c>
      <c r="X188" s="59">
        <f t="shared" ref="X188" si="710">SUM(V188:W188)</f>
        <v>-11180</v>
      </c>
      <c r="Y188" s="60" t="s">
        <v>79</v>
      </c>
      <c r="Z188" s="61"/>
      <c r="AA188" s="61"/>
      <c r="AB188" s="61"/>
      <c r="AC188" s="62"/>
    </row>
    <row r="189" spans="3:29" hidden="1" x14ac:dyDescent="0.2">
      <c r="C189" s="15">
        <v>43313</v>
      </c>
      <c r="D189" s="51">
        <v>0.15190000000000001</v>
      </c>
      <c r="E189" s="52">
        <v>0</v>
      </c>
      <c r="F189" s="52">
        <f t="shared" ref="F189" si="711">+D189-E189</f>
        <v>0.15190000000000001</v>
      </c>
      <c r="G189" s="53">
        <v>2082314</v>
      </c>
      <c r="H189" s="38"/>
      <c r="I189" s="54">
        <f t="shared" ref="I189" si="712">+G189-H189</f>
        <v>2082314</v>
      </c>
      <c r="J189" s="54">
        <f t="shared" ref="J189" si="713">SUM(I178:I189)/12</f>
        <v>2306609.9166666665</v>
      </c>
      <c r="K189" s="54">
        <f t="shared" ref="K189" si="714">+F189*J189</f>
        <v>350374.04634166666</v>
      </c>
      <c r="L189" s="54"/>
      <c r="M189" s="54"/>
      <c r="N189" s="54">
        <v>-11180</v>
      </c>
      <c r="O189" s="54">
        <f t="shared" ref="O189" si="715">+K189+N189</f>
        <v>339194.04634166666</v>
      </c>
      <c r="P189" s="54">
        <v>3017503.04</v>
      </c>
      <c r="R189" s="32">
        <f t="shared" ref="R189" si="716">+P189-Q189</f>
        <v>3017503.04</v>
      </c>
      <c r="S189" s="32">
        <f t="shared" ref="S189" si="717">SUM(R178:R189)/12</f>
        <v>3293921.2741666664</v>
      </c>
      <c r="T189" s="29">
        <f t="shared" ref="T189" si="718">+O189/S188</f>
        <v>0.10269997013819294</v>
      </c>
      <c r="V189" s="67">
        <v>-11180</v>
      </c>
      <c r="W189" s="65">
        <v>0</v>
      </c>
      <c r="X189" s="59">
        <f t="shared" ref="X189" si="719">SUM(V189:W189)</f>
        <v>-11180</v>
      </c>
      <c r="Y189" s="60" t="s">
        <v>79</v>
      </c>
      <c r="Z189" s="61"/>
      <c r="AA189" s="61"/>
      <c r="AB189" s="61"/>
      <c r="AC189" s="62"/>
    </row>
    <row r="190" spans="3:29" hidden="1" x14ac:dyDescent="0.2">
      <c r="C190" s="15">
        <v>43344</v>
      </c>
      <c r="D190" s="51">
        <v>0.1542</v>
      </c>
      <c r="E190" s="52">
        <v>0</v>
      </c>
      <c r="F190" s="52">
        <f t="shared" ref="F190" si="720">+D190-E190</f>
        <v>0.1542</v>
      </c>
      <c r="G190" s="53">
        <v>1985405</v>
      </c>
      <c r="H190" s="38"/>
      <c r="I190" s="54">
        <f t="shared" ref="I190" si="721">+G190-H190</f>
        <v>1985405</v>
      </c>
      <c r="J190" s="54">
        <f t="shared" ref="J190" si="722">SUM(I179:I190)/12</f>
        <v>2333086.4166666665</v>
      </c>
      <c r="K190" s="54">
        <f t="shared" ref="K190" si="723">+F190*J190</f>
        <v>359761.92544999998</v>
      </c>
      <c r="L190" s="54"/>
      <c r="M190" s="54"/>
      <c r="N190" s="54">
        <v>-11180</v>
      </c>
      <c r="O190" s="54">
        <f t="shared" ref="O190" si="724">+K190+N190</f>
        <v>348581.92544999998</v>
      </c>
      <c r="P190" s="54">
        <v>3010637.9</v>
      </c>
      <c r="R190" s="32">
        <f t="shared" ref="R190" si="725">+P190-Q190</f>
        <v>3010637.9</v>
      </c>
      <c r="S190" s="32">
        <f t="shared" ref="S190" si="726">SUM(R179:R190)/12</f>
        <v>3326471.2825000002</v>
      </c>
      <c r="T190" s="29">
        <f t="shared" ref="T190" si="727">+O190/S189</f>
        <v>0.10582582169884683</v>
      </c>
      <c r="V190" s="67">
        <v>-11180</v>
      </c>
      <c r="W190" s="65">
        <v>0</v>
      </c>
      <c r="X190" s="59">
        <f t="shared" ref="X190" si="728">SUM(V190:W190)</f>
        <v>-11180</v>
      </c>
      <c r="Y190" s="60" t="s">
        <v>79</v>
      </c>
      <c r="Z190" s="61"/>
      <c r="AA190" s="61"/>
      <c r="AB190" s="61"/>
      <c r="AC190" s="62"/>
    </row>
    <row r="191" spans="3:29" hidden="1" x14ac:dyDescent="0.2">
      <c r="C191" s="15">
        <v>43374</v>
      </c>
      <c r="D191" s="51">
        <v>0.16159999999999999</v>
      </c>
      <c r="E191" s="52">
        <v>0</v>
      </c>
      <c r="F191" s="52">
        <f t="shared" ref="F191" si="729">+D191-E191</f>
        <v>0.16159999999999999</v>
      </c>
      <c r="G191" s="53">
        <v>1867801</v>
      </c>
      <c r="H191" s="38"/>
      <c r="I191" s="54">
        <f t="shared" ref="I191" si="730">+G191-H191</f>
        <v>1867801</v>
      </c>
      <c r="J191" s="54">
        <f t="shared" ref="J191" si="731">SUM(I180:I191)/12</f>
        <v>2328645.3333333335</v>
      </c>
      <c r="K191" s="54">
        <f t="shared" ref="K191" si="732">+F191*J191</f>
        <v>376309.08586666669</v>
      </c>
      <c r="L191" s="54"/>
      <c r="M191" s="54"/>
      <c r="N191" s="54">
        <v>-11180</v>
      </c>
      <c r="O191" s="54">
        <f t="shared" ref="O191" si="733">+K191+N191</f>
        <v>365129.08586666669</v>
      </c>
      <c r="P191" s="54">
        <v>2561325.7999999998</v>
      </c>
      <c r="R191" s="32">
        <f t="shared" ref="R191" si="734">+P191-Q191</f>
        <v>2561325.7999999998</v>
      </c>
      <c r="S191" s="32">
        <f t="shared" ref="S191" si="735">SUM(R180:R191)/12</f>
        <v>3346177.6183333327</v>
      </c>
      <c r="T191" s="29">
        <f t="shared" ref="T191" si="736">+O191/S190</f>
        <v>0.1097646890227337</v>
      </c>
      <c r="V191" s="67">
        <v>-11180</v>
      </c>
      <c r="W191" s="65">
        <v>0</v>
      </c>
      <c r="X191" s="59">
        <f t="shared" ref="X191" si="737">SUM(V191:W191)</f>
        <v>-11180</v>
      </c>
      <c r="Y191" s="60" t="s">
        <v>79</v>
      </c>
      <c r="Z191" s="61"/>
      <c r="AA191" s="61"/>
      <c r="AB191" s="61"/>
      <c r="AC191" s="62"/>
    </row>
    <row r="192" spans="3:29" hidden="1" x14ac:dyDescent="0.2">
      <c r="C192" s="15">
        <v>43405</v>
      </c>
      <c r="D192" s="51">
        <v>0.16830000000000001</v>
      </c>
      <c r="E192" s="52">
        <v>0</v>
      </c>
      <c r="F192" s="52">
        <f t="shared" ref="F192" si="738">+D192-E192</f>
        <v>0.16830000000000001</v>
      </c>
      <c r="G192" s="53">
        <v>2365934</v>
      </c>
      <c r="H192" s="38"/>
      <c r="I192" s="54">
        <f t="shared" ref="I192" si="739">+G192-H192</f>
        <v>2365934</v>
      </c>
      <c r="J192" s="54">
        <f t="shared" ref="J192" si="740">SUM(I181:I192)/12</f>
        <v>2342829.9166666665</v>
      </c>
      <c r="K192" s="54">
        <f t="shared" ref="K192" si="741">+F192*J192</f>
        <v>394298.27497500001</v>
      </c>
      <c r="L192" s="54"/>
      <c r="M192" s="54"/>
      <c r="N192" s="54">
        <v>-11180</v>
      </c>
      <c r="O192" s="54">
        <f t="shared" ref="O192" si="742">+K192+N192</f>
        <v>383118.27497500001</v>
      </c>
      <c r="P192" s="54">
        <v>3304794.87</v>
      </c>
      <c r="R192" s="32">
        <f t="shared" ref="R192" si="743">+P192-Q192</f>
        <v>3304794.87</v>
      </c>
      <c r="S192" s="32">
        <f t="shared" ref="S192" si="744">SUM(R181:R192)/12</f>
        <v>3353640.2466666661</v>
      </c>
      <c r="T192" s="29">
        <f t="shared" ref="T192" si="745">+O192/S191</f>
        <v>0.11449430325393901</v>
      </c>
      <c r="V192" s="67">
        <v>-11180</v>
      </c>
      <c r="W192" s="65">
        <v>0</v>
      </c>
      <c r="X192" s="59">
        <f t="shared" ref="X192" si="746">SUM(V192:W192)</f>
        <v>-11180</v>
      </c>
      <c r="Y192" s="60" t="s">
        <v>79</v>
      </c>
      <c r="Z192" s="61"/>
      <c r="AA192" s="61"/>
      <c r="AB192" s="61"/>
      <c r="AC192" s="62"/>
    </row>
    <row r="193" spans="3:29" hidden="1" x14ac:dyDescent="0.2">
      <c r="C193" s="15">
        <v>43435</v>
      </c>
      <c r="D193" s="51">
        <v>0.14680000000000001</v>
      </c>
      <c r="E193" s="52">
        <v>0</v>
      </c>
      <c r="F193" s="52">
        <f t="shared" ref="F193" si="747">+D193-E193</f>
        <v>0.14680000000000001</v>
      </c>
      <c r="G193" s="53">
        <v>2735582</v>
      </c>
      <c r="H193" s="38"/>
      <c r="I193" s="54">
        <f t="shared" ref="I193" si="748">+G193-H193</f>
        <v>2735582</v>
      </c>
      <c r="J193" s="54">
        <f t="shared" ref="J193" si="749">SUM(I182:I193)/12</f>
        <v>2328844.6666666665</v>
      </c>
      <c r="K193" s="54">
        <f t="shared" ref="K193" si="750">+F193*J193</f>
        <v>341874.39706666669</v>
      </c>
      <c r="L193" s="54"/>
      <c r="M193" s="54"/>
      <c r="N193" s="54">
        <v>-11178</v>
      </c>
      <c r="O193" s="54">
        <f t="shared" ref="O193" si="751">+K193+N193</f>
        <v>330696.39706666669</v>
      </c>
      <c r="P193" s="54">
        <v>3845732.64</v>
      </c>
      <c r="R193" s="32">
        <f t="shared" ref="R193" si="752">+P193-Q193</f>
        <v>3845732.64</v>
      </c>
      <c r="S193" s="32">
        <f t="shared" ref="S193" si="753">SUM(R182:R193)/12</f>
        <v>3340461.6183333336</v>
      </c>
      <c r="T193" s="29">
        <f t="shared" ref="T193" si="754">+O193/S192</f>
        <v>9.860819072509662E-2</v>
      </c>
      <c r="V193" s="65">
        <f>-67078-SUM(V188:V192)</f>
        <v>-11178</v>
      </c>
      <c r="W193" s="65">
        <v>0</v>
      </c>
      <c r="X193" s="59">
        <f t="shared" ref="X193" si="755">SUM(V193:W193)</f>
        <v>-11178</v>
      </c>
      <c r="Y193" s="60" t="s">
        <v>79</v>
      </c>
      <c r="Z193" s="61"/>
      <c r="AA193" s="61"/>
      <c r="AB193" s="61"/>
      <c r="AC193" s="62"/>
    </row>
    <row r="194" spans="3:29" hidden="1" x14ac:dyDescent="0.2">
      <c r="C194" s="15">
        <v>43466</v>
      </c>
      <c r="D194" s="51">
        <v>0.1216</v>
      </c>
      <c r="E194" s="52">
        <v>0</v>
      </c>
      <c r="F194" s="52">
        <f t="shared" ref="F194" si="756">+D194-E194</f>
        <v>0.1216</v>
      </c>
      <c r="G194" s="53">
        <v>2782654</v>
      </c>
      <c r="H194" s="38"/>
      <c r="I194" s="54">
        <f t="shared" ref="I194" si="757">+G194-H194</f>
        <v>2782654</v>
      </c>
      <c r="J194" s="54">
        <f t="shared" ref="J194" si="758">SUM(I183:I194)/12</f>
        <v>2264416.5833333335</v>
      </c>
      <c r="K194" s="54">
        <f t="shared" ref="K194" si="759">+F194*J194</f>
        <v>275353.05653333338</v>
      </c>
      <c r="L194" s="54"/>
      <c r="M194" s="54"/>
      <c r="N194" s="54">
        <v>-18903</v>
      </c>
      <c r="O194" s="54">
        <f t="shared" ref="O194" si="760">+K194+N194</f>
        <v>256450.05653333338</v>
      </c>
      <c r="P194" s="54">
        <v>4008691.35</v>
      </c>
      <c r="R194" s="32">
        <f t="shared" ref="R194" si="761">+P194-Q194</f>
        <v>4008691.35</v>
      </c>
      <c r="S194" s="32">
        <f t="shared" ref="S194" si="762">SUM(R183:R194)/12</f>
        <v>3286558.2908333335</v>
      </c>
      <c r="T194" s="29">
        <f t="shared" ref="T194" si="763">+O194/S193</f>
        <v>7.6770843624087134E-2</v>
      </c>
      <c r="V194" s="67">
        <v>-18903</v>
      </c>
      <c r="W194" s="65">
        <v>0</v>
      </c>
      <c r="X194" s="59">
        <f t="shared" ref="X194" si="764">SUM(V194:W194)</f>
        <v>-18903</v>
      </c>
      <c r="Y194" s="60" t="s">
        <v>80</v>
      </c>
      <c r="Z194" s="61"/>
      <c r="AA194" s="61"/>
      <c r="AB194" s="61"/>
      <c r="AC194" s="62"/>
    </row>
    <row r="195" spans="3:29" hidden="1" x14ac:dyDescent="0.2">
      <c r="C195" s="15">
        <v>43497</v>
      </c>
      <c r="D195" s="51">
        <v>0.121</v>
      </c>
      <c r="E195" s="52">
        <v>0</v>
      </c>
      <c r="F195" s="52">
        <f t="shared" ref="F195" si="765">+D195-E195</f>
        <v>0.121</v>
      </c>
      <c r="G195" s="53">
        <v>2196675</v>
      </c>
      <c r="H195" s="38"/>
      <c r="I195" s="54">
        <f t="shared" ref="I195" si="766">+G195-H195</f>
        <v>2196675</v>
      </c>
      <c r="J195" s="54">
        <f t="shared" ref="J195" si="767">SUM(I184:I195)/12</f>
        <v>2239255.4166666665</v>
      </c>
      <c r="K195" s="54">
        <f t="shared" ref="K195" si="768">+F195*J195</f>
        <v>270949.90541666665</v>
      </c>
      <c r="L195" s="54"/>
      <c r="M195" s="54"/>
      <c r="N195" s="54">
        <v>-18903</v>
      </c>
      <c r="O195" s="54">
        <f t="shared" ref="O195" si="769">+K195+N195</f>
        <v>252046.90541666665</v>
      </c>
      <c r="P195" s="54">
        <v>3594685.96</v>
      </c>
      <c r="R195" s="32">
        <f t="shared" ref="R195" si="770">+P195-Q195</f>
        <v>3594685.96</v>
      </c>
      <c r="S195" s="32">
        <f t="shared" ref="S195" si="771">SUM(R184:R195)/12</f>
        <v>3273318.7650000001</v>
      </c>
      <c r="T195" s="29">
        <f t="shared" ref="T195" si="772">+O195/S194</f>
        <v>7.6690228230444107E-2</v>
      </c>
      <c r="V195" s="67">
        <v>-18903</v>
      </c>
      <c r="W195" s="65">
        <v>0</v>
      </c>
      <c r="X195" s="59">
        <f t="shared" ref="X195" si="773">SUM(V195:W195)</f>
        <v>-18903</v>
      </c>
      <c r="Y195" s="60" t="s">
        <v>80</v>
      </c>
      <c r="Z195" s="61"/>
      <c r="AA195" s="61"/>
      <c r="AB195" s="61"/>
      <c r="AC195" s="62"/>
    </row>
    <row r="196" spans="3:29" hidden="1" x14ac:dyDescent="0.2">
      <c r="C196" s="15">
        <v>43525</v>
      </c>
      <c r="D196" s="51">
        <v>0.15229999999999999</v>
      </c>
      <c r="E196" s="52">
        <v>0</v>
      </c>
      <c r="F196" s="52">
        <f t="shared" ref="F196" si="774">+D196-E196</f>
        <v>0.15229999999999999</v>
      </c>
      <c r="G196" s="53">
        <v>2368041</v>
      </c>
      <c r="H196" s="38"/>
      <c r="I196" s="54">
        <f t="shared" ref="I196" si="775">+G196-H196</f>
        <v>2368041</v>
      </c>
      <c r="J196" s="54">
        <f t="shared" ref="J196" si="776">SUM(I185:I196)/12</f>
        <v>2236174.1666666665</v>
      </c>
      <c r="K196" s="54">
        <f t="shared" ref="K196" si="777">+F196*J196</f>
        <v>340569.32558333327</v>
      </c>
      <c r="L196" s="54"/>
      <c r="M196" s="54"/>
      <c r="N196" s="54">
        <v>-18903</v>
      </c>
      <c r="O196" s="54">
        <f t="shared" ref="O196" si="778">+K196+N196</f>
        <v>321666.32558333327</v>
      </c>
      <c r="P196" s="54">
        <v>3323415.37</v>
      </c>
      <c r="R196" s="32">
        <f t="shared" ref="R196" si="779">+P196-Q196</f>
        <v>3323415.37</v>
      </c>
      <c r="S196" s="32">
        <f t="shared" ref="S196" si="780">SUM(R185:R196)/12</f>
        <v>3250378.3183333334</v>
      </c>
      <c r="T196" s="29">
        <f t="shared" ref="T196" si="781">+O196/S195</f>
        <v>9.8269172261117463E-2</v>
      </c>
      <c r="V196" s="67">
        <v>-18903</v>
      </c>
      <c r="W196" s="65">
        <v>0</v>
      </c>
      <c r="X196" s="59">
        <f t="shared" ref="X196" si="782">SUM(V196:W196)</f>
        <v>-18903</v>
      </c>
      <c r="Y196" s="60" t="s">
        <v>80</v>
      </c>
      <c r="Z196" s="61"/>
      <c r="AA196" s="61"/>
      <c r="AB196" s="61"/>
      <c r="AC196" s="62"/>
    </row>
    <row r="197" spans="3:29" hidden="1" x14ac:dyDescent="0.2">
      <c r="C197" s="15">
        <v>43556</v>
      </c>
      <c r="D197" s="51">
        <v>0.15770000000000001</v>
      </c>
      <c r="E197" s="52">
        <v>0</v>
      </c>
      <c r="F197" s="52">
        <f t="shared" ref="F197" si="783">+D197-E197</f>
        <v>0.15770000000000001</v>
      </c>
      <c r="G197" s="53">
        <v>1814358</v>
      </c>
      <c r="H197" s="38"/>
      <c r="I197" s="54">
        <f t="shared" ref="I197" si="784">+G197-H197</f>
        <v>1814358</v>
      </c>
      <c r="J197" s="54">
        <f t="shared" ref="J197" si="785">SUM(I186:I197)/12</f>
        <v>2219613.3333333335</v>
      </c>
      <c r="K197" s="54">
        <f t="shared" ref="K197" si="786">+F197*J197</f>
        <v>350033.02266666671</v>
      </c>
      <c r="L197" s="54"/>
      <c r="M197" s="54"/>
      <c r="N197" s="54">
        <v>-18903</v>
      </c>
      <c r="O197" s="54">
        <f t="shared" ref="O197" si="787">+K197+N197</f>
        <v>331130.02266666671</v>
      </c>
      <c r="P197" s="54">
        <v>2560276.86</v>
      </c>
      <c r="R197" s="32">
        <f t="shared" ref="R197" si="788">+P197-Q197</f>
        <v>2560276.86</v>
      </c>
      <c r="S197" s="32">
        <f t="shared" ref="S197" si="789">SUM(R186:R197)/12</f>
        <v>3216606.3416666668</v>
      </c>
      <c r="T197" s="29">
        <f t="shared" ref="T197" si="790">+O197/S196</f>
        <v>0.10187430207707551</v>
      </c>
      <c r="V197" s="67">
        <v>-18903</v>
      </c>
      <c r="W197" s="65">
        <v>0</v>
      </c>
      <c r="X197" s="59">
        <f t="shared" ref="X197" si="791">SUM(V197:W197)</f>
        <v>-18903</v>
      </c>
      <c r="Y197" s="60" t="s">
        <v>80</v>
      </c>
      <c r="Z197" s="61"/>
      <c r="AA197" s="61"/>
      <c r="AB197" s="61"/>
      <c r="AC197" s="62"/>
    </row>
    <row r="198" spans="3:29" hidden="1" x14ac:dyDescent="0.2">
      <c r="C198" s="15">
        <v>43586</v>
      </c>
      <c r="D198" s="51">
        <v>0.18940000000000001</v>
      </c>
      <c r="E198" s="52">
        <v>0</v>
      </c>
      <c r="F198" s="52">
        <f t="shared" ref="F198" si="792">+D198-E198</f>
        <v>0.18940000000000001</v>
      </c>
      <c r="G198" s="53">
        <v>1897284</v>
      </c>
      <c r="H198" s="38"/>
      <c r="I198" s="54">
        <f t="shared" ref="I198" si="793">+G198-H198</f>
        <v>1897284</v>
      </c>
      <c r="J198" s="54">
        <f t="shared" ref="J198" si="794">SUM(I187:I198)/12</f>
        <v>2210756.8333333335</v>
      </c>
      <c r="K198" s="54">
        <f t="shared" ref="K198" si="795">+F198*J198</f>
        <v>418717.34423333337</v>
      </c>
      <c r="L198" s="54"/>
      <c r="M198" s="54"/>
      <c r="N198" s="54">
        <v>-18903</v>
      </c>
      <c r="O198" s="54">
        <f t="shared" ref="O198" si="796">+K198+N198</f>
        <v>399814.34423333337</v>
      </c>
      <c r="P198" s="54">
        <v>2686982.34</v>
      </c>
      <c r="R198" s="32">
        <f t="shared" ref="R198" si="797">+P198-Q198</f>
        <v>2686982.34</v>
      </c>
      <c r="S198" s="32">
        <f t="shared" ref="S198" si="798">SUM(R187:R198)/12</f>
        <v>3196932.6533333338</v>
      </c>
      <c r="T198" s="29">
        <f t="shared" ref="T198" si="799">+O198/S197</f>
        <v>0.12429694583831846</v>
      </c>
      <c r="V198" s="67">
        <v>-18903</v>
      </c>
      <c r="W198" s="65">
        <v>0</v>
      </c>
      <c r="X198" s="59">
        <f t="shared" ref="X198" si="800">SUM(V198:W198)</f>
        <v>-18903</v>
      </c>
      <c r="Y198" s="60" t="s">
        <v>80</v>
      </c>
      <c r="Z198" s="61"/>
      <c r="AA198" s="61"/>
      <c r="AB198" s="61"/>
      <c r="AC198" s="62"/>
    </row>
    <row r="199" spans="3:29" hidden="1" x14ac:dyDescent="0.2">
      <c r="C199" s="15">
        <v>43617</v>
      </c>
      <c r="D199" s="51">
        <v>0.1862</v>
      </c>
      <c r="E199" s="52">
        <v>0</v>
      </c>
      <c r="F199" s="52">
        <f t="shared" ref="F199" si="801">+D199-E199</f>
        <v>0.1862</v>
      </c>
      <c r="G199" s="53">
        <v>1929561</v>
      </c>
      <c r="H199" s="38"/>
      <c r="I199" s="54">
        <f t="shared" ref="I199" si="802">+G199-H199</f>
        <v>1929561</v>
      </c>
      <c r="J199" s="54">
        <f t="shared" ref="J199" si="803">SUM(I188:I199)/12</f>
        <v>2184036.4166666665</v>
      </c>
      <c r="K199" s="54">
        <f t="shared" ref="K199" si="804">+F199*J199</f>
        <v>406667.58078333334</v>
      </c>
      <c r="L199" s="54"/>
      <c r="M199" s="54"/>
      <c r="N199" s="54">
        <v>-18901</v>
      </c>
      <c r="O199" s="54">
        <f t="shared" ref="O199" si="805">+K199+N199</f>
        <v>387766.58078333334</v>
      </c>
      <c r="P199" s="54">
        <v>2793697.12</v>
      </c>
      <c r="R199" s="32">
        <f t="shared" ref="R199" si="806">+P199-Q199</f>
        <v>2793697.12</v>
      </c>
      <c r="S199" s="32">
        <f t="shared" ref="S199" si="807">SUM(R188:R199)/12</f>
        <v>3173223.9441666673</v>
      </c>
      <c r="T199" s="29">
        <f t="shared" ref="T199" si="808">+O199/S198</f>
        <v>0.12129332170292115</v>
      </c>
      <c r="V199" s="65">
        <f>-113416-SUM(V194:V198)</f>
        <v>-18901</v>
      </c>
      <c r="W199" s="65">
        <v>0</v>
      </c>
      <c r="X199" s="59">
        <f t="shared" ref="X199" si="809">SUM(V199:W199)</f>
        <v>-18901</v>
      </c>
      <c r="Y199" s="60" t="s">
        <v>80</v>
      </c>
      <c r="Z199" s="61"/>
      <c r="AA199" s="61"/>
      <c r="AB199" s="61"/>
      <c r="AC199" s="62"/>
    </row>
    <row r="200" spans="3:29" hidden="1" x14ac:dyDescent="0.2">
      <c r="C200" s="15">
        <v>43647</v>
      </c>
      <c r="D200" s="51">
        <v>0.18160000000000001</v>
      </c>
      <c r="E200" s="52">
        <v>0</v>
      </c>
      <c r="F200" s="52">
        <f t="shared" ref="F200" si="810">+D200-E200</f>
        <v>0.18160000000000001</v>
      </c>
      <c r="G200" s="53">
        <v>2190394</v>
      </c>
      <c r="H200" s="38"/>
      <c r="I200" s="54">
        <f t="shared" ref="I200" si="811">+G200-H200</f>
        <v>2190394</v>
      </c>
      <c r="J200" s="54">
        <f t="shared" ref="J200" si="812">SUM(I189:I200)/12</f>
        <v>2184666.9166666665</v>
      </c>
      <c r="K200" s="54">
        <f t="shared" ref="K200" si="813">+F200*J200</f>
        <v>396735.51206666668</v>
      </c>
      <c r="L200" s="54"/>
      <c r="M200" s="54"/>
      <c r="N200" s="54">
        <v>0</v>
      </c>
      <c r="O200" s="54">
        <f t="shared" ref="O200" si="814">+K200+N200</f>
        <v>396735.51206666668</v>
      </c>
      <c r="P200" s="54">
        <v>3165992.17</v>
      </c>
      <c r="R200" s="32">
        <f t="shared" ref="R200" si="815">+P200-Q200</f>
        <v>3165992.17</v>
      </c>
      <c r="S200" s="32">
        <f t="shared" ref="S200" si="816">SUM(R189:R200)/12</f>
        <v>3156144.6183333336</v>
      </c>
      <c r="T200" s="29">
        <f t="shared" ref="T200" si="817">+O200/S199</f>
        <v>0.12502600479741902</v>
      </c>
      <c r="V200" s="67">
        <v>0</v>
      </c>
      <c r="W200" s="67">
        <v>0</v>
      </c>
      <c r="X200" s="59">
        <f t="shared" ref="X200" si="818">SUM(V200:W200)</f>
        <v>0</v>
      </c>
      <c r="Y200" s="60"/>
      <c r="Z200" s="61"/>
      <c r="AA200" s="61"/>
      <c r="AB200" s="61"/>
      <c r="AC200" s="62"/>
    </row>
    <row r="201" spans="3:29" hidden="1" x14ac:dyDescent="0.2">
      <c r="C201" s="15">
        <v>43678</v>
      </c>
      <c r="D201" s="51">
        <v>0.15490000000000001</v>
      </c>
      <c r="E201" s="52">
        <v>0</v>
      </c>
      <c r="F201" s="52">
        <f t="shared" ref="F201" si="819">+D201-E201</f>
        <v>0.15490000000000001</v>
      </c>
      <c r="G201" s="53">
        <v>2127788</v>
      </c>
      <c r="H201" s="38"/>
      <c r="I201" s="54">
        <f t="shared" ref="I201" si="820">+G201-H201</f>
        <v>2127788</v>
      </c>
      <c r="J201" s="54">
        <f t="shared" ref="J201" si="821">SUM(I190:I201)/12</f>
        <v>2188456.4166666665</v>
      </c>
      <c r="K201" s="54">
        <f t="shared" ref="K201" si="822">+F201*J201</f>
        <v>338991.89894166664</v>
      </c>
      <c r="L201" s="54"/>
      <c r="M201" s="54"/>
      <c r="N201" s="54">
        <v>-1903</v>
      </c>
      <c r="O201" s="54">
        <f t="shared" ref="O201" si="823">+K201+N201</f>
        <v>337088.89894166664</v>
      </c>
      <c r="P201" s="54">
        <v>3276178.47</v>
      </c>
      <c r="R201" s="32">
        <f t="shared" ref="R201" si="824">+P201-Q201</f>
        <v>3276178.47</v>
      </c>
      <c r="S201" s="32">
        <f t="shared" ref="S201" si="825">SUM(R190:R201)/12</f>
        <v>3177700.9041666668</v>
      </c>
      <c r="T201" s="29">
        <f t="shared" ref="T201" si="826">+O201/S200</f>
        <v>0.10680400922809212</v>
      </c>
      <c r="V201" s="67">
        <v>-1903</v>
      </c>
      <c r="W201" s="67">
        <v>0</v>
      </c>
      <c r="X201" s="59">
        <f t="shared" ref="X201" si="827">SUM(V201:W201)</f>
        <v>-1903</v>
      </c>
      <c r="Y201" s="60" t="s">
        <v>81</v>
      </c>
      <c r="Z201" s="61"/>
      <c r="AA201" s="61"/>
      <c r="AB201" s="61"/>
      <c r="AC201" s="62"/>
    </row>
    <row r="202" spans="3:29" hidden="1" x14ac:dyDescent="0.2">
      <c r="C202" s="15">
        <v>43709</v>
      </c>
      <c r="D202" s="51">
        <v>0.16139999999999999</v>
      </c>
      <c r="E202" s="52">
        <v>0</v>
      </c>
      <c r="F202" s="52">
        <f t="shared" ref="F202" si="828">+D202-E202</f>
        <v>0.16139999999999999</v>
      </c>
      <c r="G202" s="53">
        <v>1938885</v>
      </c>
      <c r="H202" s="38"/>
      <c r="I202" s="54">
        <f t="shared" ref="I202" si="829">+G202-H202</f>
        <v>1938885</v>
      </c>
      <c r="J202" s="54">
        <f t="shared" ref="J202" si="830">SUM(I191:I202)/12</f>
        <v>2184579.75</v>
      </c>
      <c r="K202" s="54">
        <f t="shared" ref="K202" si="831">+F202*J202</f>
        <v>352591.17164999997</v>
      </c>
      <c r="L202" s="54"/>
      <c r="M202" s="54"/>
      <c r="N202" s="54">
        <v>-1903</v>
      </c>
      <c r="O202" s="54">
        <f t="shared" ref="O202" si="832">+K202+N202</f>
        <v>350688.17164999997</v>
      </c>
      <c r="P202" s="54">
        <v>2891055.68</v>
      </c>
      <c r="R202" s="32">
        <f t="shared" ref="R202" si="833">+P202-Q202</f>
        <v>2891055.68</v>
      </c>
      <c r="S202" s="32">
        <f t="shared" ref="S202" si="834">SUM(R191:R202)/12</f>
        <v>3167735.7191666667</v>
      </c>
      <c r="T202" s="29">
        <f t="shared" ref="T202" si="835">+O202/S201</f>
        <v>0.11035908734839406</v>
      </c>
      <c r="V202" s="67">
        <v>-1903</v>
      </c>
      <c r="W202" s="67">
        <v>0</v>
      </c>
      <c r="X202" s="59">
        <f t="shared" ref="X202" si="836">SUM(V202:W202)</f>
        <v>-1903</v>
      </c>
      <c r="Y202" s="60" t="s">
        <v>81</v>
      </c>
      <c r="Z202" s="61"/>
      <c r="AA202" s="61"/>
      <c r="AB202" s="61"/>
      <c r="AC202" s="62"/>
    </row>
    <row r="203" spans="3:29" hidden="1" x14ac:dyDescent="0.2">
      <c r="C203" s="15">
        <v>43739</v>
      </c>
      <c r="D203" s="51">
        <v>0.17599999999999999</v>
      </c>
      <c r="E203" s="52">
        <v>0</v>
      </c>
      <c r="F203" s="52">
        <f t="shared" ref="F203" si="837">+D203-E203</f>
        <v>0.17599999999999999</v>
      </c>
      <c r="G203" s="53">
        <v>1709909</v>
      </c>
      <c r="H203" s="38"/>
      <c r="I203" s="54">
        <f t="shared" ref="I203" si="838">+G203-H203</f>
        <v>1709909</v>
      </c>
      <c r="J203" s="54">
        <f t="shared" ref="J203" si="839">SUM(I192:I203)/12</f>
        <v>2171422.0833333335</v>
      </c>
      <c r="K203" s="54">
        <f t="shared" ref="K203" si="840">+F203*J203</f>
        <v>382170.28666666668</v>
      </c>
      <c r="L203" s="54"/>
      <c r="M203" s="54"/>
      <c r="N203" s="54">
        <v>-1903</v>
      </c>
      <c r="O203" s="54">
        <f t="shared" ref="O203" si="841">+K203+N203</f>
        <v>380267.28666666668</v>
      </c>
      <c r="P203" s="54">
        <v>2587247.4</v>
      </c>
      <c r="R203" s="32">
        <f t="shared" ref="R203" si="842">+P203-Q203</f>
        <v>2587247.4</v>
      </c>
      <c r="S203" s="32">
        <f t="shared" ref="S203" si="843">SUM(R192:R203)/12</f>
        <v>3169895.8524999996</v>
      </c>
      <c r="T203" s="29">
        <f t="shared" ref="T203" si="844">+O203/S202</f>
        <v>0.12004388003892674</v>
      </c>
      <c r="V203" s="67">
        <v>-1903</v>
      </c>
      <c r="W203" s="67">
        <v>0</v>
      </c>
      <c r="X203" s="59">
        <f t="shared" ref="X203" si="845">SUM(V203:W203)</f>
        <v>-1903</v>
      </c>
      <c r="Y203" s="60" t="s">
        <v>81</v>
      </c>
      <c r="Z203" s="61"/>
      <c r="AA203" s="61"/>
      <c r="AB203" s="61"/>
      <c r="AC203" s="62"/>
    </row>
    <row r="204" spans="3:29" hidden="1" x14ac:dyDescent="0.2">
      <c r="C204" s="15">
        <v>43770</v>
      </c>
      <c r="D204" s="51">
        <v>0.19800000000000001</v>
      </c>
      <c r="E204" s="52">
        <v>0</v>
      </c>
      <c r="F204" s="52">
        <f t="shared" ref="F204" si="846">+D204-E204</f>
        <v>0.19800000000000001</v>
      </c>
      <c r="G204" s="53">
        <v>2269495</v>
      </c>
      <c r="H204" s="38"/>
      <c r="I204" s="54">
        <f t="shared" ref="I204" si="847">+G204-H204</f>
        <v>2269495</v>
      </c>
      <c r="J204" s="54">
        <f t="shared" ref="J204" si="848">SUM(I193:I204)/12</f>
        <v>2163385.5</v>
      </c>
      <c r="K204" s="54">
        <f t="shared" ref="K204" si="849">+F204*J204</f>
        <v>428350.32900000003</v>
      </c>
      <c r="L204" s="54"/>
      <c r="M204" s="54"/>
      <c r="N204" s="54">
        <v>-1903</v>
      </c>
      <c r="O204" s="54">
        <f t="shared" ref="O204" si="850">+K204+N204</f>
        <v>426447.32900000003</v>
      </c>
      <c r="P204" s="54">
        <v>3117063.06</v>
      </c>
      <c r="R204" s="32">
        <f t="shared" ref="R204" si="851">+P204-Q204</f>
        <v>3117063.06</v>
      </c>
      <c r="S204" s="32">
        <f t="shared" ref="S204" si="852">SUM(R193:R204)/12</f>
        <v>3154251.5350000001</v>
      </c>
      <c r="T204" s="29">
        <f t="shared" ref="T204" si="853">+O204/S203</f>
        <v>0.13453039116842722</v>
      </c>
      <c r="V204" s="67">
        <v>-1903</v>
      </c>
      <c r="W204" s="67">
        <v>0</v>
      </c>
      <c r="X204" s="59">
        <f t="shared" ref="X204" si="854">SUM(V204:W204)</f>
        <v>-1903</v>
      </c>
      <c r="Y204" s="60" t="s">
        <v>81</v>
      </c>
      <c r="Z204" s="61"/>
      <c r="AA204" s="61"/>
      <c r="AB204" s="61"/>
      <c r="AC204" s="62"/>
    </row>
    <row r="205" spans="3:29" hidden="1" x14ac:dyDescent="0.2">
      <c r="C205" s="15">
        <v>43800</v>
      </c>
      <c r="D205" s="51">
        <v>0.1668</v>
      </c>
      <c r="E205" s="52">
        <v>0</v>
      </c>
      <c r="F205" s="52">
        <f t="shared" ref="F205" si="855">+D205-E205</f>
        <v>0.1668</v>
      </c>
      <c r="G205" s="53">
        <v>2528506</v>
      </c>
      <c r="H205" s="38"/>
      <c r="I205" s="54">
        <f t="shared" ref="I205" si="856">+G205-H205</f>
        <v>2528506</v>
      </c>
      <c r="J205" s="54">
        <f t="shared" ref="J205" si="857">SUM(I194:I205)/12</f>
        <v>2146129.1666666665</v>
      </c>
      <c r="K205" s="54">
        <f t="shared" ref="K205" si="858">+F205*J205</f>
        <v>357974.34499999997</v>
      </c>
      <c r="L205" s="54"/>
      <c r="M205" s="54"/>
      <c r="N205" s="54">
        <v>-1903</v>
      </c>
      <c r="O205" s="54">
        <f t="shared" ref="O205" si="859">+K205+N205</f>
        <v>356071.34499999997</v>
      </c>
      <c r="P205" s="54">
        <v>3656378.43</v>
      </c>
      <c r="R205" s="32">
        <f t="shared" ref="R205" si="860">+P205-Q205</f>
        <v>3656378.43</v>
      </c>
      <c r="S205" s="32">
        <f t="shared" ref="S205" si="861">SUM(R194:R205)/12</f>
        <v>3138472.0175000001</v>
      </c>
      <c r="T205" s="29">
        <f t="shared" ref="T205" si="862">+O205/S204</f>
        <v>0.11288616048814888</v>
      </c>
      <c r="V205" s="67">
        <v>-1903</v>
      </c>
      <c r="W205" s="67">
        <v>0</v>
      </c>
      <c r="X205" s="59">
        <f t="shared" ref="X205" si="863">SUM(V205:W205)</f>
        <v>-1903</v>
      </c>
      <c r="Y205" s="60" t="s">
        <v>81</v>
      </c>
      <c r="Z205" s="61"/>
      <c r="AA205" s="61"/>
      <c r="AB205" s="61"/>
      <c r="AC205" s="62"/>
    </row>
    <row r="206" spans="3:29" hidden="1" x14ac:dyDescent="0.2">
      <c r="C206" s="15">
        <v>43831</v>
      </c>
      <c r="D206" s="51">
        <v>0.14360000000000001</v>
      </c>
      <c r="E206" s="52">
        <v>0</v>
      </c>
      <c r="F206" s="52">
        <f t="shared" ref="F206" si="864">+D206-E206</f>
        <v>0.14360000000000001</v>
      </c>
      <c r="G206" s="53">
        <v>2474743</v>
      </c>
      <c r="H206" s="38"/>
      <c r="I206" s="54">
        <f t="shared" ref="I206" si="865">+G206-H206</f>
        <v>2474743</v>
      </c>
      <c r="J206" s="54">
        <f t="shared" ref="J206" si="866">SUM(I195:I206)/12</f>
        <v>2120469.9166666665</v>
      </c>
      <c r="K206" s="54">
        <f t="shared" ref="K206" si="867">+F206*J206</f>
        <v>304499.4800333333</v>
      </c>
      <c r="L206" s="54"/>
      <c r="M206" s="54"/>
      <c r="N206" s="54">
        <v>-1901</v>
      </c>
      <c r="O206" s="54">
        <f t="shared" ref="O206" si="868">+K206+N206</f>
        <v>302598.4800333333</v>
      </c>
      <c r="P206" s="54">
        <v>3471380.21</v>
      </c>
      <c r="R206" s="32">
        <f t="shared" ref="R206" si="869">+P206-Q206</f>
        <v>3471380.21</v>
      </c>
      <c r="S206" s="32">
        <f t="shared" ref="S206" si="870">SUM(R195:R206)/12</f>
        <v>3093696.0891666668</v>
      </c>
      <c r="T206" s="29">
        <f t="shared" ref="T206" si="871">+O206/S205</f>
        <v>9.6415860439747661E-2</v>
      </c>
      <c r="V206" s="65">
        <f>-11416-SUM(V201:V205)</f>
        <v>-1901</v>
      </c>
      <c r="W206" s="67">
        <v>0</v>
      </c>
      <c r="X206" s="59">
        <f t="shared" ref="X206" si="872">SUM(V206:W206)</f>
        <v>-1901</v>
      </c>
      <c r="Y206" s="60" t="s">
        <v>81</v>
      </c>
      <c r="Z206" s="61"/>
      <c r="AA206" s="61"/>
      <c r="AB206" s="61"/>
      <c r="AC206" s="62"/>
    </row>
    <row r="207" spans="3:29" hidden="1" x14ac:dyDescent="0.2">
      <c r="C207" s="15">
        <v>43862</v>
      </c>
      <c r="D207" s="51">
        <v>0.15179999999999999</v>
      </c>
      <c r="E207" s="52">
        <v>0</v>
      </c>
      <c r="F207" s="52">
        <f t="shared" ref="F207" si="873">+D207-E207</f>
        <v>0.15179999999999999</v>
      </c>
      <c r="G207" s="53">
        <v>2186370</v>
      </c>
      <c r="H207" s="38"/>
      <c r="I207" s="54">
        <f t="shared" ref="I207" si="874">+G207-H207</f>
        <v>2186370</v>
      </c>
      <c r="J207" s="54">
        <f t="shared" ref="J207" si="875">SUM(I196:I207)/12</f>
        <v>2119611.1666666665</v>
      </c>
      <c r="K207" s="54">
        <f t="shared" ref="K207" si="876">+F207*J207</f>
        <v>321756.97509999998</v>
      </c>
      <c r="L207" s="54"/>
      <c r="M207" s="54"/>
      <c r="N207" s="54">
        <v>0</v>
      </c>
      <c r="O207" s="54">
        <f t="shared" ref="O207" si="877">+K207+N207</f>
        <v>321756.97509999998</v>
      </c>
      <c r="P207" s="54">
        <v>3279590.46</v>
      </c>
      <c r="R207" s="32">
        <f t="shared" ref="R207" si="878">+P207-Q207</f>
        <v>3279590.46</v>
      </c>
      <c r="S207" s="32">
        <f t="shared" ref="S207" si="879">SUM(R196:R207)/12</f>
        <v>3067438.1308333334</v>
      </c>
      <c r="T207" s="29">
        <f t="shared" ref="T207" si="880">+O207/S206</f>
        <v>0.10400406692393306</v>
      </c>
      <c r="V207" s="67">
        <v>0</v>
      </c>
      <c r="W207" s="67">
        <v>0</v>
      </c>
      <c r="X207" s="59">
        <f t="shared" ref="X207" si="881">SUM(V207:W207)</f>
        <v>0</v>
      </c>
      <c r="Y207" s="60"/>
      <c r="Z207" s="61"/>
      <c r="AA207" s="61"/>
      <c r="AB207" s="61"/>
      <c r="AC207" s="62"/>
    </row>
    <row r="208" spans="3:29" hidden="1" x14ac:dyDescent="0.2">
      <c r="C208" s="15">
        <v>43891</v>
      </c>
      <c r="D208" s="51">
        <v>0.1696</v>
      </c>
      <c r="E208" s="52">
        <v>0</v>
      </c>
      <c r="F208" s="52">
        <f t="shared" ref="F208" si="882">+D208-E208</f>
        <v>0.1696</v>
      </c>
      <c r="G208" s="53">
        <v>1796767</v>
      </c>
      <c r="H208" s="38"/>
      <c r="I208" s="54">
        <f t="shared" ref="I208" si="883">+G208-H208</f>
        <v>1796767</v>
      </c>
      <c r="J208" s="54">
        <f t="shared" ref="J208" si="884">SUM(I197:I208)/12</f>
        <v>2072005</v>
      </c>
      <c r="K208" s="54">
        <f t="shared" ref="K208" si="885">+F208*J208</f>
        <v>351412.04800000001</v>
      </c>
      <c r="L208" s="54"/>
      <c r="M208" s="54"/>
      <c r="N208" s="54">
        <v>0</v>
      </c>
      <c r="O208" s="54">
        <f t="shared" ref="O208" si="886">+K208+N208</f>
        <v>351412.04800000001</v>
      </c>
      <c r="P208" s="54">
        <v>2833314.59</v>
      </c>
      <c r="R208" s="32">
        <f t="shared" ref="R208" si="887">+P208-Q208</f>
        <v>2833314.59</v>
      </c>
      <c r="S208" s="32">
        <f t="shared" ref="S208" si="888">SUM(R197:R208)/12</f>
        <v>3026596.3991666664</v>
      </c>
      <c r="T208" s="29">
        <f t="shared" ref="T208" si="889">+O208/S207</f>
        <v>0.11456206547987706</v>
      </c>
      <c r="V208" s="67">
        <v>0</v>
      </c>
      <c r="W208" s="67">
        <v>0</v>
      </c>
      <c r="X208" s="59">
        <f t="shared" ref="X208" si="890">SUM(V208:W208)</f>
        <v>0</v>
      </c>
      <c r="Y208" s="60"/>
      <c r="Z208" s="61"/>
      <c r="AA208" s="61"/>
      <c r="AB208" s="61"/>
      <c r="AC208" s="62"/>
    </row>
    <row r="209" spans="3:29" hidden="1" x14ac:dyDescent="0.2">
      <c r="C209" s="15">
        <v>43922</v>
      </c>
      <c r="D209" s="51">
        <v>0.19980000000000001</v>
      </c>
      <c r="E209" s="52">
        <v>0</v>
      </c>
      <c r="F209" s="52">
        <f t="shared" ref="F209" si="891">+D209-E209</f>
        <v>0.19980000000000001</v>
      </c>
      <c r="G209" s="53">
        <v>1453790</v>
      </c>
      <c r="H209" s="38"/>
      <c r="I209" s="54">
        <f t="shared" ref="I209" si="892">+G209-H209</f>
        <v>1453790</v>
      </c>
      <c r="J209" s="54">
        <f t="shared" ref="J209" si="893">SUM(I198:I209)/12</f>
        <v>2041957.6666666667</v>
      </c>
      <c r="K209" s="54">
        <f t="shared" ref="K209" si="894">+F209*J209</f>
        <v>407983.14180000004</v>
      </c>
      <c r="L209" s="54"/>
      <c r="M209" s="54">
        <f>K209-L209</f>
        <v>407983.14180000004</v>
      </c>
      <c r="N209" s="54">
        <v>-1457</v>
      </c>
      <c r="O209" s="54">
        <f t="shared" ref="O209:O214" si="895">+M209+N209</f>
        <v>406526.14180000004</v>
      </c>
      <c r="P209" s="54">
        <v>2457685.2400000002</v>
      </c>
      <c r="R209" s="32">
        <f t="shared" ref="R209" si="896">+P209-Q209</f>
        <v>2457685.2400000002</v>
      </c>
      <c r="S209" s="32">
        <f t="shared" ref="S209" si="897">SUM(R198:R209)/12</f>
        <v>3018047.0975000001</v>
      </c>
      <c r="T209" s="29">
        <f t="shared" ref="T209" si="898">+O209/S208</f>
        <v>0.13431792290241662</v>
      </c>
      <c r="V209" s="67">
        <v>-1457</v>
      </c>
      <c r="W209" s="67">
        <v>0</v>
      </c>
      <c r="X209" s="59">
        <f t="shared" ref="X209" si="899">SUM(V209:W209)</f>
        <v>-1457</v>
      </c>
      <c r="Y209" s="60" t="s">
        <v>82</v>
      </c>
      <c r="Z209" s="61"/>
      <c r="AA209" s="61"/>
      <c r="AB209" s="61"/>
      <c r="AC209" s="62"/>
    </row>
    <row r="210" spans="3:29" hidden="1" x14ac:dyDescent="0.2">
      <c r="C210" s="15">
        <v>43952</v>
      </c>
      <c r="D210" s="51">
        <v>0.22600000000000001</v>
      </c>
      <c r="E210" s="52">
        <v>0</v>
      </c>
      <c r="F210" s="52">
        <f t="shared" ref="F210" si="900">+D210-E210</f>
        <v>0.22600000000000001</v>
      </c>
      <c r="G210" s="53">
        <v>1464224</v>
      </c>
      <c r="H210" s="38"/>
      <c r="I210" s="54">
        <f t="shared" ref="I210" si="901">+G210-H210</f>
        <v>1464224</v>
      </c>
      <c r="J210" s="54">
        <f t="shared" ref="J210" si="902">SUM(I199:I210)/12</f>
        <v>2005869.3333333333</v>
      </c>
      <c r="K210" s="54">
        <f t="shared" ref="K210" si="903">+F210*J210</f>
        <v>453326.46933333331</v>
      </c>
      <c r="L210" s="54"/>
      <c r="M210" s="54">
        <f t="shared" ref="M210:M231" si="904">K210-L210</f>
        <v>453326.46933333331</v>
      </c>
      <c r="N210" s="54">
        <v>-1457</v>
      </c>
      <c r="O210" s="54">
        <f t="shared" si="895"/>
        <v>451869.46933333331</v>
      </c>
      <c r="P210" s="54">
        <v>2298911.6800000002</v>
      </c>
      <c r="R210" s="32">
        <f t="shared" ref="R210" si="905">+P210-Q210</f>
        <v>2298911.6800000002</v>
      </c>
      <c r="S210" s="32">
        <f t="shared" ref="S210" si="906">SUM(R199:R210)/12</f>
        <v>2985707.875833333</v>
      </c>
      <c r="T210" s="29">
        <f t="shared" ref="T210" si="907">+O210/S209</f>
        <v>0.14972247109981798</v>
      </c>
      <c r="V210" s="67">
        <v>-1457</v>
      </c>
      <c r="W210" s="67">
        <v>0</v>
      </c>
      <c r="X210" s="59">
        <f t="shared" ref="X210" si="908">SUM(V210:W210)</f>
        <v>-1457</v>
      </c>
      <c r="Y210" s="60" t="s">
        <v>82</v>
      </c>
      <c r="Z210" s="61"/>
      <c r="AA210" s="61"/>
      <c r="AB210" s="61"/>
      <c r="AC210" s="62"/>
    </row>
    <row r="211" spans="3:29" hidden="1" x14ac:dyDescent="0.2">
      <c r="C211" s="15">
        <v>43983</v>
      </c>
      <c r="D211" s="51">
        <v>0.2336</v>
      </c>
      <c r="E211" s="52">
        <v>0</v>
      </c>
      <c r="F211" s="52">
        <f t="shared" ref="F211" si="909">+D211-E211</f>
        <v>0.2336</v>
      </c>
      <c r="G211" s="53">
        <v>1722840</v>
      </c>
      <c r="H211" s="38"/>
      <c r="I211" s="54">
        <f t="shared" ref="I211" si="910">+G211-H211</f>
        <v>1722840</v>
      </c>
      <c r="J211" s="54">
        <f t="shared" ref="J211" si="911">SUM(I200:I211)/12</f>
        <v>1988642.5833333333</v>
      </c>
      <c r="K211" s="54">
        <f t="shared" ref="K211" si="912">+F211*J211</f>
        <v>464546.90746666666</v>
      </c>
      <c r="L211" s="54"/>
      <c r="M211" s="54">
        <f t="shared" si="904"/>
        <v>464546.90746666666</v>
      </c>
      <c r="N211" s="54">
        <v>-1457</v>
      </c>
      <c r="O211" s="54">
        <f t="shared" si="895"/>
        <v>463089.90746666666</v>
      </c>
      <c r="P211" s="54">
        <v>2425452.2599999998</v>
      </c>
      <c r="R211" s="32">
        <f t="shared" ref="R211" si="913">+P211-Q211</f>
        <v>2425452.2599999998</v>
      </c>
      <c r="S211" s="32">
        <f t="shared" ref="S211" si="914">SUM(R200:R211)/12</f>
        <v>2955020.8041666667</v>
      </c>
      <c r="T211" s="29">
        <f t="shared" ref="T211" si="915">+O211/S210</f>
        <v>0.15510221586477707</v>
      </c>
      <c r="V211" s="67">
        <v>-1457</v>
      </c>
      <c r="W211" s="67">
        <v>0</v>
      </c>
      <c r="X211" s="59">
        <f t="shared" ref="X211" si="916">SUM(V211:W211)</f>
        <v>-1457</v>
      </c>
      <c r="Y211" s="60" t="s">
        <v>82</v>
      </c>
      <c r="Z211" s="61"/>
      <c r="AA211" s="61"/>
      <c r="AB211" s="61"/>
      <c r="AC211" s="62"/>
    </row>
    <row r="212" spans="3:29" hidden="1" x14ac:dyDescent="0.2">
      <c r="C212" s="15">
        <v>44013</v>
      </c>
      <c r="D212" s="51">
        <v>0.22370000000000001</v>
      </c>
      <c r="E212" s="52">
        <v>0</v>
      </c>
      <c r="F212" s="52">
        <f t="shared" ref="F212" si="917">+D212-E212</f>
        <v>0.22370000000000001</v>
      </c>
      <c r="G212" s="53">
        <v>2174271</v>
      </c>
      <c r="H212" s="38"/>
      <c r="I212" s="54">
        <f t="shared" ref="I212" si="918">+G212-H212</f>
        <v>2174271</v>
      </c>
      <c r="J212" s="54">
        <f t="shared" ref="J212" si="919">SUM(I201:I212)/12</f>
        <v>1987299</v>
      </c>
      <c r="K212" s="54">
        <f t="shared" ref="K212" si="920">+F212*J212</f>
        <v>444558.78630000004</v>
      </c>
      <c r="L212" s="54"/>
      <c r="M212" s="54">
        <f t="shared" si="904"/>
        <v>444558.78630000004</v>
      </c>
      <c r="N212" s="54">
        <v>-1457</v>
      </c>
      <c r="O212" s="54">
        <f t="shared" si="895"/>
        <v>443101.78630000004</v>
      </c>
      <c r="P212" s="54">
        <v>3184265.86</v>
      </c>
      <c r="R212" s="32">
        <f t="shared" ref="R212" si="921">+P212-Q212</f>
        <v>3184265.86</v>
      </c>
      <c r="S212" s="32">
        <f t="shared" ref="S212" si="922">SUM(R201:R212)/12</f>
        <v>2956543.6116666663</v>
      </c>
      <c r="T212" s="29">
        <f t="shared" ref="T212" si="923">+O212/S211</f>
        <v>0.14994878739101039</v>
      </c>
      <c r="V212" s="67">
        <v>-1457</v>
      </c>
      <c r="W212" s="67">
        <v>0</v>
      </c>
      <c r="X212" s="59">
        <f t="shared" ref="X212" si="924">SUM(V212:W212)</f>
        <v>-1457</v>
      </c>
      <c r="Y212" s="60" t="s">
        <v>82</v>
      </c>
      <c r="Z212" s="61"/>
      <c r="AA212" s="61"/>
      <c r="AB212" s="61"/>
      <c r="AC212" s="62"/>
    </row>
    <row r="213" spans="3:29" hidden="1" x14ac:dyDescent="0.2">
      <c r="C213" s="15">
        <v>44044</v>
      </c>
      <c r="D213" s="51">
        <v>0.1603</v>
      </c>
      <c r="E213" s="52">
        <v>0</v>
      </c>
      <c r="F213" s="52">
        <f t="shared" ref="F213" si="925">+D213-E213</f>
        <v>0.1603</v>
      </c>
      <c r="G213" s="53">
        <v>2045308</v>
      </c>
      <c r="H213" s="38"/>
      <c r="I213" s="54">
        <f t="shared" ref="I213" si="926">+G213-H213</f>
        <v>2045308</v>
      </c>
      <c r="J213" s="54">
        <f t="shared" ref="J213" si="927">SUM(I202:I213)/12</f>
        <v>1980425.6666666667</v>
      </c>
      <c r="K213" s="54">
        <f t="shared" ref="K213" si="928">+F213*J213</f>
        <v>317462.2343666667</v>
      </c>
      <c r="L213" s="54"/>
      <c r="M213" s="54">
        <f t="shared" si="904"/>
        <v>317462.2343666667</v>
      </c>
      <c r="N213" s="54">
        <v>-1457</v>
      </c>
      <c r="O213" s="54">
        <f t="shared" si="895"/>
        <v>316005.2343666667</v>
      </c>
      <c r="P213" s="54">
        <v>3009973.15</v>
      </c>
      <c r="R213" s="32">
        <f t="shared" ref="R213" si="929">+P213-Q213</f>
        <v>3009973.15</v>
      </c>
      <c r="S213" s="32">
        <f t="shared" ref="S213" si="930">SUM(R202:R213)/12</f>
        <v>2934359.8349999995</v>
      </c>
      <c r="T213" s="29">
        <f t="shared" ref="T213" si="931">+O213/S212</f>
        <v>0.10688333265901931</v>
      </c>
      <c r="V213" s="67">
        <v>-1457</v>
      </c>
      <c r="W213" s="67">
        <v>0</v>
      </c>
      <c r="X213" s="59">
        <f t="shared" ref="X213" si="932">SUM(V213:W213)</f>
        <v>-1457</v>
      </c>
      <c r="Y213" s="60" t="s">
        <v>82</v>
      </c>
      <c r="Z213" s="61"/>
      <c r="AA213" s="61"/>
      <c r="AB213" s="61"/>
      <c r="AC213" s="62"/>
    </row>
    <row r="214" spans="3:29" hidden="1" x14ac:dyDescent="0.2">
      <c r="C214" s="15">
        <v>44075</v>
      </c>
      <c r="D214" s="51">
        <v>0.17430000000000001</v>
      </c>
      <c r="E214" s="52">
        <v>0</v>
      </c>
      <c r="F214" s="52">
        <f t="shared" ref="F214" si="933">+D214-E214</f>
        <v>0.17430000000000001</v>
      </c>
      <c r="G214" s="53">
        <v>1698841</v>
      </c>
      <c r="H214" s="38"/>
      <c r="I214" s="54">
        <f t="shared" ref="I214" si="934">+G214-H214</f>
        <v>1698841</v>
      </c>
      <c r="J214" s="54">
        <f t="shared" ref="J214" si="935">SUM(I203:I214)/12</f>
        <v>1960422</v>
      </c>
      <c r="K214" s="54">
        <f t="shared" ref="K214" si="936">+F214*J214</f>
        <v>341701.55460000003</v>
      </c>
      <c r="L214" s="54"/>
      <c r="M214" s="54">
        <f t="shared" si="904"/>
        <v>341701.55460000003</v>
      </c>
      <c r="N214" s="54">
        <v>-1458</v>
      </c>
      <c r="O214" s="54">
        <f t="shared" si="895"/>
        <v>340243.55460000003</v>
      </c>
      <c r="P214" s="54">
        <v>2644055.77</v>
      </c>
      <c r="R214" s="32">
        <f t="shared" ref="R214" si="937">+P214-Q214</f>
        <v>2644055.77</v>
      </c>
      <c r="S214" s="32">
        <f t="shared" ref="S214" si="938">SUM(R203:R214)/12</f>
        <v>2913776.5091666668</v>
      </c>
      <c r="T214" s="29">
        <f t="shared" ref="T214" si="939">+O214/S213</f>
        <v>0.1159515443681092</v>
      </c>
      <c r="V214" s="65">
        <f>-8743-SUM(V209:V213)</f>
        <v>-1458</v>
      </c>
      <c r="W214" s="67">
        <v>0</v>
      </c>
      <c r="X214" s="59">
        <f t="shared" ref="X214" si="940">SUM(V214:W214)</f>
        <v>-1458</v>
      </c>
      <c r="Y214" s="60" t="s">
        <v>82</v>
      </c>
      <c r="Z214" s="61"/>
      <c r="AA214" s="61"/>
      <c r="AB214" s="61"/>
      <c r="AC214" s="62"/>
    </row>
    <row r="215" spans="3:29" hidden="1" x14ac:dyDescent="0.2">
      <c r="C215" s="15">
        <v>44105</v>
      </c>
      <c r="D215" s="51">
        <v>0.20849999999999999</v>
      </c>
      <c r="E215" s="52">
        <v>0</v>
      </c>
      <c r="F215" s="52">
        <f t="shared" ref="F215" si="941">+D215-E215</f>
        <v>0.20849999999999999</v>
      </c>
      <c r="G215" s="53">
        <v>1467128</v>
      </c>
      <c r="H215" s="38"/>
      <c r="I215" s="54">
        <f t="shared" ref="I215" si="942">+G215-H215</f>
        <v>1467128</v>
      </c>
      <c r="J215" s="54">
        <f t="shared" ref="J215" si="943">SUM(I204:I215)/12</f>
        <v>1940190.25</v>
      </c>
      <c r="K215" s="54">
        <f t="shared" ref="K215" si="944">+F215*J215</f>
        <v>404529.66712499998</v>
      </c>
      <c r="L215" s="54"/>
      <c r="M215" s="54">
        <f t="shared" si="904"/>
        <v>404529.66712499998</v>
      </c>
      <c r="N215" s="54">
        <v>0</v>
      </c>
      <c r="O215" s="54">
        <f t="shared" ref="O215:O231" si="945">+M215+N215</f>
        <v>404529.66712499998</v>
      </c>
      <c r="P215" s="54">
        <v>2359786.2799999998</v>
      </c>
      <c r="R215" s="32">
        <f t="shared" ref="R215" si="946">+P215-Q215</f>
        <v>2359786.2799999998</v>
      </c>
      <c r="S215" s="32">
        <f t="shared" ref="S215" si="947">SUM(R204:R215)/12</f>
        <v>2894821.415833333</v>
      </c>
      <c r="T215" s="29">
        <f t="shared" ref="T215" si="948">+O215/S214</f>
        <v>0.13883345749145823</v>
      </c>
      <c r="V215" s="67">
        <v>0</v>
      </c>
      <c r="W215" s="67">
        <v>0</v>
      </c>
      <c r="X215" s="59">
        <f t="shared" ref="X215" si="949">SUM(V215:W215)</f>
        <v>0</v>
      </c>
      <c r="Y215" s="60"/>
      <c r="Z215" s="61"/>
      <c r="AA215" s="61"/>
      <c r="AB215" s="61"/>
      <c r="AC215" s="62"/>
    </row>
    <row r="216" spans="3:29" hidden="1" x14ac:dyDescent="0.2">
      <c r="C216" s="15">
        <v>44136</v>
      </c>
      <c r="D216" s="51">
        <v>0.2361</v>
      </c>
      <c r="E216" s="52">
        <v>0</v>
      </c>
      <c r="F216" s="52">
        <f t="shared" ref="F216" si="950">+D216-E216</f>
        <v>0.2361</v>
      </c>
      <c r="G216" s="53">
        <v>1866536</v>
      </c>
      <c r="H216" s="38"/>
      <c r="I216" s="54">
        <f t="shared" ref="I216" si="951">+G216-H216</f>
        <v>1866536</v>
      </c>
      <c r="J216" s="54">
        <f t="shared" ref="J216" si="952">SUM(I205:I216)/12</f>
        <v>1906610.3333333333</v>
      </c>
      <c r="K216" s="54">
        <f t="shared" ref="K216" si="953">+F216*J216</f>
        <v>450150.6997</v>
      </c>
      <c r="L216" s="54"/>
      <c r="M216" s="54">
        <f t="shared" si="904"/>
        <v>450150.6997</v>
      </c>
      <c r="N216" s="54">
        <v>0</v>
      </c>
      <c r="O216" s="54">
        <f t="shared" si="945"/>
        <v>450150.6997</v>
      </c>
      <c r="P216" s="54">
        <v>2709996.44</v>
      </c>
      <c r="R216" s="32">
        <f t="shared" ref="R216" si="954">+P216-Q216</f>
        <v>2709996.44</v>
      </c>
      <c r="S216" s="32">
        <f t="shared" ref="S216" si="955">SUM(R205:R216)/12</f>
        <v>2860899.1975000002</v>
      </c>
      <c r="T216" s="29">
        <f t="shared" ref="T216" si="956">+O216/S215</f>
        <v>0.15550206214375922</v>
      </c>
      <c r="V216" s="67">
        <v>0</v>
      </c>
      <c r="W216" s="67">
        <v>0</v>
      </c>
      <c r="X216" s="59">
        <f t="shared" ref="X216" si="957">SUM(V216:W216)</f>
        <v>0</v>
      </c>
      <c r="Y216" s="60"/>
      <c r="Z216" s="61"/>
      <c r="AA216" s="61"/>
      <c r="AB216" s="61"/>
      <c r="AC216" s="62"/>
    </row>
    <row r="217" spans="3:29" hidden="1" x14ac:dyDescent="0.2">
      <c r="C217" s="15">
        <v>44166</v>
      </c>
      <c r="D217" s="51">
        <v>0.20880000000000001</v>
      </c>
      <c r="E217" s="52">
        <v>0</v>
      </c>
      <c r="F217" s="52">
        <f t="shared" ref="F217" si="958">+D217-E217</f>
        <v>0.20880000000000001</v>
      </c>
      <c r="G217" s="53">
        <v>2625819</v>
      </c>
      <c r="H217" s="38"/>
      <c r="I217" s="54">
        <f t="shared" ref="I217" si="959">+G217-H217</f>
        <v>2625819</v>
      </c>
      <c r="J217" s="54">
        <f t="shared" ref="J217" si="960">SUM(I206:I217)/12</f>
        <v>1914719.75</v>
      </c>
      <c r="K217" s="54">
        <f t="shared" ref="K217" si="961">+F217*J217</f>
        <v>399793.48380000005</v>
      </c>
      <c r="L217" s="54"/>
      <c r="M217" s="54">
        <f t="shared" si="904"/>
        <v>399793.48380000005</v>
      </c>
      <c r="N217" s="54">
        <v>0</v>
      </c>
      <c r="O217" s="54">
        <f t="shared" si="945"/>
        <v>399793.48380000005</v>
      </c>
      <c r="P217" s="54">
        <v>3908693.86</v>
      </c>
      <c r="R217" s="32">
        <f t="shared" ref="R217" si="962">+P217-Q217</f>
        <v>3908693.86</v>
      </c>
      <c r="S217" s="32">
        <f t="shared" ref="S217" si="963">SUM(R206:R217)/12</f>
        <v>2881925.4833333339</v>
      </c>
      <c r="T217" s="29">
        <f t="shared" ref="T217" si="964">+O217/S216</f>
        <v>0.13974399522687134</v>
      </c>
      <c r="V217" s="67">
        <v>0</v>
      </c>
      <c r="W217" s="67">
        <v>0</v>
      </c>
      <c r="X217" s="59">
        <f t="shared" ref="X217" si="965">SUM(V217:W217)</f>
        <v>0</v>
      </c>
      <c r="Y217" s="60"/>
      <c r="Z217" s="61"/>
      <c r="AA217" s="61"/>
      <c r="AB217" s="61"/>
      <c r="AC217" s="62"/>
    </row>
    <row r="218" spans="3:29" hidden="1" x14ac:dyDescent="0.2">
      <c r="C218" s="15">
        <v>44197</v>
      </c>
      <c r="D218" s="51">
        <v>0.14000000000000001</v>
      </c>
      <c r="E218" s="52">
        <v>0</v>
      </c>
      <c r="F218" s="52">
        <f t="shared" ref="F218" si="966">+D218-E218</f>
        <v>0.14000000000000001</v>
      </c>
      <c r="G218" s="53">
        <v>2665175</v>
      </c>
      <c r="H218" s="38"/>
      <c r="I218" s="54">
        <f t="shared" ref="I218" si="967">+G218-H218</f>
        <v>2665175</v>
      </c>
      <c r="J218" s="54">
        <f t="shared" ref="J218" si="968">SUM(I207:I218)/12</f>
        <v>1930589.0833333333</v>
      </c>
      <c r="K218" s="54">
        <f t="shared" ref="K218" si="969">+F218*J218</f>
        <v>270282.47166666668</v>
      </c>
      <c r="L218" s="54"/>
      <c r="M218" s="54">
        <f t="shared" si="904"/>
        <v>270282.47166666668</v>
      </c>
      <c r="N218" s="54">
        <v>0</v>
      </c>
      <c r="O218" s="54">
        <f t="shared" si="945"/>
        <v>270282.47166666668</v>
      </c>
      <c r="P218" s="54">
        <v>3782773.97</v>
      </c>
      <c r="R218" s="32">
        <f t="shared" ref="R218" si="970">+P218-Q218</f>
        <v>3782773.97</v>
      </c>
      <c r="S218" s="32">
        <f t="shared" ref="S218" si="971">SUM(R207:R218)/12</f>
        <v>2907874.9633333334</v>
      </c>
      <c r="T218" s="29">
        <f t="shared" ref="T218" si="972">+O218/S217</f>
        <v>9.378537829300454E-2</v>
      </c>
      <c r="V218" s="67">
        <v>0</v>
      </c>
      <c r="W218" s="67">
        <v>0</v>
      </c>
      <c r="X218" s="59">
        <f t="shared" ref="X218" si="973">SUM(V218:W218)</f>
        <v>0</v>
      </c>
      <c r="Y218" s="60"/>
      <c r="Z218" s="61"/>
      <c r="AA218" s="61"/>
      <c r="AB218" s="61"/>
      <c r="AC218" s="62"/>
    </row>
    <row r="219" spans="3:29" hidden="1" x14ac:dyDescent="0.2">
      <c r="C219" s="15">
        <v>44228</v>
      </c>
      <c r="D219" s="51">
        <v>0.1321</v>
      </c>
      <c r="E219" s="52">
        <v>0</v>
      </c>
      <c r="F219" s="52">
        <f t="shared" ref="F219" si="974">+D219-E219</f>
        <v>0.1321</v>
      </c>
      <c r="G219" s="53">
        <v>2500483</v>
      </c>
      <c r="H219" s="38"/>
      <c r="I219" s="54">
        <f t="shared" ref="I219" si="975">+G219-H219</f>
        <v>2500483</v>
      </c>
      <c r="J219" s="54">
        <f t="shared" ref="J219" si="976">SUM(I208:I219)/12</f>
        <v>1956765.1666666667</v>
      </c>
      <c r="K219" s="54">
        <f t="shared" ref="K219" si="977">+F219*J219</f>
        <v>258488.67851666667</v>
      </c>
      <c r="L219" s="54"/>
      <c r="M219" s="54">
        <f t="shared" si="904"/>
        <v>258488.67851666667</v>
      </c>
      <c r="N219" s="54">
        <v>0</v>
      </c>
      <c r="O219" s="54">
        <f t="shared" si="945"/>
        <v>258488.67851666667</v>
      </c>
      <c r="P219" s="54">
        <v>4050105.94</v>
      </c>
      <c r="R219" s="32">
        <f t="shared" ref="R219" si="978">+P219-Q219</f>
        <v>4050105.94</v>
      </c>
      <c r="S219" s="32">
        <f t="shared" ref="S219" si="979">SUM(R208:R219)/12</f>
        <v>2972084.5866666664</v>
      </c>
      <c r="T219" s="29">
        <f t="shared" ref="T219" si="980">+O219/S218</f>
        <v>8.8892638705605778E-2</v>
      </c>
      <c r="V219" s="67">
        <v>0</v>
      </c>
      <c r="W219" s="67">
        <v>0</v>
      </c>
      <c r="X219" s="59">
        <f t="shared" ref="X219" si="981">SUM(V219:W219)</f>
        <v>0</v>
      </c>
      <c r="Y219" s="60"/>
      <c r="Z219" s="61"/>
      <c r="AA219" s="61"/>
      <c r="AB219" s="61"/>
      <c r="AC219" s="62"/>
    </row>
    <row r="220" spans="3:29" hidden="1" x14ac:dyDescent="0.2">
      <c r="C220" s="15">
        <v>44256</v>
      </c>
      <c r="D220" s="51">
        <v>0.16289999999999999</v>
      </c>
      <c r="E220" s="52">
        <v>0</v>
      </c>
      <c r="F220" s="52">
        <f t="shared" ref="F220" si="982">+D220-E220</f>
        <v>0.16289999999999999</v>
      </c>
      <c r="G220" s="53">
        <v>2192879</v>
      </c>
      <c r="H220" s="38"/>
      <c r="I220" s="54">
        <f t="shared" ref="I220" si="983">+G220-H220</f>
        <v>2192879</v>
      </c>
      <c r="J220" s="54">
        <f t="shared" ref="J220" si="984">SUM(I209:I220)/12</f>
        <v>1989774.5</v>
      </c>
      <c r="K220" s="54">
        <f t="shared" ref="K220" si="985">+F220*J220</f>
        <v>324134.26604999998</v>
      </c>
      <c r="L220" s="54"/>
      <c r="M220" s="54">
        <f t="shared" si="904"/>
        <v>324134.26604999998</v>
      </c>
      <c r="N220" s="54">
        <v>0</v>
      </c>
      <c r="O220" s="54">
        <f t="shared" si="945"/>
        <v>324134.26604999998</v>
      </c>
      <c r="P220" s="54">
        <v>2909152.91</v>
      </c>
      <c r="R220" s="32">
        <f t="shared" ref="R220" si="986">+P220-Q220</f>
        <v>2909152.91</v>
      </c>
      <c r="S220" s="32">
        <f t="shared" ref="S220" si="987">SUM(R209:R220)/12</f>
        <v>2978404.4466666668</v>
      </c>
      <c r="T220" s="29">
        <f t="shared" ref="T220" si="988">+O220/S219</f>
        <v>0.10905956967178108</v>
      </c>
      <c r="V220" s="67">
        <v>0</v>
      </c>
      <c r="W220" s="67">
        <v>0</v>
      </c>
      <c r="X220" s="59">
        <f t="shared" ref="X220" si="989">SUM(V220:W220)</f>
        <v>0</v>
      </c>
      <c r="Y220" s="60"/>
      <c r="Z220" s="61"/>
      <c r="AA220" s="61"/>
      <c r="AB220" s="61"/>
      <c r="AC220" s="62"/>
    </row>
    <row r="221" spans="3:29" hidden="1" x14ac:dyDescent="0.2">
      <c r="C221" s="15">
        <v>44287</v>
      </c>
      <c r="D221" s="51">
        <v>0.17879999999999999</v>
      </c>
      <c r="E221" s="52">
        <v>0</v>
      </c>
      <c r="F221" s="52">
        <f t="shared" ref="F221" si="990">+D221-E221</f>
        <v>0.17879999999999999</v>
      </c>
      <c r="G221" s="53">
        <v>1796588</v>
      </c>
      <c r="H221" s="38"/>
      <c r="I221" s="54">
        <f t="shared" ref="I221" si="991">+G221-H221</f>
        <v>1796588</v>
      </c>
      <c r="J221" s="54">
        <f t="shared" ref="J221" si="992">SUM(I210:I221)/12</f>
        <v>2018341</v>
      </c>
      <c r="K221" s="54">
        <f t="shared" ref="K221" si="993">+F221*J221</f>
        <v>360879.37079999998</v>
      </c>
      <c r="L221" s="54"/>
      <c r="M221" s="54">
        <f t="shared" si="904"/>
        <v>360879.37079999998</v>
      </c>
      <c r="N221" s="54">
        <v>0</v>
      </c>
      <c r="O221" s="54">
        <f t="shared" si="945"/>
        <v>360879.37079999998</v>
      </c>
      <c r="P221" s="54">
        <v>2903395.15</v>
      </c>
      <c r="R221" s="32">
        <f t="shared" ref="R221" si="994">+P221-Q221</f>
        <v>2903395.15</v>
      </c>
      <c r="S221" s="32">
        <f t="shared" ref="S221" si="995">SUM(R210:R221)/12</f>
        <v>3015546.9391666665</v>
      </c>
      <c r="T221" s="29">
        <f t="shared" ref="T221" si="996">+O221/S220</f>
        <v>0.12116533441382832</v>
      </c>
      <c r="V221" s="67">
        <v>0</v>
      </c>
      <c r="W221" s="67">
        <v>0</v>
      </c>
      <c r="X221" s="59">
        <f t="shared" ref="X221" si="997">SUM(V221:W221)</f>
        <v>0</v>
      </c>
      <c r="Y221" s="60"/>
      <c r="Z221" s="61"/>
      <c r="AA221" s="61"/>
      <c r="AB221" s="61"/>
      <c r="AC221" s="62"/>
    </row>
    <row r="222" spans="3:29" hidden="1" x14ac:dyDescent="0.2">
      <c r="C222" s="15">
        <v>44317</v>
      </c>
      <c r="D222" s="51">
        <v>0.25509999999999999</v>
      </c>
      <c r="E222" s="52">
        <v>0</v>
      </c>
      <c r="F222" s="52">
        <f t="shared" ref="F222" si="998">+D222-E222</f>
        <v>0.25509999999999999</v>
      </c>
      <c r="G222" s="53">
        <v>1585858</v>
      </c>
      <c r="H222" s="38"/>
      <c r="I222" s="54">
        <f t="shared" ref="I222" si="999">+G222-H222</f>
        <v>1585858</v>
      </c>
      <c r="J222" s="54">
        <f t="shared" ref="J222" si="1000">SUM(I211:I222)/12</f>
        <v>2028477.1666666667</v>
      </c>
      <c r="K222" s="54">
        <f t="shared" ref="K222" si="1001">+F222*J222</f>
        <v>517464.52521666669</v>
      </c>
      <c r="L222" s="54"/>
      <c r="M222" s="54">
        <f t="shared" si="904"/>
        <v>517464.52521666669</v>
      </c>
      <c r="N222" s="54">
        <v>0</v>
      </c>
      <c r="O222" s="54">
        <f t="shared" si="945"/>
        <v>517464.52521666669</v>
      </c>
      <c r="P222" s="54">
        <v>2435831.5099999998</v>
      </c>
      <c r="R222" s="32">
        <f t="shared" ref="R222" si="1002">+P222-Q222</f>
        <v>2435831.5099999998</v>
      </c>
      <c r="S222" s="32">
        <f t="shared" ref="S222" si="1003">SUM(R211:R222)/12</f>
        <v>3026956.9249999993</v>
      </c>
      <c r="T222" s="29">
        <f t="shared" ref="T222" si="1004">+O222/S221</f>
        <v>0.17159889587381644</v>
      </c>
      <c r="V222" s="67">
        <v>0</v>
      </c>
      <c r="W222" s="67">
        <v>0</v>
      </c>
      <c r="X222" s="59">
        <f t="shared" ref="X222" si="1005">SUM(V222:W222)</f>
        <v>0</v>
      </c>
      <c r="Y222" s="60"/>
      <c r="Z222" s="61"/>
      <c r="AA222" s="61"/>
      <c r="AB222" s="61"/>
      <c r="AC222" s="62"/>
    </row>
    <row r="223" spans="3:29" hidden="1" x14ac:dyDescent="0.2">
      <c r="C223" s="15">
        <v>44348</v>
      </c>
      <c r="D223" s="51">
        <v>0.23019999999999999</v>
      </c>
      <c r="E223" s="52">
        <v>0</v>
      </c>
      <c r="F223" s="52">
        <f t="shared" ref="F223" si="1006">+D223-E223</f>
        <v>0.23019999999999999</v>
      </c>
      <c r="G223" s="53">
        <v>1935061</v>
      </c>
      <c r="H223" s="38"/>
      <c r="I223" s="54">
        <f t="shared" ref="I223" si="1007">+G223-H223</f>
        <v>1935061</v>
      </c>
      <c r="J223" s="54">
        <f t="shared" ref="J223" si="1008">SUM(I212:I223)/12</f>
        <v>2046162.25</v>
      </c>
      <c r="K223" s="54">
        <f t="shared" ref="K223" si="1009">+F223*J223</f>
        <v>471026.54994999996</v>
      </c>
      <c r="L223" s="54"/>
      <c r="M223" s="54">
        <f t="shared" si="904"/>
        <v>471026.54994999996</v>
      </c>
      <c r="N223" s="54">
        <v>0</v>
      </c>
      <c r="O223" s="54">
        <f t="shared" si="945"/>
        <v>471026.54994999996</v>
      </c>
      <c r="P223" s="54">
        <v>2789717.96</v>
      </c>
      <c r="R223" s="32">
        <f t="shared" ref="R223" si="1010">+P223-Q223</f>
        <v>2789717.96</v>
      </c>
      <c r="S223" s="32">
        <f t="shared" ref="S223" si="1011">SUM(R212:R223)/12</f>
        <v>3057312.4</v>
      </c>
      <c r="T223" s="29">
        <f t="shared" ref="T223" si="1012">+O223/S222</f>
        <v>0.15561058899112021</v>
      </c>
      <c r="V223" s="67">
        <v>0</v>
      </c>
      <c r="W223" s="67">
        <v>0</v>
      </c>
      <c r="X223" s="59">
        <f t="shared" ref="X223" si="1013">SUM(V223:W223)</f>
        <v>0</v>
      </c>
      <c r="Y223" s="60"/>
      <c r="Z223" s="61"/>
      <c r="AA223" s="61"/>
      <c r="AB223" s="61"/>
      <c r="AC223" s="62"/>
    </row>
    <row r="224" spans="3:29" hidden="1" x14ac:dyDescent="0.2">
      <c r="C224" s="15">
        <v>44378</v>
      </c>
      <c r="D224" s="51">
        <v>0.2099</v>
      </c>
      <c r="E224" s="52">
        <v>0</v>
      </c>
      <c r="F224" s="52">
        <f t="shared" ref="F224" si="1014">+D224-E224</f>
        <v>0.2099</v>
      </c>
      <c r="G224" s="53">
        <v>2112483</v>
      </c>
      <c r="H224" s="38"/>
      <c r="I224" s="54">
        <f t="shared" ref="I224" si="1015">+G224-H224</f>
        <v>2112483</v>
      </c>
      <c r="J224" s="54">
        <f t="shared" ref="J224" si="1016">SUM(I213:I224)/12</f>
        <v>2041013.25</v>
      </c>
      <c r="K224" s="54">
        <f t="shared" ref="K224" si="1017">+F224*J224</f>
        <v>428408.68117500003</v>
      </c>
      <c r="L224" s="54"/>
      <c r="M224" s="54">
        <f t="shared" si="904"/>
        <v>428408.68117500003</v>
      </c>
      <c r="N224" s="54">
        <v>0</v>
      </c>
      <c r="O224" s="54">
        <f t="shared" si="945"/>
        <v>428408.68117500003</v>
      </c>
      <c r="P224" s="54">
        <v>3165634.76</v>
      </c>
      <c r="R224" s="32">
        <f t="shared" ref="R224" si="1018">+P224-Q224</f>
        <v>3165634.76</v>
      </c>
      <c r="S224" s="32">
        <f t="shared" ref="S224" si="1019">SUM(R213:R224)/12</f>
        <v>3055759.8083333331</v>
      </c>
      <c r="T224" s="29">
        <f t="shared" ref="T224" si="1020">+O224/S223</f>
        <v>0.14012590966333702</v>
      </c>
      <c r="V224" s="67">
        <v>0</v>
      </c>
      <c r="W224" s="67">
        <v>0</v>
      </c>
      <c r="X224" s="59">
        <f t="shared" ref="X224" si="1021">SUM(V224:W224)</f>
        <v>0</v>
      </c>
      <c r="Y224" s="60"/>
      <c r="Z224" s="61"/>
      <c r="AA224" s="61"/>
      <c r="AB224" s="61"/>
      <c r="AC224" s="62"/>
    </row>
    <row r="225" spans="3:29" hidden="1" x14ac:dyDescent="0.2">
      <c r="C225" s="15">
        <v>44409</v>
      </c>
      <c r="D225" s="51">
        <v>0.18920000000000001</v>
      </c>
      <c r="E225" s="52">
        <v>0</v>
      </c>
      <c r="F225" s="52">
        <f t="shared" ref="F225" si="1022">+D225-E225</f>
        <v>0.18920000000000001</v>
      </c>
      <c r="G225" s="53">
        <v>2190866</v>
      </c>
      <c r="H225" s="38"/>
      <c r="I225" s="54">
        <f t="shared" ref="I225" si="1023">+G225-H225</f>
        <v>2190866</v>
      </c>
      <c r="J225" s="54">
        <f t="shared" ref="J225" si="1024">SUM(I214:I225)/12</f>
        <v>2053143.0833333333</v>
      </c>
      <c r="K225" s="54">
        <f t="shared" ref="K225" si="1025">+F225*J225</f>
        <v>388454.67136666668</v>
      </c>
      <c r="L225" s="54"/>
      <c r="M225" s="54">
        <f t="shared" si="904"/>
        <v>388454.67136666668</v>
      </c>
      <c r="N225" s="54">
        <v>0</v>
      </c>
      <c r="O225" s="54">
        <f t="shared" si="945"/>
        <v>388454.67136666668</v>
      </c>
      <c r="P225" s="54">
        <v>3222438.96</v>
      </c>
      <c r="R225" s="32">
        <f t="shared" ref="R225" si="1026">+P225-Q225</f>
        <v>3222438.96</v>
      </c>
      <c r="S225" s="32">
        <f t="shared" ref="S225" si="1027">SUM(R214:R225)/12</f>
        <v>3073465.2925</v>
      </c>
      <c r="T225" s="29">
        <f t="shared" ref="T225" si="1028">+O225/S224</f>
        <v>0.12712212206840201</v>
      </c>
      <c r="V225" s="67">
        <v>0</v>
      </c>
      <c r="W225" s="67">
        <v>0</v>
      </c>
      <c r="X225" s="59">
        <f t="shared" ref="X225" si="1029">SUM(V225:W225)</f>
        <v>0</v>
      </c>
      <c r="Y225" s="60"/>
      <c r="Z225" s="61"/>
      <c r="AA225" s="61"/>
      <c r="AB225" s="61"/>
      <c r="AC225" s="62"/>
    </row>
    <row r="226" spans="3:29" hidden="1" x14ac:dyDescent="0.2">
      <c r="C226" s="15">
        <v>44440</v>
      </c>
      <c r="D226" s="51">
        <v>0.1777</v>
      </c>
      <c r="E226" s="52">
        <v>0</v>
      </c>
      <c r="F226" s="52">
        <f t="shared" ref="F226" si="1030">+D226-E226</f>
        <v>0.1777</v>
      </c>
      <c r="G226" s="53">
        <v>1748780</v>
      </c>
      <c r="H226" s="38"/>
      <c r="I226" s="54">
        <f t="shared" ref="I226" si="1031">+G226-H226</f>
        <v>1748780</v>
      </c>
      <c r="J226" s="54">
        <f t="shared" ref="J226" si="1032">SUM(I215:I226)/12</f>
        <v>2057304.6666666667</v>
      </c>
      <c r="K226" s="54">
        <f t="shared" ref="K226" si="1033">+F226*J226</f>
        <v>365583.03926666669</v>
      </c>
      <c r="L226" s="54"/>
      <c r="M226" s="54">
        <f t="shared" si="904"/>
        <v>365583.03926666669</v>
      </c>
      <c r="N226" s="54">
        <v>0</v>
      </c>
      <c r="O226" s="54">
        <f t="shared" si="945"/>
        <v>365583.03926666669</v>
      </c>
      <c r="P226" s="54">
        <v>2876747.54</v>
      </c>
      <c r="R226" s="32">
        <f t="shared" ref="R226" si="1034">+P226-Q226</f>
        <v>2876747.54</v>
      </c>
      <c r="S226" s="32">
        <f t="shared" ref="S226" si="1035">SUM(R215:R226)/12</f>
        <v>3092856.2733333334</v>
      </c>
      <c r="T226" s="29">
        <f t="shared" ref="T226" si="1036">+O226/S225</f>
        <v>0.11894815931670935</v>
      </c>
      <c r="V226" s="67">
        <v>0</v>
      </c>
      <c r="W226" s="67">
        <v>0</v>
      </c>
      <c r="X226" s="59">
        <f t="shared" ref="X226" si="1037">SUM(V226:W226)</f>
        <v>0</v>
      </c>
      <c r="Y226" s="60"/>
      <c r="Z226" s="61"/>
      <c r="AA226" s="61"/>
      <c r="AB226" s="61"/>
      <c r="AC226" s="62"/>
    </row>
    <row r="227" spans="3:29" hidden="1" x14ac:dyDescent="0.2">
      <c r="C227" s="15">
        <v>44470</v>
      </c>
      <c r="D227" s="51">
        <v>0.21179999999999999</v>
      </c>
      <c r="E227" s="52">
        <v>0</v>
      </c>
      <c r="F227" s="52">
        <f t="shared" ref="F227" si="1038">+D227-E227</f>
        <v>0.21179999999999999</v>
      </c>
      <c r="G227" s="53">
        <v>1720459</v>
      </c>
      <c r="H227" s="38"/>
      <c r="I227" s="54">
        <f t="shared" ref="I227" si="1039">+G227-H227</f>
        <v>1720459</v>
      </c>
      <c r="J227" s="54">
        <f t="shared" ref="J227" si="1040">SUM(I216:I227)/12</f>
        <v>2078415.5833333333</v>
      </c>
      <c r="K227" s="54">
        <f t="shared" ref="K227" si="1041">+F227*J227</f>
        <v>440208.42054999998</v>
      </c>
      <c r="L227" s="54"/>
      <c r="M227" s="54">
        <f t="shared" si="904"/>
        <v>440208.42054999998</v>
      </c>
      <c r="N227" s="54">
        <v>0</v>
      </c>
      <c r="O227" s="54">
        <f t="shared" si="945"/>
        <v>440208.42054999998</v>
      </c>
      <c r="P227" s="54">
        <v>2521718.5</v>
      </c>
      <c r="R227" s="32">
        <f t="shared" ref="R227" si="1042">+P227-Q227</f>
        <v>2521718.5</v>
      </c>
      <c r="S227" s="32">
        <f t="shared" ref="S227" si="1043">SUM(R216:R227)/12</f>
        <v>3106350.6249999995</v>
      </c>
      <c r="T227" s="29">
        <f t="shared" ref="T227" si="1044">+O227/S226</f>
        <v>0.14233070716718571</v>
      </c>
      <c r="V227" s="67">
        <v>0</v>
      </c>
      <c r="W227" s="67">
        <v>0</v>
      </c>
      <c r="X227" s="59">
        <f t="shared" ref="X227" si="1045">SUM(V227:W227)</f>
        <v>0</v>
      </c>
      <c r="Y227" s="60"/>
      <c r="Z227" s="61"/>
      <c r="AA227" s="61"/>
      <c r="AB227" s="61"/>
      <c r="AC227" s="62"/>
    </row>
    <row r="228" spans="3:29" hidden="1" x14ac:dyDescent="0.2">
      <c r="C228" s="15">
        <v>44501</v>
      </c>
      <c r="D228" s="51">
        <v>0.20419999999999999</v>
      </c>
      <c r="E228" s="52">
        <v>0</v>
      </c>
      <c r="F228" s="52">
        <f t="shared" ref="F228" si="1046">+D228-E228</f>
        <v>0.20419999999999999</v>
      </c>
      <c r="G228" s="53">
        <v>3013238</v>
      </c>
      <c r="H228" s="38"/>
      <c r="I228" s="54">
        <f t="shared" ref="I228" si="1047">+G228-H228</f>
        <v>3013238</v>
      </c>
      <c r="J228" s="54">
        <f t="shared" ref="J228" si="1048">SUM(I217:I228)/12</f>
        <v>2173974.0833333335</v>
      </c>
      <c r="K228" s="54">
        <f t="shared" ref="K228" si="1049">+F228*J228</f>
        <v>443925.50781666668</v>
      </c>
      <c r="L228" s="54"/>
      <c r="M228" s="54">
        <f t="shared" si="904"/>
        <v>443925.50781666668</v>
      </c>
      <c r="N228" s="54">
        <v>0</v>
      </c>
      <c r="O228" s="54">
        <f t="shared" si="945"/>
        <v>443925.50781666668</v>
      </c>
      <c r="P228" s="54">
        <v>3757932.07</v>
      </c>
      <c r="R228" s="32">
        <f t="shared" ref="R228" si="1050">+P228-Q228</f>
        <v>3757932.07</v>
      </c>
      <c r="S228" s="32">
        <f t="shared" ref="S228" si="1051">SUM(R217:R228)/12</f>
        <v>3193678.5941666663</v>
      </c>
      <c r="T228" s="29">
        <f t="shared" ref="T228" si="1052">+O228/S227</f>
        <v>0.14290901492057637</v>
      </c>
      <c r="V228" s="67">
        <v>0</v>
      </c>
      <c r="W228" s="67">
        <v>0</v>
      </c>
      <c r="X228" s="59">
        <f t="shared" ref="X228" si="1053">SUM(V228:W228)</f>
        <v>0</v>
      </c>
      <c r="Y228" s="60"/>
      <c r="Z228" s="61"/>
      <c r="AA228" s="61"/>
      <c r="AB228" s="61"/>
      <c r="AC228" s="62"/>
    </row>
    <row r="229" spans="3:29" hidden="1" x14ac:dyDescent="0.2">
      <c r="C229" s="15">
        <v>44531</v>
      </c>
      <c r="D229" s="51">
        <v>0.13880000000000001</v>
      </c>
      <c r="E229" s="52">
        <v>0</v>
      </c>
      <c r="F229" s="52">
        <f t="shared" ref="F229" si="1054">+D229-E229</f>
        <v>0.13880000000000001</v>
      </c>
      <c r="G229" s="53">
        <v>3048671</v>
      </c>
      <c r="H229" s="38"/>
      <c r="I229" s="54">
        <f t="shared" ref="I229" si="1055">+G229-H229</f>
        <v>3048671</v>
      </c>
      <c r="J229" s="54">
        <f t="shared" ref="J229" si="1056">SUM(I218:I229)/12</f>
        <v>2209211.75</v>
      </c>
      <c r="K229" s="54">
        <f t="shared" ref="K229" si="1057">+F229*J229</f>
        <v>306638.59090000001</v>
      </c>
      <c r="L229" s="54"/>
      <c r="M229" s="54">
        <f t="shared" si="904"/>
        <v>306638.59090000001</v>
      </c>
      <c r="N229" s="54">
        <v>0</v>
      </c>
      <c r="O229" s="54">
        <f t="shared" si="945"/>
        <v>306638.59090000001</v>
      </c>
      <c r="P229" s="54">
        <v>3966148.23</v>
      </c>
      <c r="R229" s="32">
        <f t="shared" ref="R229" si="1058">+P229-Q229</f>
        <v>3966148.23</v>
      </c>
      <c r="S229" s="32">
        <f t="shared" ref="S229" si="1059">SUM(R218:R229)/12</f>
        <v>3198466.4583333335</v>
      </c>
      <c r="T229" s="29">
        <f t="shared" ref="T229" si="1060">+O229/S228</f>
        <v>9.6014229941636289E-2</v>
      </c>
      <c r="V229" s="67">
        <v>0</v>
      </c>
      <c r="W229" s="67">
        <v>0</v>
      </c>
      <c r="X229" s="59">
        <f t="shared" ref="X229" si="1061">SUM(V229:W229)</f>
        <v>0</v>
      </c>
      <c r="Y229" s="60"/>
      <c r="Z229" s="61"/>
      <c r="AA229" s="61"/>
      <c r="AB229" s="61"/>
      <c r="AC229" s="62"/>
    </row>
    <row r="230" spans="3:29" hidden="1" x14ac:dyDescent="0.2">
      <c r="C230" s="15">
        <v>44562</v>
      </c>
      <c r="D230" s="51">
        <v>0.13639999999999999</v>
      </c>
      <c r="E230" s="52">
        <v>0</v>
      </c>
      <c r="F230" s="52">
        <f t="shared" ref="F230" si="1062">+D230-E230</f>
        <v>0.13639999999999999</v>
      </c>
      <c r="G230" s="53">
        <v>3785189</v>
      </c>
      <c r="H230" s="38"/>
      <c r="I230" s="54">
        <f t="shared" ref="I230" si="1063">+G230-H230</f>
        <v>3785189</v>
      </c>
      <c r="J230" s="54">
        <f t="shared" ref="J230" si="1064">SUM(I219:I230)/12</f>
        <v>2302546.25</v>
      </c>
      <c r="K230" s="54">
        <f t="shared" ref="K230" si="1065">+F230*J230</f>
        <v>314067.30849999998</v>
      </c>
      <c r="L230" s="54"/>
      <c r="M230" s="54">
        <f t="shared" si="904"/>
        <v>314067.30849999998</v>
      </c>
      <c r="N230" s="54">
        <v>0</v>
      </c>
      <c r="O230" s="54">
        <f t="shared" si="945"/>
        <v>314067.30849999998</v>
      </c>
      <c r="P230" s="54">
        <v>5133546.32</v>
      </c>
      <c r="R230" s="32">
        <f t="shared" ref="R230" si="1066">+P230-Q230</f>
        <v>5133546.32</v>
      </c>
      <c r="S230" s="32">
        <f t="shared" ref="S230" si="1067">SUM(R219:R230)/12</f>
        <v>3311030.8208333328</v>
      </c>
      <c r="T230" s="29">
        <f t="shared" ref="T230" si="1068">+O230/S229</f>
        <v>9.8193091155207898E-2</v>
      </c>
      <c r="V230" s="67">
        <v>0</v>
      </c>
      <c r="W230" s="67">
        <v>0</v>
      </c>
      <c r="X230" s="59">
        <f t="shared" ref="X230" si="1069">SUM(V230:W230)</f>
        <v>0</v>
      </c>
      <c r="Y230" s="60"/>
      <c r="Z230" s="61"/>
      <c r="AA230" s="61"/>
      <c r="AB230" s="61"/>
      <c r="AC230" s="62"/>
    </row>
    <row r="231" spans="3:29" hidden="1" x14ac:dyDescent="0.2">
      <c r="C231" s="15">
        <v>44593</v>
      </c>
      <c r="D231" s="51">
        <v>0.10489999999999999</v>
      </c>
      <c r="E231" s="52">
        <v>0</v>
      </c>
      <c r="F231" s="52">
        <f t="shared" ref="F231" si="1070">+D231-E231</f>
        <v>0.10489999999999999</v>
      </c>
      <c r="G231" s="53">
        <v>3032144</v>
      </c>
      <c r="H231" s="38"/>
      <c r="I231" s="54">
        <f t="shared" ref="I231" si="1071">+G231-H231</f>
        <v>3032144</v>
      </c>
      <c r="J231" s="54">
        <f t="shared" ref="J231" si="1072">SUM(I220:I231)/12</f>
        <v>2346851.3333333335</v>
      </c>
      <c r="K231" s="54">
        <f t="shared" ref="K231" si="1073">+F231*J231</f>
        <v>246184.70486666667</v>
      </c>
      <c r="L231" s="54"/>
      <c r="M231" s="54">
        <f t="shared" si="904"/>
        <v>246184.70486666667</v>
      </c>
      <c r="N231" s="54">
        <v>0</v>
      </c>
      <c r="O231" s="54">
        <f t="shared" si="945"/>
        <v>246184.70486666667</v>
      </c>
      <c r="P231" s="54">
        <v>4284292.7</v>
      </c>
      <c r="R231" s="32">
        <f t="shared" ref="R231" si="1074">+P231-Q231</f>
        <v>4284292.7</v>
      </c>
      <c r="S231" s="32">
        <f t="shared" ref="S231" si="1075">SUM(R220:R231)/12</f>
        <v>3330546.3841666668</v>
      </c>
      <c r="T231" s="29">
        <f t="shared" ref="T231" si="1076">+O231/S230</f>
        <v>7.4352888326393154E-2</v>
      </c>
      <c r="V231" s="67">
        <v>0</v>
      </c>
      <c r="W231" s="67">
        <v>0</v>
      </c>
      <c r="X231" s="59">
        <f t="shared" ref="X231" si="1077">SUM(V231:W231)</f>
        <v>0</v>
      </c>
      <c r="Y231" s="60"/>
      <c r="Z231" s="61"/>
      <c r="AA231" s="61"/>
      <c r="AB231" s="61"/>
      <c r="AC231" s="62"/>
    </row>
    <row r="232" spans="3:29" hidden="1" x14ac:dyDescent="0.2">
      <c r="C232" s="15">
        <v>44621</v>
      </c>
      <c r="D232" s="51">
        <v>0.15379999999999999</v>
      </c>
      <c r="E232" s="52">
        <v>0</v>
      </c>
      <c r="F232" s="52">
        <f t="shared" ref="F232:F237" si="1078">+D232-E232</f>
        <v>0.15379999999999999</v>
      </c>
      <c r="G232" s="53">
        <v>2887724</v>
      </c>
      <c r="H232" s="52"/>
      <c r="I232" s="54">
        <f t="shared" ref="I232:I237" si="1079">+G232-H232</f>
        <v>2887724</v>
      </c>
      <c r="J232" s="54">
        <f t="shared" ref="J232:J237" si="1080">SUM(I221:I232)/12</f>
        <v>2404755.0833333335</v>
      </c>
      <c r="K232" s="54">
        <f t="shared" ref="K232:K237" si="1081">+F232*J232</f>
        <v>369851.33181666664</v>
      </c>
      <c r="L232" s="54">
        <v>14199</v>
      </c>
      <c r="M232" s="54">
        <f t="shared" ref="M232:M237" si="1082">K232-L232</f>
        <v>355652.33181666664</v>
      </c>
      <c r="N232" s="54">
        <v>0</v>
      </c>
      <c r="O232" s="54">
        <f t="shared" ref="O232:O237" si="1083">+M232+N232</f>
        <v>355652.33181666664</v>
      </c>
      <c r="P232" s="54">
        <v>3899941.26</v>
      </c>
      <c r="R232" s="32">
        <f t="shared" ref="R232:R237" si="1084">+P232-Q232</f>
        <v>3899941.26</v>
      </c>
      <c r="S232" s="32">
        <f t="shared" ref="S232:S237" si="1085">SUM(R221:R232)/12</f>
        <v>3413112.08</v>
      </c>
      <c r="T232" s="29">
        <f t="shared" ref="T232:T237" si="1086">+O232/S231</f>
        <v>0.10678498083900853</v>
      </c>
      <c r="V232" s="67">
        <v>0</v>
      </c>
      <c r="W232" s="67">
        <v>0</v>
      </c>
      <c r="X232" s="59">
        <f t="shared" ref="X232" si="1087">SUM(V232:W232)</f>
        <v>0</v>
      </c>
      <c r="Y232" s="60"/>
      <c r="Z232" s="61"/>
      <c r="AA232" s="61"/>
      <c r="AB232" s="61"/>
      <c r="AC232" s="62"/>
    </row>
    <row r="233" spans="3:29" hidden="1" x14ac:dyDescent="0.2">
      <c r="C233" s="15">
        <v>44652</v>
      </c>
      <c r="D233" s="51">
        <v>0.1633</v>
      </c>
      <c r="E233" s="52">
        <v>0</v>
      </c>
      <c r="F233" s="52">
        <f t="shared" si="1078"/>
        <v>0.1633</v>
      </c>
      <c r="G233" s="53">
        <v>2421837</v>
      </c>
      <c r="H233" s="52"/>
      <c r="I233" s="54">
        <f t="shared" si="1079"/>
        <v>2421837</v>
      </c>
      <c r="J233" s="54">
        <f t="shared" si="1080"/>
        <v>2456859.1666666665</v>
      </c>
      <c r="K233" s="54">
        <f t="shared" si="1081"/>
        <v>401205.10191666667</v>
      </c>
      <c r="L233" s="54">
        <v>44299</v>
      </c>
      <c r="M233" s="54">
        <f t="shared" si="1082"/>
        <v>356906.10191666667</v>
      </c>
      <c r="N233" s="54">
        <v>0</v>
      </c>
      <c r="O233" s="54">
        <f t="shared" si="1083"/>
        <v>356906.10191666667</v>
      </c>
      <c r="P233" s="54">
        <v>3313838.93</v>
      </c>
      <c r="R233" s="32">
        <f t="shared" si="1084"/>
        <v>3313838.93</v>
      </c>
      <c r="S233" s="32">
        <f t="shared" si="1085"/>
        <v>3447315.7283333335</v>
      </c>
      <c r="T233" s="29">
        <f t="shared" si="1086"/>
        <v>0.10456911274846464</v>
      </c>
      <c r="V233" s="67">
        <v>0</v>
      </c>
      <c r="W233" s="67">
        <v>0</v>
      </c>
      <c r="X233" s="59">
        <f t="shared" ref="X233" si="1088">SUM(V233:W233)</f>
        <v>0</v>
      </c>
      <c r="Y233" s="60"/>
      <c r="Z233" s="61"/>
      <c r="AA233" s="61"/>
      <c r="AB233" s="61"/>
      <c r="AC233" s="62"/>
    </row>
    <row r="234" spans="3:29" hidden="1" x14ac:dyDescent="0.2">
      <c r="C234" s="15">
        <v>44682</v>
      </c>
      <c r="D234" s="51">
        <v>0.18360000000000001</v>
      </c>
      <c r="E234" s="52">
        <v>0</v>
      </c>
      <c r="F234" s="52">
        <f t="shared" si="1078"/>
        <v>0.18360000000000001</v>
      </c>
      <c r="G234" s="53">
        <v>2407716</v>
      </c>
      <c r="H234" s="52"/>
      <c r="I234" s="54">
        <f t="shared" si="1079"/>
        <v>2407716</v>
      </c>
      <c r="J234" s="54">
        <f t="shared" si="1080"/>
        <v>2525347.3333333335</v>
      </c>
      <c r="K234" s="54">
        <f t="shared" si="1081"/>
        <v>463653.77040000004</v>
      </c>
      <c r="L234" s="54">
        <v>41245</v>
      </c>
      <c r="M234" s="54">
        <f t="shared" si="1082"/>
        <v>422408.77040000004</v>
      </c>
      <c r="N234" s="54">
        <v>0</v>
      </c>
      <c r="O234" s="54">
        <f t="shared" si="1083"/>
        <v>422408.77040000004</v>
      </c>
      <c r="P234" s="54">
        <v>2892434.92</v>
      </c>
      <c r="R234" s="32">
        <f t="shared" si="1084"/>
        <v>2892434.92</v>
      </c>
      <c r="S234" s="32">
        <f t="shared" si="1085"/>
        <v>3485366.0124999997</v>
      </c>
      <c r="T234" s="29">
        <f t="shared" si="1086"/>
        <v>0.12253266126112014</v>
      </c>
      <c r="V234" s="67">
        <v>0</v>
      </c>
      <c r="W234" s="67">
        <v>0</v>
      </c>
      <c r="X234" s="59">
        <f t="shared" ref="X234" si="1089">SUM(V234:W234)</f>
        <v>0</v>
      </c>
      <c r="Y234" s="60"/>
      <c r="Z234" s="61"/>
      <c r="AA234" s="61"/>
      <c r="AB234" s="61"/>
      <c r="AC234" s="62"/>
    </row>
    <row r="235" spans="3:29" hidden="1" x14ac:dyDescent="0.2">
      <c r="C235" s="15">
        <v>44713</v>
      </c>
      <c r="D235" s="51">
        <v>0.17660000000000001</v>
      </c>
      <c r="E235" s="52">
        <v>0</v>
      </c>
      <c r="F235" s="52">
        <f t="shared" si="1078"/>
        <v>0.17660000000000001</v>
      </c>
      <c r="G235" s="53">
        <v>3025146</v>
      </c>
      <c r="H235" s="52"/>
      <c r="I235" s="54">
        <f t="shared" si="1079"/>
        <v>3025146</v>
      </c>
      <c r="J235" s="54">
        <f t="shared" si="1080"/>
        <v>2616187.75</v>
      </c>
      <c r="K235" s="54">
        <f t="shared" si="1081"/>
        <v>462018.75665</v>
      </c>
      <c r="L235" s="54">
        <v>72534</v>
      </c>
      <c r="M235" s="54">
        <f t="shared" si="1082"/>
        <v>389484.75665</v>
      </c>
      <c r="N235" s="54">
        <v>0</v>
      </c>
      <c r="O235" s="54">
        <f t="shared" si="1083"/>
        <v>389484.75665</v>
      </c>
      <c r="P235" s="54">
        <v>3636582.23</v>
      </c>
      <c r="R235" s="32">
        <f t="shared" si="1084"/>
        <v>3636582.23</v>
      </c>
      <c r="S235" s="32">
        <f t="shared" si="1085"/>
        <v>3555938.0349999997</v>
      </c>
      <c r="T235" s="29">
        <f t="shared" si="1086"/>
        <v>0.11174859548556525</v>
      </c>
      <c r="V235" s="67">
        <v>0</v>
      </c>
      <c r="W235" s="67">
        <v>0</v>
      </c>
      <c r="X235" s="59">
        <f t="shared" ref="X235" si="1090">SUM(V235:W235)</f>
        <v>0</v>
      </c>
      <c r="Y235" s="60"/>
      <c r="Z235" s="61"/>
      <c r="AA235" s="61"/>
      <c r="AB235" s="61"/>
      <c r="AC235" s="62"/>
    </row>
    <row r="236" spans="3:29" hidden="1" x14ac:dyDescent="0.2">
      <c r="C236" s="15">
        <v>44743</v>
      </c>
      <c r="D236" s="51">
        <v>0.14449999999999999</v>
      </c>
      <c r="E236" s="52">
        <v>0</v>
      </c>
      <c r="F236" s="52">
        <f t="shared" si="1078"/>
        <v>0.14449999999999999</v>
      </c>
      <c r="G236" s="53">
        <v>3698033</v>
      </c>
      <c r="H236" s="52"/>
      <c r="I236" s="54">
        <f t="shared" si="1079"/>
        <v>3698033</v>
      </c>
      <c r="J236" s="54">
        <f t="shared" si="1080"/>
        <v>2748316.9166666665</v>
      </c>
      <c r="K236" s="54">
        <f t="shared" si="1081"/>
        <v>397131.79445833329</v>
      </c>
      <c r="L236" s="54">
        <v>110081</v>
      </c>
      <c r="M236" s="54">
        <f t="shared" si="1082"/>
        <v>287050.79445833329</v>
      </c>
      <c r="N236" s="54">
        <v>0</v>
      </c>
      <c r="O236" s="54">
        <f t="shared" si="1083"/>
        <v>287050.79445833329</v>
      </c>
      <c r="P236" s="54">
        <v>3750838.4</v>
      </c>
      <c r="R236" s="32">
        <f t="shared" si="1084"/>
        <v>3750838.4</v>
      </c>
      <c r="S236" s="32">
        <f t="shared" si="1085"/>
        <v>3604705.0049999994</v>
      </c>
      <c r="T236" s="29">
        <f t="shared" si="1086"/>
        <v>8.0724352233638774E-2</v>
      </c>
      <c r="V236" s="67">
        <v>0</v>
      </c>
      <c r="W236" s="67">
        <v>0</v>
      </c>
      <c r="X236" s="59">
        <f t="shared" ref="X236" si="1091">SUM(V236:W236)</f>
        <v>0</v>
      </c>
      <c r="Y236" s="60"/>
      <c r="Z236" s="61"/>
      <c r="AA236" s="61"/>
      <c r="AB236" s="61"/>
      <c r="AC236" s="62"/>
    </row>
    <row r="237" spans="3:29" hidden="1" x14ac:dyDescent="0.2">
      <c r="C237" s="15">
        <v>44774</v>
      </c>
      <c r="D237" s="51">
        <v>0.1147</v>
      </c>
      <c r="E237" s="52">
        <v>0</v>
      </c>
      <c r="F237" s="52">
        <f t="shared" si="1078"/>
        <v>0.1147</v>
      </c>
      <c r="G237" s="53">
        <v>3536710</v>
      </c>
      <c r="H237" s="52"/>
      <c r="I237" s="54">
        <f t="shared" si="1079"/>
        <v>3536710</v>
      </c>
      <c r="J237" s="54">
        <f t="shared" si="1080"/>
        <v>2860470.5833333335</v>
      </c>
      <c r="K237" s="54">
        <f t="shared" si="1081"/>
        <v>328095.97590833332</v>
      </c>
      <c r="L237" s="54">
        <v>89448</v>
      </c>
      <c r="M237" s="54">
        <f t="shared" si="1082"/>
        <v>238647.97590833332</v>
      </c>
      <c r="N237" s="54">
        <v>0</v>
      </c>
      <c r="O237" s="54">
        <f t="shared" si="1083"/>
        <v>238647.97590833332</v>
      </c>
      <c r="P237" s="54">
        <v>4161410.36</v>
      </c>
      <c r="R237" s="32">
        <f t="shared" si="1084"/>
        <v>4161410.36</v>
      </c>
      <c r="S237" s="32">
        <f t="shared" si="1085"/>
        <v>3682952.6216666661</v>
      </c>
      <c r="T237" s="29">
        <f t="shared" si="1086"/>
        <v>6.6204578620805435E-2</v>
      </c>
      <c r="V237" s="67">
        <v>0</v>
      </c>
      <c r="W237" s="67">
        <v>0</v>
      </c>
      <c r="X237" s="59">
        <f t="shared" ref="X237" si="1092">SUM(V237:W237)</f>
        <v>0</v>
      </c>
      <c r="Y237" s="60"/>
      <c r="Z237" s="61"/>
      <c r="AA237" s="61"/>
      <c r="AB237" s="61"/>
      <c r="AC237" s="62"/>
    </row>
    <row r="238" spans="3:29" hidden="1" x14ac:dyDescent="0.2">
      <c r="C238" s="15">
        <v>44805</v>
      </c>
      <c r="D238" s="51">
        <v>0.13619999999999999</v>
      </c>
      <c r="E238" s="52">
        <v>0</v>
      </c>
      <c r="F238" s="52">
        <f t="shared" ref="F238" si="1093">+D238-E238</f>
        <v>0.13619999999999999</v>
      </c>
      <c r="G238" s="53">
        <v>3212315</v>
      </c>
      <c r="H238" s="52"/>
      <c r="I238" s="54">
        <f t="shared" ref="I238" si="1094">+G238-H238</f>
        <v>3212315</v>
      </c>
      <c r="J238" s="54">
        <f t="shared" ref="J238" si="1095">SUM(I227:I238)/12</f>
        <v>2982431.8333333335</v>
      </c>
      <c r="K238" s="54">
        <f t="shared" ref="K238" si="1096">+F238*J238</f>
        <v>406207.2157</v>
      </c>
      <c r="L238" s="54">
        <v>82045</v>
      </c>
      <c r="M238" s="54">
        <f t="shared" ref="M238" si="1097">K238-L238</f>
        <v>324162.2157</v>
      </c>
      <c r="N238" s="54">
        <v>0</v>
      </c>
      <c r="O238" s="54">
        <f t="shared" ref="O238" si="1098">+M238+N238</f>
        <v>324162.2157</v>
      </c>
      <c r="P238" s="54">
        <v>3406913.17</v>
      </c>
      <c r="R238" s="32">
        <f t="shared" ref="R238" si="1099">+P238-Q238</f>
        <v>3406913.17</v>
      </c>
      <c r="S238" s="32">
        <f t="shared" ref="S238" si="1100">SUM(R227:R238)/12</f>
        <v>3727133.0908333338</v>
      </c>
      <c r="T238" s="29">
        <f t="shared" ref="T238" si="1101">+O238/S237</f>
        <v>8.8016938853073046E-2</v>
      </c>
      <c r="V238" s="67">
        <v>0</v>
      </c>
      <c r="W238" s="67">
        <v>0</v>
      </c>
      <c r="X238" s="59">
        <f t="shared" ref="X238" si="1102">SUM(V238:W238)</f>
        <v>0</v>
      </c>
      <c r="Y238" s="60"/>
      <c r="Z238" s="61"/>
      <c r="AA238" s="61"/>
      <c r="AB238" s="61"/>
      <c r="AC238" s="62"/>
    </row>
    <row r="239" spans="3:29" hidden="1" x14ac:dyDescent="0.2">
      <c r="C239" s="15">
        <v>44835</v>
      </c>
      <c r="D239" s="51">
        <v>0.151</v>
      </c>
      <c r="E239" s="52">
        <v>0</v>
      </c>
      <c r="F239" s="52">
        <f t="shared" ref="F239" si="1103">+D239-E239</f>
        <v>0.151</v>
      </c>
      <c r="G239" s="53">
        <v>3405608</v>
      </c>
      <c r="H239" s="52"/>
      <c r="I239" s="54">
        <f t="shared" ref="I239" si="1104">+G239-H239</f>
        <v>3405608</v>
      </c>
      <c r="J239" s="54">
        <f t="shared" ref="J239" si="1105">SUM(I228:I239)/12</f>
        <v>3122860.9166666665</v>
      </c>
      <c r="K239" s="54">
        <f t="shared" ref="K239" si="1106">+F239*J239</f>
        <v>471551.99841666664</v>
      </c>
      <c r="L239" s="54">
        <v>106276</v>
      </c>
      <c r="M239" s="54">
        <f t="shared" ref="M239" si="1107">K239-L239</f>
        <v>365275.99841666664</v>
      </c>
      <c r="N239" s="54">
        <v>0</v>
      </c>
      <c r="O239" s="54">
        <f t="shared" ref="O239" si="1108">+M239+N239</f>
        <v>365275.99841666664</v>
      </c>
      <c r="P239" s="54">
        <v>3398486.6599999997</v>
      </c>
      <c r="R239" s="32">
        <f t="shared" ref="R239" si="1109">+P239-Q239</f>
        <v>3398486.6599999997</v>
      </c>
      <c r="S239" s="32">
        <f t="shared" ref="S239" si="1110">SUM(R228:R239)/12</f>
        <v>3800197.1041666665</v>
      </c>
      <c r="T239" s="29">
        <f t="shared" ref="T239" si="1111">+O239/S238</f>
        <v>9.8004549211038808E-2</v>
      </c>
      <c r="V239" s="67">
        <v>0</v>
      </c>
      <c r="W239" s="67">
        <v>0</v>
      </c>
      <c r="X239" s="59">
        <f t="shared" ref="X239" si="1112">SUM(V239:W239)</f>
        <v>0</v>
      </c>
      <c r="Y239" s="60"/>
      <c r="Z239" s="61"/>
      <c r="AA239" s="61"/>
      <c r="AB239" s="61"/>
      <c r="AC239" s="62"/>
    </row>
    <row r="240" spans="3:29" hidden="1" x14ac:dyDescent="0.2">
      <c r="C240" s="15">
        <v>44866</v>
      </c>
      <c r="D240" s="51">
        <v>0.1615</v>
      </c>
      <c r="E240" s="52">
        <v>0</v>
      </c>
      <c r="F240" s="52">
        <f t="shared" ref="F240" si="1113">+D240-E240</f>
        <v>0.1615</v>
      </c>
      <c r="G240" s="53">
        <v>3674626</v>
      </c>
      <c r="H240" s="52"/>
      <c r="I240" s="54">
        <f t="shared" ref="I240" si="1114">+G240-H240</f>
        <v>3674626</v>
      </c>
      <c r="J240" s="54">
        <f t="shared" ref="J240" si="1115">SUM(I229:I240)/12</f>
        <v>3177976.5833333335</v>
      </c>
      <c r="K240" s="54">
        <f t="shared" ref="K240" si="1116">+F240*J240</f>
        <v>513243.21820833336</v>
      </c>
      <c r="L240" s="54">
        <v>99927</v>
      </c>
      <c r="M240" s="54">
        <f t="shared" ref="M240" si="1117">K240-L240</f>
        <v>413316.21820833336</v>
      </c>
      <c r="N240" s="54">
        <v>0</v>
      </c>
      <c r="O240" s="54">
        <f t="shared" ref="O240" si="1118">+M240+N240</f>
        <v>413316.21820833336</v>
      </c>
      <c r="P240" s="54">
        <v>4295965.0499999989</v>
      </c>
      <c r="R240" s="32">
        <f t="shared" ref="R240" si="1119">+P240-Q240</f>
        <v>4295965.0499999989</v>
      </c>
      <c r="S240" s="32">
        <f t="shared" ref="S240" si="1120">SUM(R229:R240)/12</f>
        <v>3845033.1858333331</v>
      </c>
      <c r="T240" s="29">
        <f t="shared" ref="T240" si="1121">+O240/S239</f>
        <v>0.10876178442301303</v>
      </c>
      <c r="V240" s="67">
        <v>0</v>
      </c>
      <c r="W240" s="67">
        <v>0</v>
      </c>
      <c r="X240" s="59">
        <f t="shared" ref="X240" si="1122">SUM(V240:W240)</f>
        <v>0</v>
      </c>
      <c r="Y240" s="60"/>
      <c r="Z240" s="61"/>
      <c r="AA240" s="61"/>
      <c r="AB240" s="61"/>
      <c r="AC240" s="62"/>
    </row>
    <row r="241" spans="3:29" hidden="1" x14ac:dyDescent="0.2">
      <c r="C241" s="15">
        <v>44896</v>
      </c>
      <c r="D241" s="51">
        <v>0.14030000000000001</v>
      </c>
      <c r="E241" s="52">
        <v>0</v>
      </c>
      <c r="F241" s="52">
        <f t="shared" ref="F241" si="1123">+D241-E241</f>
        <v>0.14030000000000001</v>
      </c>
      <c r="G241" s="53">
        <v>4448244</v>
      </c>
      <c r="H241" s="52"/>
      <c r="I241" s="54">
        <f t="shared" ref="I241" si="1124">+G241-H241</f>
        <v>4448244</v>
      </c>
      <c r="J241" s="54">
        <f t="shared" ref="J241" si="1125">SUM(I230:I241)/12</f>
        <v>3294607.6666666665</v>
      </c>
      <c r="K241" s="54">
        <f t="shared" ref="K241" si="1126">+F241*J241</f>
        <v>462233.45563333336</v>
      </c>
      <c r="L241" s="54">
        <v>89713</v>
      </c>
      <c r="M241" s="54">
        <f t="shared" ref="M241" si="1127">K241-L241</f>
        <v>372520.45563333336</v>
      </c>
      <c r="N241" s="54">
        <v>0</v>
      </c>
      <c r="O241" s="54">
        <f t="shared" ref="O241" si="1128">+M241+N241</f>
        <v>372520.45563333336</v>
      </c>
      <c r="P241" s="54">
        <v>4857034.5200000005</v>
      </c>
      <c r="R241" s="32">
        <f t="shared" ref="R241" si="1129">+P241-Q241</f>
        <v>4857034.5200000005</v>
      </c>
      <c r="S241" s="32">
        <f t="shared" ref="S241" si="1130">SUM(R230:R241)/12</f>
        <v>3919273.7099999995</v>
      </c>
      <c r="T241" s="29">
        <f t="shared" ref="T241" si="1131">+O241/S240</f>
        <v>9.688354758701441E-2</v>
      </c>
      <c r="V241" s="67">
        <v>0</v>
      </c>
      <c r="W241" s="67">
        <v>0</v>
      </c>
      <c r="X241" s="59">
        <f t="shared" ref="X241" si="1132">SUM(V241:W241)</f>
        <v>0</v>
      </c>
      <c r="Y241" s="60"/>
      <c r="Z241" s="61"/>
      <c r="AA241" s="61"/>
      <c r="AB241" s="61"/>
      <c r="AC241" s="62"/>
    </row>
    <row r="242" spans="3:29" hidden="1" x14ac:dyDescent="0.2">
      <c r="C242" s="15">
        <v>44927</v>
      </c>
      <c r="D242" s="51">
        <v>9.4E-2</v>
      </c>
      <c r="E242" s="52">
        <v>0</v>
      </c>
      <c r="F242" s="52">
        <f t="shared" ref="F242" si="1133">+D242-E242</f>
        <v>9.4E-2</v>
      </c>
      <c r="G242" s="53">
        <v>4125486</v>
      </c>
      <c r="H242" s="52"/>
      <c r="I242" s="54">
        <f t="shared" ref="I242" si="1134">+G242-H242</f>
        <v>4125486</v>
      </c>
      <c r="J242" s="54">
        <f t="shared" ref="J242" si="1135">SUM(I231:I242)/12</f>
        <v>3322965.75</v>
      </c>
      <c r="K242" s="54">
        <f t="shared" ref="K242" si="1136">+F242*J242</f>
        <v>312358.78049999999</v>
      </c>
      <c r="L242" s="54">
        <v>73466</v>
      </c>
      <c r="M242" s="54">
        <f t="shared" ref="M242" si="1137">K242-L242</f>
        <v>238892.78049999999</v>
      </c>
      <c r="N242" s="54">
        <v>0</v>
      </c>
      <c r="O242" s="54">
        <f t="shared" ref="O242" si="1138">+M242+N242</f>
        <v>238892.78049999999</v>
      </c>
      <c r="P242" s="54">
        <v>4086002.5499999993</v>
      </c>
      <c r="R242" s="32">
        <f t="shared" ref="R242" si="1139">+P242-Q242</f>
        <v>4086002.5499999993</v>
      </c>
      <c r="S242" s="32">
        <f t="shared" ref="S242" si="1140">SUM(R231:R242)/12</f>
        <v>3831978.3958333335</v>
      </c>
      <c r="T242" s="29">
        <f t="shared" ref="T242" si="1141">+O242/S241</f>
        <v>6.0953329156488031E-2</v>
      </c>
      <c r="V242" s="67">
        <v>0</v>
      </c>
      <c r="W242" s="67">
        <v>0</v>
      </c>
      <c r="X242" s="59">
        <f t="shared" ref="X242" si="1142">SUM(V242:W242)</f>
        <v>0</v>
      </c>
      <c r="Y242" s="60"/>
      <c r="Z242" s="61"/>
      <c r="AA242" s="61"/>
      <c r="AB242" s="61"/>
      <c r="AC242" s="62"/>
    </row>
    <row r="243" spans="3:29" hidden="1" x14ac:dyDescent="0.2">
      <c r="C243" s="15">
        <v>44958</v>
      </c>
      <c r="D243" s="51">
        <v>0.1196</v>
      </c>
      <c r="E243" s="52">
        <v>0</v>
      </c>
      <c r="F243" s="52">
        <f t="shared" ref="F243" si="1143">+D243-E243</f>
        <v>0.1196</v>
      </c>
      <c r="G243" s="53">
        <v>3153869</v>
      </c>
      <c r="H243" s="52"/>
      <c r="I243" s="54">
        <f t="shared" ref="I243" si="1144">+G243-H243</f>
        <v>3153869</v>
      </c>
      <c r="J243" s="54">
        <f t="shared" ref="J243" si="1145">SUM(I232:I243)/12</f>
        <v>3333109.5</v>
      </c>
      <c r="K243" s="54">
        <f t="shared" ref="K243" si="1146">+F243*J243</f>
        <v>398639.89620000002</v>
      </c>
      <c r="L243" s="54">
        <v>36861</v>
      </c>
      <c r="M243" s="54">
        <f t="shared" ref="M243" si="1147">K243-L243</f>
        <v>361778.89620000002</v>
      </c>
      <c r="N243" s="54">
        <v>0</v>
      </c>
      <c r="O243" s="54">
        <f t="shared" ref="O243" si="1148">+M243+N243</f>
        <v>361778.89620000002</v>
      </c>
      <c r="P243" s="54">
        <v>4702729.9400000004</v>
      </c>
      <c r="R243" s="32">
        <f t="shared" ref="R243" si="1149">+P243-Q243</f>
        <v>4702729.9400000004</v>
      </c>
      <c r="S243" s="32">
        <f t="shared" ref="S243" si="1150">SUM(R232:R243)/12</f>
        <v>3866848.165833333</v>
      </c>
      <c r="T243" s="29">
        <f t="shared" ref="T243" si="1151">+O243/S242</f>
        <v>9.4410473867331035E-2</v>
      </c>
      <c r="V243" s="67">
        <v>0</v>
      </c>
      <c r="W243" s="67">
        <v>0</v>
      </c>
      <c r="X243" s="59">
        <f t="shared" ref="X243" si="1152">SUM(V243:W243)</f>
        <v>0</v>
      </c>
      <c r="Y243" s="60"/>
      <c r="Z243" s="61"/>
      <c r="AA243" s="61"/>
      <c r="AB243" s="61"/>
      <c r="AC243" s="62"/>
    </row>
    <row r="244" spans="3:29" hidden="1" x14ac:dyDescent="0.2">
      <c r="C244" s="15">
        <v>44986</v>
      </c>
      <c r="D244" s="51">
        <v>0.1628</v>
      </c>
      <c r="E244" s="52">
        <v>0</v>
      </c>
      <c r="F244" s="52">
        <f t="shared" ref="F244" si="1153">+D244-E244</f>
        <v>0.1628</v>
      </c>
      <c r="G244" s="53">
        <v>3237646</v>
      </c>
      <c r="H244" s="52"/>
      <c r="I244" s="54">
        <f t="shared" ref="I244" si="1154">+G244-H244</f>
        <v>3237646</v>
      </c>
      <c r="J244" s="54">
        <f t="shared" ref="J244" si="1155">SUM(I233:I244)/12</f>
        <v>3362269.6666666665</v>
      </c>
      <c r="K244" s="54">
        <f t="shared" ref="K244" si="1156">+F244*J244</f>
        <v>547377.50173333334</v>
      </c>
      <c r="L244" s="54">
        <v>50655</v>
      </c>
      <c r="M244" s="54">
        <f t="shared" ref="M244" si="1157">K244-L244</f>
        <v>496722.50173333334</v>
      </c>
      <c r="N244" s="54">
        <v>0</v>
      </c>
      <c r="O244" s="54">
        <f t="shared" ref="O244" si="1158">+M244+N244</f>
        <v>496722.50173333334</v>
      </c>
      <c r="P244" s="54">
        <v>3785304.99</v>
      </c>
      <c r="R244" s="32">
        <f t="shared" ref="R244" si="1159">+P244-Q244</f>
        <v>3785304.99</v>
      </c>
      <c r="S244" s="32">
        <f t="shared" ref="S244" si="1160">SUM(R233:R244)/12</f>
        <v>3857295.1433333331</v>
      </c>
      <c r="T244" s="29">
        <f t="shared" ref="T244" si="1161">+O244/S243</f>
        <v>0.12845668628064327</v>
      </c>
      <c r="V244" s="67">
        <v>0</v>
      </c>
      <c r="W244" s="67">
        <v>0</v>
      </c>
      <c r="X244" s="59">
        <f t="shared" ref="X244" si="1162">SUM(V244:W244)</f>
        <v>0</v>
      </c>
      <c r="Y244" s="60"/>
      <c r="Z244" s="61"/>
      <c r="AA244" s="61"/>
      <c r="AB244" s="61"/>
      <c r="AC244" s="62"/>
    </row>
    <row r="245" spans="3:29" hidden="1" x14ac:dyDescent="0.2">
      <c r="C245" s="15">
        <v>45017</v>
      </c>
      <c r="D245" s="51">
        <v>0.1583</v>
      </c>
      <c r="E245" s="52">
        <v>0</v>
      </c>
      <c r="F245" s="52">
        <f t="shared" ref="F245" si="1163">+D245-E245</f>
        <v>0.1583</v>
      </c>
      <c r="G245" s="53">
        <v>2503985</v>
      </c>
      <c r="H245" s="52"/>
      <c r="I245" s="54">
        <f t="shared" ref="I245" si="1164">+G245-H245</f>
        <v>2503985</v>
      </c>
      <c r="J245" s="54">
        <f t="shared" ref="J245" si="1165">SUM(I234:I245)/12</f>
        <v>3369115.3333333335</v>
      </c>
      <c r="K245" s="54">
        <f t="shared" ref="K245" si="1166">+F245*J245</f>
        <v>533330.95726666669</v>
      </c>
      <c r="L245" s="54">
        <v>68487</v>
      </c>
      <c r="M245" s="54">
        <f t="shared" ref="M245" si="1167">K245-L245</f>
        <v>464843.95726666669</v>
      </c>
      <c r="N245" s="54">
        <v>0</v>
      </c>
      <c r="O245" s="54">
        <f t="shared" ref="O245" si="1168">+M245+N245</f>
        <v>464843.95726666669</v>
      </c>
      <c r="P245" s="54">
        <v>3004757.77</v>
      </c>
      <c r="R245" s="32">
        <f t="shared" ref="R245" si="1169">+P245-Q245</f>
        <v>3004757.77</v>
      </c>
      <c r="S245" s="32">
        <f t="shared" ref="S245" si="1170">SUM(R234:R245)/12</f>
        <v>3831538.3800000004</v>
      </c>
      <c r="T245" s="29">
        <f t="shared" ref="T245" si="1171">+O245/S244</f>
        <v>0.12051034209038139</v>
      </c>
      <c r="V245" s="67">
        <v>0</v>
      </c>
      <c r="W245" s="67">
        <v>0</v>
      </c>
      <c r="X245" s="59">
        <f t="shared" ref="X245" si="1172">SUM(V245:W245)</f>
        <v>0</v>
      </c>
      <c r="Y245" s="60"/>
      <c r="Z245" s="61"/>
      <c r="AA245" s="61"/>
      <c r="AB245" s="61"/>
      <c r="AC245" s="62"/>
    </row>
    <row r="246" spans="3:29" hidden="1" x14ac:dyDescent="0.2">
      <c r="C246" s="15">
        <v>45047</v>
      </c>
      <c r="D246" s="51">
        <v>0.187</v>
      </c>
      <c r="E246" s="52">
        <v>0</v>
      </c>
      <c r="F246" s="52">
        <f t="shared" ref="F246" si="1173">+D246-E246</f>
        <v>0.187</v>
      </c>
      <c r="G246" s="53">
        <v>2631159</v>
      </c>
      <c r="H246" s="52"/>
      <c r="I246" s="54">
        <f t="shared" ref="I246" si="1174">+G246-H246</f>
        <v>2631159</v>
      </c>
      <c r="J246" s="54">
        <f t="shared" ref="J246" si="1175">SUM(I235:I246)/12</f>
        <v>3387735.5833333335</v>
      </c>
      <c r="K246" s="54">
        <f t="shared" ref="K246" si="1176">+F246*J246</f>
        <v>633506.55408333335</v>
      </c>
      <c r="L246" s="54">
        <v>70696</v>
      </c>
      <c r="M246" s="54">
        <f t="shared" ref="M246" si="1177">K246-L246</f>
        <v>562810.55408333335</v>
      </c>
      <c r="N246" s="54">
        <v>0</v>
      </c>
      <c r="O246" s="54">
        <f t="shared" ref="O246" si="1178">+M246+N246</f>
        <v>562810.55408333335</v>
      </c>
      <c r="P246" s="54">
        <v>3256098.97</v>
      </c>
      <c r="R246" s="32">
        <f t="shared" ref="R246" si="1179">+P246-Q246</f>
        <v>3256098.97</v>
      </c>
      <c r="S246" s="32">
        <f t="shared" ref="S246" si="1180">SUM(R235:R246)/12</f>
        <v>3861843.7174999998</v>
      </c>
      <c r="T246" s="29">
        <f t="shared" ref="T246" si="1181">+O246/S245</f>
        <v>0.14688892509105789</v>
      </c>
      <c r="V246" s="67">
        <v>0</v>
      </c>
      <c r="W246" s="67">
        <v>0</v>
      </c>
      <c r="X246" s="59">
        <f t="shared" ref="X246" si="1182">SUM(V246:W246)</f>
        <v>0</v>
      </c>
      <c r="Y246" s="60"/>
      <c r="Z246" s="61"/>
      <c r="AA246" s="61"/>
      <c r="AB246" s="61"/>
      <c r="AC246" s="62"/>
    </row>
    <row r="247" spans="3:29" hidden="1" x14ac:dyDescent="0.2">
      <c r="C247" s="15">
        <v>45078</v>
      </c>
      <c r="D247" s="51">
        <v>0.19359999999999999</v>
      </c>
      <c r="E247" s="52">
        <v>0</v>
      </c>
      <c r="F247" s="52">
        <f t="shared" ref="F247" si="1183">+D247-E247</f>
        <v>0.19359999999999999</v>
      </c>
      <c r="G247" s="53">
        <v>2309949</v>
      </c>
      <c r="H247" s="52"/>
      <c r="I247" s="54">
        <f t="shared" ref="I247" si="1184">+G247-H247</f>
        <v>2309949</v>
      </c>
      <c r="J247" s="54">
        <f t="shared" ref="J247" si="1185">SUM(I236:I247)/12</f>
        <v>3328135.8333333335</v>
      </c>
      <c r="K247" s="54">
        <f t="shared" ref="K247" si="1186">+F247*J247</f>
        <v>644327.09733333334</v>
      </c>
      <c r="L247" s="54">
        <v>46898</v>
      </c>
      <c r="M247" s="54">
        <f t="shared" ref="M247" si="1187">K247-L247</f>
        <v>597429.09733333334</v>
      </c>
      <c r="N247" s="54">
        <v>0</v>
      </c>
      <c r="O247" s="54">
        <f t="shared" ref="O247" si="1188">+M247+N247</f>
        <v>597429.09733333334</v>
      </c>
      <c r="P247" s="54">
        <v>3080895.71</v>
      </c>
      <c r="R247" s="32">
        <f t="shared" ref="R247" si="1189">+P247-Q247</f>
        <v>3080895.71</v>
      </c>
      <c r="S247" s="32">
        <f t="shared" ref="S247" si="1190">SUM(R236:R247)/12</f>
        <v>3815536.5075000003</v>
      </c>
      <c r="T247" s="29">
        <f t="shared" ref="T247" si="1191">+O247/S246</f>
        <v>0.15470048532157707</v>
      </c>
      <c r="V247" s="67">
        <v>0</v>
      </c>
      <c r="W247" s="67">
        <v>0</v>
      </c>
      <c r="X247" s="59">
        <f t="shared" ref="X247" si="1192">SUM(V247:W247)</f>
        <v>0</v>
      </c>
      <c r="Y247" s="60"/>
      <c r="Z247" s="61"/>
      <c r="AA247" s="61"/>
      <c r="AB247" s="61"/>
      <c r="AC247" s="62"/>
    </row>
    <row r="248" spans="3:29" hidden="1" x14ac:dyDescent="0.2">
      <c r="C248" s="15">
        <v>45108</v>
      </c>
      <c r="D248" s="51">
        <v>0.19389999999999999</v>
      </c>
      <c r="E248" s="52">
        <v>0</v>
      </c>
      <c r="F248" s="52">
        <f t="shared" ref="F248" si="1193">+D248-E248</f>
        <v>0.19389999999999999</v>
      </c>
      <c r="G248" s="53">
        <v>3227353</v>
      </c>
      <c r="H248" s="52"/>
      <c r="I248" s="54">
        <f t="shared" ref="I248" si="1194">+G248-H248</f>
        <v>3227353</v>
      </c>
      <c r="J248" s="54">
        <f t="shared" ref="J248" si="1195">SUM(I237:I248)/12</f>
        <v>3288912.5</v>
      </c>
      <c r="K248" s="54">
        <f t="shared" ref="K248" si="1196">+F248*J248</f>
        <v>637720.13374999992</v>
      </c>
      <c r="L248" s="54">
        <v>112962</v>
      </c>
      <c r="M248" s="54">
        <f t="shared" ref="M248" si="1197">K248-L248</f>
        <v>524758.13374999992</v>
      </c>
      <c r="N248" s="54">
        <v>0</v>
      </c>
      <c r="O248" s="54">
        <f t="shared" ref="O248" si="1198">+M248+N248</f>
        <v>524758.13374999992</v>
      </c>
      <c r="P248" s="54">
        <v>3464071.19</v>
      </c>
      <c r="R248" s="32">
        <f t="shared" ref="R248" si="1199">+P248-Q248</f>
        <v>3464071.19</v>
      </c>
      <c r="S248" s="32">
        <f t="shared" ref="S248" si="1200">SUM(R237:R248)/12</f>
        <v>3791639.24</v>
      </c>
      <c r="T248" s="29">
        <f t="shared" ref="T248" si="1201">+O248/S247</f>
        <v>0.13753193888159904</v>
      </c>
      <c r="V248" s="67">
        <v>0</v>
      </c>
      <c r="W248" s="67">
        <v>0</v>
      </c>
      <c r="X248" s="59">
        <f t="shared" ref="X248" si="1202">SUM(V248:W248)</f>
        <v>0</v>
      </c>
      <c r="Y248" s="60"/>
      <c r="Z248" s="61"/>
      <c r="AA248" s="61"/>
      <c r="AB248" s="61"/>
      <c r="AC248" s="62"/>
    </row>
    <row r="249" spans="3:29" hidden="1" x14ac:dyDescent="0.2">
      <c r="C249" s="15">
        <v>45139</v>
      </c>
      <c r="D249" s="51">
        <v>0.1515</v>
      </c>
      <c r="E249" s="52">
        <v>0</v>
      </c>
      <c r="F249" s="52">
        <f t="shared" ref="F249" si="1203">+D249-E249</f>
        <v>0.1515</v>
      </c>
      <c r="G249" s="53">
        <v>3477869</v>
      </c>
      <c r="H249" s="52"/>
      <c r="I249" s="54">
        <f t="shared" ref="I249" si="1204">+G249-H249</f>
        <v>3477869</v>
      </c>
      <c r="J249" s="54">
        <f t="shared" ref="J249" si="1205">SUM(I238:I249)/12</f>
        <v>3284009.0833333335</v>
      </c>
      <c r="K249" s="54">
        <f t="shared" ref="K249" si="1206">+F249*J249</f>
        <v>497527.37612500001</v>
      </c>
      <c r="L249" s="54">
        <v>136168</v>
      </c>
      <c r="M249" s="54">
        <f t="shared" ref="M249" si="1207">K249-L249</f>
        <v>361359.37612500001</v>
      </c>
      <c r="N249" s="54">
        <v>0</v>
      </c>
      <c r="O249" s="54">
        <f t="shared" ref="O249" si="1208">+M249+N249</f>
        <v>361359.37612500001</v>
      </c>
      <c r="P249" s="54">
        <v>3836034.9399999995</v>
      </c>
      <c r="R249" s="32">
        <f t="shared" ref="R249" si="1209">+P249-Q249</f>
        <v>3836034.9399999995</v>
      </c>
      <c r="S249" s="32">
        <f t="shared" ref="S249" si="1210">SUM(R238:R249)/12</f>
        <v>3764524.6216666666</v>
      </c>
      <c r="T249" s="29">
        <f t="shared" ref="T249" si="1211">+O249/S248</f>
        <v>9.5304261099745338E-2</v>
      </c>
      <c r="V249" s="67">
        <v>0</v>
      </c>
      <c r="W249" s="67">
        <v>0</v>
      </c>
      <c r="X249" s="59">
        <f t="shared" ref="X249" si="1212">SUM(V249:W249)</f>
        <v>0</v>
      </c>
      <c r="Y249" s="60"/>
      <c r="Z249" s="61"/>
      <c r="AA249" s="61"/>
      <c r="AB249" s="61"/>
      <c r="AC249" s="62"/>
    </row>
    <row r="250" spans="3:29" x14ac:dyDescent="0.2">
      <c r="C250" s="15">
        <v>45170</v>
      </c>
      <c r="D250" s="51">
        <v>0.1479</v>
      </c>
      <c r="E250" s="52">
        <v>0</v>
      </c>
      <c r="F250" s="52">
        <f t="shared" ref="F250" si="1213">+D250-E250</f>
        <v>0.1479</v>
      </c>
      <c r="G250" s="53">
        <v>2934187</v>
      </c>
      <c r="H250" s="52"/>
      <c r="I250" s="54">
        <f t="shared" ref="I250" si="1214">+G250-H250</f>
        <v>2934187</v>
      </c>
      <c r="J250" s="54">
        <f t="shared" ref="J250" si="1215">SUM(I239:I250)/12</f>
        <v>3260831.75</v>
      </c>
      <c r="K250" s="54">
        <f t="shared" ref="K250" si="1216">+F250*J250</f>
        <v>482277.01582500001</v>
      </c>
      <c r="L250" s="54">
        <v>100684</v>
      </c>
      <c r="M250" s="54">
        <f t="shared" ref="M250" si="1217">K250-L250</f>
        <v>381593.01582500001</v>
      </c>
      <c r="N250" s="54">
        <v>0</v>
      </c>
      <c r="O250" s="54">
        <f t="shared" ref="O250" si="1218">+M250+N250</f>
        <v>381593.01582500001</v>
      </c>
      <c r="P250" s="54">
        <v>3223257.55</v>
      </c>
      <c r="R250" s="32">
        <f t="shared" ref="R250" si="1219">+P250-Q250</f>
        <v>3223257.55</v>
      </c>
      <c r="S250" s="32">
        <f t="shared" ref="S250" si="1220">SUM(R239:R250)/12</f>
        <v>3749219.9866666659</v>
      </c>
      <c r="T250" s="29">
        <f t="shared" ref="T250" si="1221">+O250/S249</f>
        <v>0.10136552531194695</v>
      </c>
      <c r="V250" s="67">
        <v>0</v>
      </c>
      <c r="W250" s="67">
        <v>0</v>
      </c>
      <c r="X250" s="59">
        <f t="shared" ref="X250" si="1222">SUM(V250:W250)</f>
        <v>0</v>
      </c>
      <c r="Y250" s="60"/>
      <c r="Z250" s="61"/>
      <c r="AA250" s="61"/>
      <c r="AB250" s="61"/>
      <c r="AC250" s="62"/>
    </row>
    <row r="251" spans="3:29" x14ac:dyDescent="0.2">
      <c r="C251" s="15">
        <v>45200</v>
      </c>
      <c r="D251" s="51">
        <v>0.17469999999999999</v>
      </c>
      <c r="E251" s="52">
        <v>0</v>
      </c>
      <c r="F251" s="52">
        <f t="shared" ref="F251" si="1223">+D251-E251</f>
        <v>0.17469999999999999</v>
      </c>
      <c r="G251" s="53">
        <v>2827417</v>
      </c>
      <c r="H251" s="52"/>
      <c r="I251" s="54">
        <f t="shared" ref="I251" si="1224">+G251-H251</f>
        <v>2827417</v>
      </c>
      <c r="J251" s="54">
        <f t="shared" ref="J251" si="1225">SUM(I240:I251)/12</f>
        <v>3212649.1666666665</v>
      </c>
      <c r="K251" s="54">
        <f t="shared" ref="K251" si="1226">+F251*J251</f>
        <v>561249.80941666663</v>
      </c>
      <c r="L251" s="54">
        <v>107536</v>
      </c>
      <c r="M251" s="54">
        <f t="shared" ref="M251" si="1227">K251-L251</f>
        <v>453713.80941666663</v>
      </c>
      <c r="N251" s="54">
        <v>0</v>
      </c>
      <c r="O251" s="54">
        <f t="shared" ref="O251" si="1228">+M251+N251</f>
        <v>453713.80941666663</v>
      </c>
      <c r="P251" s="54">
        <v>3061348.39</v>
      </c>
      <c r="R251" s="32">
        <f t="shared" ref="R251" si="1229">+P251-Q251</f>
        <v>3061348.39</v>
      </c>
      <c r="S251" s="32">
        <f t="shared" ref="S251" si="1230">SUM(R240:R251)/12</f>
        <v>3721125.1308333329</v>
      </c>
      <c r="T251" s="29">
        <f t="shared" ref="T251" si="1231">+O251/S250</f>
        <v>0.12101552083638917</v>
      </c>
      <c r="V251" s="67">
        <v>0</v>
      </c>
      <c r="W251" s="67">
        <v>0</v>
      </c>
      <c r="X251" s="59">
        <f t="shared" ref="X251" si="1232">SUM(V251:W251)</f>
        <v>0</v>
      </c>
      <c r="Y251" s="60"/>
      <c r="Z251" s="61"/>
      <c r="AA251" s="61"/>
      <c r="AB251" s="61"/>
      <c r="AC251" s="62"/>
    </row>
    <row r="252" spans="3:29" x14ac:dyDescent="0.2">
      <c r="C252" s="15">
        <v>45231</v>
      </c>
      <c r="D252" s="51">
        <v>0.17949999999999999</v>
      </c>
      <c r="E252" s="52">
        <v>0</v>
      </c>
      <c r="F252" s="52">
        <f t="shared" ref="F252" si="1233">+D252-E252</f>
        <v>0.17949999999999999</v>
      </c>
      <c r="G252" s="53">
        <v>3408830</v>
      </c>
      <c r="H252" s="52"/>
      <c r="I252" s="54">
        <f t="shared" ref="I252" si="1234">+G252-H252</f>
        <v>3408830</v>
      </c>
      <c r="J252" s="54">
        <f t="shared" ref="J252" si="1235">SUM(I241:I252)/12</f>
        <v>3190499.5</v>
      </c>
      <c r="K252" s="54">
        <f t="shared" ref="K252" si="1236">+F252*J252</f>
        <v>572694.66024999996</v>
      </c>
      <c r="L252" s="54">
        <v>119926</v>
      </c>
      <c r="M252" s="54">
        <f t="shared" ref="M252" si="1237">K252-L252</f>
        <v>452768.66024999996</v>
      </c>
      <c r="N252" s="54">
        <v>0</v>
      </c>
      <c r="O252" s="54">
        <f t="shared" ref="O252" si="1238">+M252+N252</f>
        <v>452768.66024999996</v>
      </c>
      <c r="P252" s="54">
        <v>3873723.8899999997</v>
      </c>
      <c r="R252" s="32">
        <f t="shared" ref="R252" si="1239">+P252-Q252</f>
        <v>3873723.8899999997</v>
      </c>
      <c r="S252" s="32">
        <f t="shared" ref="S252" si="1240">SUM(R241:R252)/12</f>
        <v>3685938.3674999997</v>
      </c>
      <c r="T252" s="29">
        <f t="shared" ref="T252" si="1241">+O252/S251</f>
        <v>0.1216752042274386</v>
      </c>
      <c r="V252" s="67">
        <v>0</v>
      </c>
      <c r="W252" s="67">
        <v>0</v>
      </c>
      <c r="X252" s="59">
        <f t="shared" ref="X252" si="1242">SUM(V252:W252)</f>
        <v>0</v>
      </c>
      <c r="Y252" s="60"/>
      <c r="Z252" s="61"/>
      <c r="AA252" s="61"/>
      <c r="AB252" s="61"/>
      <c r="AC252" s="62"/>
    </row>
    <row r="253" spans="3:29" x14ac:dyDescent="0.2">
      <c r="C253" s="15">
        <v>45261</v>
      </c>
      <c r="D253" s="51">
        <v>0.1658</v>
      </c>
      <c r="E253" s="52">
        <v>0</v>
      </c>
      <c r="F253" s="52">
        <f t="shared" ref="F253" si="1243">+D253-E253</f>
        <v>0.1658</v>
      </c>
      <c r="G253" s="53">
        <v>3620433</v>
      </c>
      <c r="H253" s="52"/>
      <c r="I253" s="54">
        <f t="shared" ref="I253" si="1244">+G253-H253</f>
        <v>3620433</v>
      </c>
      <c r="J253" s="54">
        <f t="shared" ref="J253" si="1245">SUM(I242:I253)/12</f>
        <v>3121515.25</v>
      </c>
      <c r="K253" s="54">
        <f t="shared" ref="K253" si="1246">+F253*J253</f>
        <v>517547.22845</v>
      </c>
      <c r="L253" s="54">
        <v>123624</v>
      </c>
      <c r="M253" s="54">
        <f t="shared" ref="M253" si="1247">K253-L253</f>
        <v>393923.22845</v>
      </c>
      <c r="N253" s="54">
        <v>0</v>
      </c>
      <c r="O253" s="54">
        <f t="shared" ref="O253" si="1248">+M253+N253</f>
        <v>393923.22845</v>
      </c>
      <c r="P253" s="54">
        <v>3975942.8600000003</v>
      </c>
      <c r="R253" s="32">
        <f t="shared" ref="R253" si="1249">+P253-Q253</f>
        <v>3975942.8600000003</v>
      </c>
      <c r="S253" s="32">
        <f t="shared" ref="S253" si="1250">SUM(R242:R253)/12</f>
        <v>3612514.0625</v>
      </c>
      <c r="T253" s="29">
        <f t="shared" ref="T253" si="1251">+O253/S252</f>
        <v>0.10687189778411292</v>
      </c>
      <c r="V253" s="67">
        <v>0</v>
      </c>
      <c r="W253" s="67">
        <v>0</v>
      </c>
      <c r="X253" s="59">
        <f t="shared" ref="X253" si="1252">SUM(V253:W253)</f>
        <v>0</v>
      </c>
      <c r="Y253" s="60"/>
      <c r="Z253" s="61"/>
      <c r="AA253" s="61"/>
      <c r="AB253" s="61"/>
      <c r="AC253" s="62"/>
    </row>
    <row r="254" spans="3:29" x14ac:dyDescent="0.2">
      <c r="C254" s="15">
        <v>45292</v>
      </c>
      <c r="D254" s="51">
        <v>0.1532</v>
      </c>
      <c r="E254" s="52">
        <v>0</v>
      </c>
      <c r="F254" s="52">
        <f t="shared" ref="F254" si="1253">+D254-E254</f>
        <v>0.1532</v>
      </c>
      <c r="G254" s="53">
        <v>4558731</v>
      </c>
      <c r="H254" s="52"/>
      <c r="I254" s="54">
        <f t="shared" ref="I254" si="1254">+G254-H254</f>
        <v>4558731</v>
      </c>
      <c r="J254" s="54">
        <f t="shared" ref="J254" si="1255">SUM(I243:I254)/12</f>
        <v>3157619</v>
      </c>
      <c r="K254" s="54">
        <f t="shared" ref="K254" si="1256">+F254*J254</f>
        <v>483747.23080000002</v>
      </c>
      <c r="L254" s="54">
        <v>93871</v>
      </c>
      <c r="M254" s="54">
        <f t="shared" ref="M254" si="1257">K254-L254</f>
        <v>389876.23080000002</v>
      </c>
      <c r="N254" s="54">
        <v>0</v>
      </c>
      <c r="O254" s="54">
        <f t="shared" ref="O254" si="1258">+M254+N254</f>
        <v>389876.23080000002</v>
      </c>
      <c r="P254" s="54">
        <v>5266831.4400000004</v>
      </c>
      <c r="R254" s="32">
        <f t="shared" ref="R254" si="1259">+P254-Q254</f>
        <v>5266831.4400000004</v>
      </c>
      <c r="S254" s="32">
        <f t="shared" ref="S254" si="1260">SUM(R243:R254)/12</f>
        <v>3710916.4699999993</v>
      </c>
      <c r="T254" s="29">
        <f t="shared" ref="T254" si="1261">+O254/S253</f>
        <v>0.10792379601982519</v>
      </c>
      <c r="V254" s="67">
        <v>0</v>
      </c>
      <c r="W254" s="67">
        <v>0</v>
      </c>
      <c r="X254" s="59">
        <f t="shared" ref="X254" si="1262">SUM(V254:W254)</f>
        <v>0</v>
      </c>
      <c r="Y254" s="60"/>
      <c r="Z254" s="61"/>
      <c r="AA254" s="61"/>
      <c r="AB254" s="61"/>
      <c r="AC254" s="62"/>
    </row>
    <row r="255" spans="3:29" x14ac:dyDescent="0.2">
      <c r="C255" s="15">
        <v>45323</v>
      </c>
      <c r="D255" s="51">
        <v>0.1116</v>
      </c>
      <c r="E255" s="52">
        <v>3.3999999999999998E-3</v>
      </c>
      <c r="F255" s="52">
        <f>+D255-E255</f>
        <v>0.1082</v>
      </c>
      <c r="G255" s="53">
        <v>3803366</v>
      </c>
      <c r="H255" s="52"/>
      <c r="I255" s="54">
        <f t="shared" ref="I255" si="1263">+G255-H255</f>
        <v>3803366</v>
      </c>
      <c r="J255" s="54">
        <f t="shared" ref="J255" si="1264">SUM(I244:I255)/12</f>
        <v>3211743.75</v>
      </c>
      <c r="K255" s="54">
        <f t="shared" ref="K255" si="1265">+F255*J255</f>
        <v>347510.67375000002</v>
      </c>
      <c r="L255" s="54">
        <v>115798</v>
      </c>
      <c r="M255" s="54">
        <f t="shared" ref="M255" si="1266">K255-L255</f>
        <v>231712.67375000002</v>
      </c>
      <c r="N255" s="54">
        <v>0</v>
      </c>
      <c r="O255" s="54">
        <f t="shared" ref="O255" si="1267">+M255+N255</f>
        <v>231712.67375000002</v>
      </c>
      <c r="P255" s="54">
        <v>4045585.3900000006</v>
      </c>
      <c r="R255" s="32">
        <f t="shared" ref="R255" si="1268">+P255-Q255</f>
        <v>4045585.3900000006</v>
      </c>
      <c r="S255" s="32">
        <f t="shared" ref="S255" si="1269">SUM(R244:R255)/12</f>
        <v>3656154.4241666668</v>
      </c>
      <c r="T255" s="29">
        <f t="shared" ref="T255" si="1270">+O255/S254</f>
        <v>6.2440821727792771E-2</v>
      </c>
      <c r="V255" s="67">
        <v>0</v>
      </c>
      <c r="W255" s="67">
        <v>0</v>
      </c>
      <c r="X255" s="59">
        <f t="shared" ref="X255" si="1271">SUM(V255:W255)</f>
        <v>0</v>
      </c>
      <c r="Y255" s="60"/>
      <c r="Z255" s="61"/>
      <c r="AA255" s="61"/>
      <c r="AB255" s="61"/>
      <c r="AC255" s="62"/>
    </row>
    <row r="256" spans="3:29" x14ac:dyDescent="0.2">
      <c r="C256" s="15">
        <v>45352</v>
      </c>
      <c r="D256" s="51">
        <v>0.15099112522568495</v>
      </c>
      <c r="E256" s="52">
        <v>3.3999999999999998E-3</v>
      </c>
      <c r="F256" s="52">
        <f>+D256-E256</f>
        <v>0.14759112522568496</v>
      </c>
      <c r="G256" s="53">
        <v>3280013</v>
      </c>
      <c r="H256" s="52"/>
      <c r="I256" s="54">
        <f t="shared" ref="I256" si="1272">+G256-H256</f>
        <v>3280013</v>
      </c>
      <c r="J256" s="54">
        <f t="shared" ref="J256" si="1273">SUM(I245:I256)/12</f>
        <v>3215274.3333333335</v>
      </c>
      <c r="K256" s="54">
        <f t="shared" ref="K256" si="1274">+F256*J256</f>
        <v>474545.95676593075</v>
      </c>
      <c r="L256" s="54">
        <v>79027</v>
      </c>
      <c r="M256" s="54">
        <f t="shared" ref="M256" si="1275">K256-L256</f>
        <v>395518.95676593075</v>
      </c>
      <c r="N256" s="54">
        <v>1917</v>
      </c>
      <c r="O256" s="54">
        <f t="shared" ref="O256" si="1276">+M256+N256</f>
        <v>397435.95676593075</v>
      </c>
      <c r="P256" s="54">
        <v>3503486.12</v>
      </c>
      <c r="R256" s="32">
        <f t="shared" ref="R256" si="1277">+P256-Q256</f>
        <v>3503486.12</v>
      </c>
      <c r="S256" s="32">
        <f t="shared" ref="S256" si="1278">SUM(R245:R256)/12</f>
        <v>3632669.5183333331</v>
      </c>
      <c r="T256" s="29">
        <f t="shared" ref="T256" si="1279">+O256/S255</f>
        <v>0.10870327416668589</v>
      </c>
      <c r="V256" s="67">
        <v>1917</v>
      </c>
      <c r="W256" s="67">
        <v>0</v>
      </c>
      <c r="X256" s="59">
        <f t="shared" ref="X256" si="1280">SUM(V256:W256)</f>
        <v>1917</v>
      </c>
      <c r="Y256" s="60" t="s">
        <v>113</v>
      </c>
      <c r="Z256" s="61"/>
      <c r="AA256" s="61"/>
      <c r="AB256" s="61"/>
      <c r="AC256" s="62"/>
    </row>
    <row r="257" spans="3:29" x14ac:dyDescent="0.2">
      <c r="C257" s="15">
        <v>45383</v>
      </c>
      <c r="D257" s="51">
        <v>0.18140000000000001</v>
      </c>
      <c r="E257" s="52">
        <v>3.3999999999999998E-3</v>
      </c>
      <c r="F257" s="52">
        <f t="shared" ref="F257" si="1281">+D257-E257</f>
        <v>0.17800000000000002</v>
      </c>
      <c r="G257" s="53">
        <v>2513069</v>
      </c>
      <c r="H257" s="52"/>
      <c r="I257" s="54">
        <f t="shared" ref="I257" si="1282">+G257-H257</f>
        <v>2513069</v>
      </c>
      <c r="J257" s="54">
        <f t="shared" ref="J257" si="1283">SUM(I246:I257)/12</f>
        <v>3216031.3333333335</v>
      </c>
      <c r="K257" s="54">
        <f t="shared" ref="K257" si="1284">+F257*J257</f>
        <v>572453.57733333344</v>
      </c>
      <c r="L257" s="54">
        <v>90920</v>
      </c>
      <c r="M257" s="54">
        <f t="shared" ref="M257" si="1285">K257-L257</f>
        <v>481533.57733333344</v>
      </c>
      <c r="N257" s="54">
        <v>1917</v>
      </c>
      <c r="O257" s="54">
        <f t="shared" ref="O257" si="1286">+M257+N257</f>
        <v>483450.57733333344</v>
      </c>
      <c r="P257" s="54">
        <v>3200759.3</v>
      </c>
      <c r="R257" s="32">
        <f t="shared" ref="R257" si="1287">+P257-Q257</f>
        <v>3200759.3</v>
      </c>
      <c r="S257" s="32">
        <f t="shared" ref="S257" si="1288">SUM(R246:R257)/12</f>
        <v>3649002.979166666</v>
      </c>
      <c r="T257" s="29">
        <f t="shared" ref="T257" si="1289">+O257/S256</f>
        <v>0.13308410657602024</v>
      </c>
      <c r="V257" s="67">
        <v>1917</v>
      </c>
      <c r="W257" s="67">
        <v>0</v>
      </c>
      <c r="X257" s="59">
        <f t="shared" ref="X257" si="1290">SUM(V257:W257)</f>
        <v>1917</v>
      </c>
      <c r="Y257" s="60" t="s">
        <v>113</v>
      </c>
      <c r="Z257" s="61"/>
      <c r="AA257" s="61"/>
      <c r="AB257" s="61"/>
      <c r="AC257" s="62"/>
    </row>
    <row r="258" spans="3:29" x14ac:dyDescent="0.2">
      <c r="C258" s="15">
        <v>45413</v>
      </c>
      <c r="D258" s="51">
        <v>0.219</v>
      </c>
      <c r="E258" s="52">
        <v>3.3999999999999998E-3</v>
      </c>
      <c r="F258" s="52">
        <f t="shared" ref="F258" si="1291">+D258-E258</f>
        <v>0.21560000000000001</v>
      </c>
      <c r="G258" s="53">
        <v>2820296</v>
      </c>
      <c r="H258" s="52"/>
      <c r="I258" s="54">
        <f t="shared" ref="I258" si="1292">+G258-H258</f>
        <v>2820296</v>
      </c>
      <c r="J258" s="54">
        <f t="shared" ref="J258" si="1293">SUM(I247:I258)/12</f>
        <v>3231792.75</v>
      </c>
      <c r="K258" s="54">
        <f t="shared" ref="K258" si="1294">+F258*J258</f>
        <v>696774.51690000005</v>
      </c>
      <c r="L258" s="54">
        <v>126602</v>
      </c>
      <c r="M258" s="54">
        <f t="shared" ref="M258" si="1295">K258-L258</f>
        <v>570172.51690000005</v>
      </c>
      <c r="N258" s="54">
        <v>1917</v>
      </c>
      <c r="O258" s="54">
        <f t="shared" ref="O258" si="1296">+M258+N258</f>
        <v>572089.51690000005</v>
      </c>
      <c r="P258" s="54">
        <v>2995371.87</v>
      </c>
      <c r="R258" s="32">
        <f t="shared" ref="R258" si="1297">+P258-Q258</f>
        <v>2995371.87</v>
      </c>
      <c r="S258" s="32">
        <f t="shared" ref="S258" si="1298">SUM(R247:R258)/12</f>
        <v>3627275.7208333327</v>
      </c>
      <c r="T258" s="29">
        <f t="shared" ref="T258" si="1299">+O258/S257</f>
        <v>0.15677967931685544</v>
      </c>
      <c r="V258" s="67">
        <v>1917</v>
      </c>
      <c r="W258" s="67">
        <v>0</v>
      </c>
      <c r="X258" s="59">
        <f t="shared" ref="X258" si="1300">SUM(V258:W258)</f>
        <v>1917</v>
      </c>
      <c r="Y258" s="60" t="s">
        <v>113</v>
      </c>
      <c r="Z258" s="61"/>
      <c r="AA258" s="61"/>
      <c r="AB258" s="61"/>
      <c r="AC258" s="62"/>
    </row>
    <row r="259" spans="3:29" x14ac:dyDescent="0.2">
      <c r="C259" s="15">
        <v>45444</v>
      </c>
      <c r="D259" s="51">
        <v>0.2006</v>
      </c>
      <c r="E259" s="52">
        <v>3.3999999999999998E-3</v>
      </c>
      <c r="F259" s="52">
        <f t="shared" ref="F259" si="1301">+D259-E259</f>
        <v>0.19720000000000001</v>
      </c>
      <c r="G259" s="53">
        <v>3182248</v>
      </c>
      <c r="H259" s="52"/>
      <c r="I259" s="54">
        <f t="shared" ref="I259" si="1302">+G259-H259</f>
        <v>3182248</v>
      </c>
      <c r="J259" s="54">
        <f t="shared" ref="J259" si="1303">SUM(I248:I259)/12</f>
        <v>3304484.3333333335</v>
      </c>
      <c r="K259" s="54">
        <f t="shared" ref="K259" si="1304">+F259*J259</f>
        <v>651644.31053333345</v>
      </c>
      <c r="L259" s="54">
        <v>134631</v>
      </c>
      <c r="M259" s="54">
        <f t="shared" ref="M259" si="1305">K259-L259</f>
        <v>517013.31053333345</v>
      </c>
      <c r="N259" s="54">
        <v>1917</v>
      </c>
      <c r="O259" s="54">
        <f t="shared" ref="O259" si="1306">+M259+N259</f>
        <v>518930.31053333345</v>
      </c>
      <c r="P259" s="54">
        <v>3396738.0099999993</v>
      </c>
      <c r="R259" s="32">
        <f t="shared" ref="R259" si="1307">+P259-Q259</f>
        <v>3396738.0099999993</v>
      </c>
      <c r="S259" s="32">
        <f t="shared" ref="S259" si="1308">SUM(R248:R259)/12</f>
        <v>3653595.9124999996</v>
      </c>
      <c r="T259" s="29">
        <f t="shared" ref="T259" si="1309">+O259/S258</f>
        <v>0.14306337606288005</v>
      </c>
      <c r="V259" s="67">
        <v>1917</v>
      </c>
      <c r="W259" s="67">
        <v>0</v>
      </c>
      <c r="X259" s="59">
        <f t="shared" ref="X259" si="1310">SUM(V259:W259)</f>
        <v>1917</v>
      </c>
      <c r="Y259" s="60" t="s">
        <v>113</v>
      </c>
      <c r="Z259" s="61"/>
      <c r="AA259" s="61"/>
      <c r="AB259" s="61"/>
      <c r="AC259" s="62"/>
    </row>
    <row r="260" spans="3:29" x14ac:dyDescent="0.2">
      <c r="C260" s="15">
        <v>45474</v>
      </c>
      <c r="D260" s="51">
        <v>0.1784</v>
      </c>
      <c r="E260" s="52">
        <v>3.3999999999999998E-3</v>
      </c>
      <c r="F260" s="52">
        <f t="shared" ref="F260" si="1311">+D260-E260</f>
        <v>0.17500000000000002</v>
      </c>
      <c r="G260" s="53">
        <v>3299499</v>
      </c>
      <c r="H260" s="52"/>
      <c r="I260" s="54">
        <f t="shared" ref="I260" si="1312">+G260-H260</f>
        <v>3299499</v>
      </c>
      <c r="J260" s="54">
        <f t="shared" ref="J260" si="1313">SUM(I249:I260)/12</f>
        <v>3310496.5</v>
      </c>
      <c r="K260" s="54">
        <f t="shared" ref="K260" si="1314">+F260*J260</f>
        <v>579336.88750000007</v>
      </c>
      <c r="L260" s="54">
        <v>116600</v>
      </c>
      <c r="M260" s="54">
        <f t="shared" ref="M260" si="1315">K260-L260</f>
        <v>462736.88750000007</v>
      </c>
      <c r="N260" s="54">
        <v>1917</v>
      </c>
      <c r="O260" s="54">
        <f t="shared" ref="O260" si="1316">+M260+N260</f>
        <v>464653.88750000007</v>
      </c>
      <c r="P260" s="54">
        <v>4013680.58</v>
      </c>
      <c r="R260" s="32">
        <f t="shared" ref="R260" si="1317">+P260-Q260</f>
        <v>4013680.58</v>
      </c>
      <c r="S260" s="32">
        <f t="shared" ref="S260" si="1318">SUM(R249:R260)/12</f>
        <v>3699396.6949999998</v>
      </c>
      <c r="T260" s="29">
        <f t="shared" ref="T260" si="1319">+O260/S259</f>
        <v>0.12717714236275715</v>
      </c>
      <c r="V260" s="67">
        <v>1917</v>
      </c>
      <c r="W260" s="67">
        <v>0</v>
      </c>
      <c r="X260" s="59">
        <f t="shared" ref="X260" si="1320">SUM(V260:W260)</f>
        <v>1917</v>
      </c>
      <c r="Y260" s="60" t="s">
        <v>113</v>
      </c>
      <c r="Z260" s="61"/>
      <c r="AA260" s="61"/>
      <c r="AB260" s="61"/>
      <c r="AC260" s="62"/>
    </row>
    <row r="261" spans="3:29" x14ac:dyDescent="0.2">
      <c r="C261" s="15">
        <v>45505</v>
      </c>
      <c r="D261" s="51">
        <v>0.1797</v>
      </c>
      <c r="E261" s="52">
        <v>3.3999999999999998E-3</v>
      </c>
      <c r="F261" s="52">
        <f t="shared" ref="F261" si="1321">+D261-E261</f>
        <v>0.17630000000000001</v>
      </c>
      <c r="G261" s="53">
        <v>3189513</v>
      </c>
      <c r="H261" s="52"/>
      <c r="I261" s="54">
        <f t="shared" ref="I261" si="1322">+G261-H261</f>
        <v>3189513</v>
      </c>
      <c r="J261" s="54">
        <f t="shared" ref="J261" si="1323">SUM(I250:I261)/12</f>
        <v>3286466.8333333335</v>
      </c>
      <c r="K261" s="54">
        <f t="shared" ref="K261" si="1324">+F261*J261</f>
        <v>579404.10271666676</v>
      </c>
      <c r="L261" s="54">
        <v>103178</v>
      </c>
      <c r="M261" s="54">
        <f t="shared" ref="M261" si="1325">K261-L261</f>
        <v>476226.10271666676</v>
      </c>
      <c r="N261" s="54">
        <v>1918</v>
      </c>
      <c r="O261" s="54">
        <f t="shared" ref="O261" si="1326">+M261+N261</f>
        <v>478144.10271666676</v>
      </c>
      <c r="P261" s="54">
        <v>3534740.78</v>
      </c>
      <c r="R261" s="32">
        <f t="shared" ref="R261" si="1327">+P261-Q261</f>
        <v>3534740.78</v>
      </c>
      <c r="S261" s="32">
        <f t="shared" ref="S261" si="1328">SUM(R250:R261)/12</f>
        <v>3674288.8483333332</v>
      </c>
      <c r="T261" s="29">
        <f t="shared" ref="T261" si="1329">+O261/S260</f>
        <v>0.12924921065181055</v>
      </c>
      <c r="V261" s="100">
        <f>11503-SUM(V256:V260)</f>
        <v>1918</v>
      </c>
      <c r="W261" s="67">
        <v>0</v>
      </c>
      <c r="X261" s="59">
        <f t="shared" ref="X261" si="1330">SUM(V261:W261)</f>
        <v>1918</v>
      </c>
      <c r="Y261" s="60" t="s">
        <v>113</v>
      </c>
      <c r="Z261" s="61"/>
      <c r="AA261" s="61"/>
      <c r="AB261" s="61"/>
      <c r="AC261" s="62"/>
    </row>
    <row r="262" spans="3:29" x14ac:dyDescent="0.2">
      <c r="C262" s="15">
        <v>45536</v>
      </c>
      <c r="D262" s="51">
        <v>0.1832</v>
      </c>
      <c r="E262" s="52">
        <v>3.3999999999999998E-3</v>
      </c>
      <c r="F262" s="52">
        <f t="shared" ref="F262" si="1331">+D262-E262</f>
        <v>0.17980000000000002</v>
      </c>
      <c r="G262" s="53">
        <v>2910926</v>
      </c>
      <c r="H262" s="52"/>
      <c r="I262" s="54">
        <f t="shared" ref="I262" si="1332">+G262-H262</f>
        <v>2910926</v>
      </c>
      <c r="J262" s="54">
        <f t="shared" ref="J262" si="1333">SUM(I251:I262)/12</f>
        <v>3284528.4166666665</v>
      </c>
      <c r="K262" s="54">
        <f t="shared" ref="K262" si="1334">+F262*J262</f>
        <v>590558.2093166667</v>
      </c>
      <c r="L262" s="54">
        <v>101140</v>
      </c>
      <c r="M262" s="54">
        <f t="shared" ref="M262" si="1335">K262-L262</f>
        <v>489418.2093166667</v>
      </c>
      <c r="N262" s="54">
        <v>0</v>
      </c>
      <c r="O262" s="54">
        <f t="shared" ref="O262" si="1336">+M262+N262</f>
        <v>489418.2093166667</v>
      </c>
      <c r="P262" s="54">
        <v>3387335.6</v>
      </c>
      <c r="R262" s="32">
        <f t="shared" ref="R262" si="1337">+P262-Q262</f>
        <v>3387335.6</v>
      </c>
      <c r="S262" s="32">
        <f t="shared" ref="S262" si="1338">SUM(R251:R262)/12</f>
        <v>3687962.019166667</v>
      </c>
      <c r="T262" s="29">
        <f t="shared" ref="T262" si="1339">+O262/S261</f>
        <v>0.13320079871746285</v>
      </c>
      <c r="V262" s="67">
        <v>0</v>
      </c>
      <c r="W262" s="67">
        <v>0</v>
      </c>
      <c r="X262" s="59">
        <f t="shared" ref="X262" si="1340">SUM(V262:W262)</f>
        <v>0</v>
      </c>
      <c r="Y262" s="60"/>
      <c r="Z262" s="61"/>
      <c r="AA262" s="61"/>
      <c r="AB262" s="61"/>
      <c r="AC262" s="62"/>
    </row>
    <row r="263" spans="3:29" x14ac:dyDescent="0.2">
      <c r="C263" s="15">
        <v>45566</v>
      </c>
      <c r="D263" s="51">
        <v>0.19448424279942739</v>
      </c>
      <c r="E263" s="52">
        <v>3.3999999999999998E-3</v>
      </c>
      <c r="F263" s="52">
        <f t="shared" ref="F263" si="1341">+D263-E263</f>
        <v>0.1910842427994274</v>
      </c>
      <c r="G263" s="53">
        <v>1971289</v>
      </c>
      <c r="H263" s="52"/>
      <c r="I263" s="54">
        <f t="shared" ref="I263" si="1342">+G263-H263</f>
        <v>1971289</v>
      </c>
      <c r="J263" s="54">
        <f t="shared" ref="J263" si="1343">SUM(I252:I263)/12</f>
        <v>3213184.4166666665</v>
      </c>
      <c r="K263" s="54">
        <f t="shared" ref="K263:K268" si="1344">+F263*J263</f>
        <v>613988.91123366985</v>
      </c>
      <c r="L263" s="54">
        <v>0</v>
      </c>
      <c r="M263" s="54">
        <f t="shared" ref="M263" si="1345">K263-L263</f>
        <v>613988.91123366985</v>
      </c>
      <c r="N263" s="54">
        <v>0</v>
      </c>
      <c r="O263" s="54">
        <f t="shared" ref="O263" si="1346">+M263+N263</f>
        <v>613988.91123366985</v>
      </c>
      <c r="P263" s="54">
        <v>3408597.26</v>
      </c>
      <c r="R263" s="32">
        <f t="shared" ref="R263" si="1347">+P263-Q263</f>
        <v>3408597.26</v>
      </c>
      <c r="S263" s="32">
        <f t="shared" ref="S263" si="1348">SUM(R252:R263)/12</f>
        <v>3716899.4250000003</v>
      </c>
      <c r="T263" s="29">
        <f t="shared" ref="T263" si="1349">+O263/S262</f>
        <v>0.16648460804170834</v>
      </c>
      <c r="V263" s="67">
        <v>0</v>
      </c>
      <c r="W263" s="67">
        <v>0</v>
      </c>
      <c r="X263" s="59">
        <f t="shared" ref="X263" si="1350">SUM(V263:W263)</f>
        <v>0</v>
      </c>
      <c r="Y263" s="60"/>
      <c r="Z263" s="61"/>
      <c r="AA263" s="61"/>
      <c r="AB263" s="61"/>
      <c r="AC263" s="62"/>
    </row>
    <row r="264" spans="3:29" x14ac:dyDescent="0.2">
      <c r="C264" s="15">
        <v>45597</v>
      </c>
      <c r="D264" s="51">
        <v>0.2298</v>
      </c>
      <c r="E264" s="52">
        <v>3.3999999999999998E-3</v>
      </c>
      <c r="F264" s="52">
        <f t="shared" ref="F264" si="1351">+D264-E264</f>
        <v>0.22640000000000002</v>
      </c>
      <c r="G264" s="53">
        <v>2280311</v>
      </c>
      <c r="H264" s="52"/>
      <c r="I264" s="54">
        <f t="shared" ref="I264" si="1352">+G264-H264</f>
        <v>2280311</v>
      </c>
      <c r="J264" s="54">
        <f t="shared" ref="J264" si="1353">SUM(I253:I264)/12</f>
        <v>3119141.1666666665</v>
      </c>
      <c r="K264" s="54">
        <f t="shared" si="1344"/>
        <v>706173.56013333332</v>
      </c>
      <c r="L264" s="54">
        <v>0</v>
      </c>
      <c r="M264" s="54">
        <f t="shared" ref="M264:M269" si="1354">K264-L264</f>
        <v>706173.56013333332</v>
      </c>
      <c r="N264" s="54">
        <v>0</v>
      </c>
      <c r="O264" s="54">
        <f t="shared" ref="O264:O269" si="1355">+M264+N264</f>
        <v>706173.56013333332</v>
      </c>
      <c r="P264" s="54">
        <v>3052649.05</v>
      </c>
      <c r="R264" s="32">
        <f t="shared" ref="R264" si="1356">+P264-Q264</f>
        <v>3052649.05</v>
      </c>
      <c r="S264" s="32">
        <f t="shared" ref="S264" si="1357">SUM(R253:R264)/12</f>
        <v>3648476.5216666665</v>
      </c>
      <c r="T264" s="29">
        <f t="shared" ref="T264:T269" si="1358">+O264/S263</f>
        <v>0.18998995651687112</v>
      </c>
      <c r="V264" s="67">
        <v>0</v>
      </c>
      <c r="W264" s="67">
        <v>0</v>
      </c>
      <c r="X264" s="59">
        <f t="shared" ref="X264" si="1359">SUM(V264:W264)</f>
        <v>0</v>
      </c>
      <c r="Y264" s="60"/>
      <c r="Z264" s="61"/>
      <c r="AA264" s="61"/>
      <c r="AB264" s="61"/>
      <c r="AC264" s="62"/>
    </row>
    <row r="265" spans="3:29" x14ac:dyDescent="0.2">
      <c r="C265" s="15">
        <v>45627</v>
      </c>
      <c r="D265" s="51">
        <v>0.21010000000000001</v>
      </c>
      <c r="E265" s="52">
        <v>3.3999999999999998E-3</v>
      </c>
      <c r="F265" s="52">
        <f t="shared" ref="F265" si="1360">+D265-E265</f>
        <v>0.20670000000000002</v>
      </c>
      <c r="G265" s="53">
        <v>3112261</v>
      </c>
      <c r="H265" s="52"/>
      <c r="I265" s="54">
        <f t="shared" ref="I265" si="1361">+G265-H265</f>
        <v>3112261</v>
      </c>
      <c r="J265" s="54">
        <f t="shared" ref="J265" si="1362">SUM(I254:I265)/12</f>
        <v>3076793.5</v>
      </c>
      <c r="K265" s="54">
        <f t="shared" si="1344"/>
        <v>635973.21645000007</v>
      </c>
      <c r="L265" s="54">
        <v>0</v>
      </c>
      <c r="M265" s="54">
        <f t="shared" si="1354"/>
        <v>635973.21645000007</v>
      </c>
      <c r="N265" s="54">
        <v>0</v>
      </c>
      <c r="O265" s="54">
        <f t="shared" si="1355"/>
        <v>635973.21645000007</v>
      </c>
      <c r="P265" s="54">
        <v>4475392.41</v>
      </c>
      <c r="R265" s="32">
        <f t="shared" ref="R265" si="1363">+P265-Q265</f>
        <v>4475392.41</v>
      </c>
      <c r="S265" s="32">
        <f t="shared" ref="S265" si="1364">SUM(R254:R265)/12</f>
        <v>3690097.3175000004</v>
      </c>
      <c r="T265" s="29">
        <f t="shared" si="1358"/>
        <v>0.17431199369743514</v>
      </c>
      <c r="V265" s="67">
        <v>0</v>
      </c>
      <c r="W265" s="67">
        <v>0</v>
      </c>
      <c r="X265" s="59">
        <f t="shared" ref="X265:X267" si="1365">SUM(V265:W265)</f>
        <v>0</v>
      </c>
      <c r="Y265" s="60"/>
      <c r="Z265" s="61"/>
      <c r="AA265" s="61"/>
      <c r="AB265" s="61"/>
      <c r="AC265" s="62"/>
    </row>
    <row r="266" spans="3:29" x14ac:dyDescent="0.2">
      <c r="C266" s="15">
        <v>45658</v>
      </c>
      <c r="D266" s="51">
        <v>0.15939999999999999</v>
      </c>
      <c r="E266" s="52">
        <v>3.3999999999999998E-3</v>
      </c>
      <c r="F266" s="52">
        <f t="shared" ref="F266:F271" si="1366">+D266-E266</f>
        <v>0.156</v>
      </c>
      <c r="G266" s="53">
        <v>4305825</v>
      </c>
      <c r="H266" s="52"/>
      <c r="I266" s="54">
        <f t="shared" ref="I266:I271" si="1367">+G266-H266</f>
        <v>4305825</v>
      </c>
      <c r="J266" s="54">
        <f t="shared" ref="J266:J271" si="1368">SUM(I255:I266)/12</f>
        <v>3055718</v>
      </c>
      <c r="K266" s="54">
        <f t="shared" si="1344"/>
        <v>476692.00799999997</v>
      </c>
      <c r="L266" s="54">
        <v>0</v>
      </c>
      <c r="M266" s="54">
        <f t="shared" si="1354"/>
        <v>476692.00799999997</v>
      </c>
      <c r="N266" s="54">
        <v>0</v>
      </c>
      <c r="O266" s="54">
        <f t="shared" si="1355"/>
        <v>476692.00799999997</v>
      </c>
      <c r="P266" s="54">
        <v>5743153.71</v>
      </c>
      <c r="R266" s="32">
        <f t="shared" ref="R266:R271" si="1369">+P266-Q266</f>
        <v>5743153.71</v>
      </c>
      <c r="S266" s="32">
        <f t="shared" ref="S266:S271" si="1370">SUM(R255:R266)/12</f>
        <v>3729790.8399999994</v>
      </c>
      <c r="T266" s="29">
        <f t="shared" si="1358"/>
        <v>0.12918141907513525</v>
      </c>
      <c r="V266" s="67">
        <v>0</v>
      </c>
      <c r="W266" s="67">
        <v>0</v>
      </c>
      <c r="X266" s="59">
        <f t="shared" si="1365"/>
        <v>0</v>
      </c>
      <c r="Y266" s="60"/>
      <c r="Z266" s="61"/>
      <c r="AA266" s="61"/>
      <c r="AB266" s="61"/>
      <c r="AC266" s="62"/>
    </row>
    <row r="267" spans="3:29" x14ac:dyDescent="0.2">
      <c r="C267" s="15">
        <v>45689</v>
      </c>
      <c r="D267" s="51">
        <v>9.1800000000000007E-2</v>
      </c>
      <c r="E267" s="52">
        <v>3.3999999999999998E-3</v>
      </c>
      <c r="F267" s="52">
        <f t="shared" si="1366"/>
        <v>8.8400000000000006E-2</v>
      </c>
      <c r="G267" s="53">
        <v>3861223</v>
      </c>
      <c r="H267" s="52"/>
      <c r="I267" s="54">
        <f t="shared" si="1367"/>
        <v>3861223</v>
      </c>
      <c r="J267" s="54">
        <f t="shared" si="1368"/>
        <v>3060539.4166666665</v>
      </c>
      <c r="K267" s="54">
        <f t="shared" si="1344"/>
        <v>270551.68443333334</v>
      </c>
      <c r="L267" s="54">
        <v>0</v>
      </c>
      <c r="M267" s="54">
        <f t="shared" si="1354"/>
        <v>270551.68443333334</v>
      </c>
      <c r="N267" s="54">
        <v>0</v>
      </c>
      <c r="O267" s="54">
        <f t="shared" si="1355"/>
        <v>270551.68443333334</v>
      </c>
      <c r="P267" s="54">
        <v>4280922.92</v>
      </c>
      <c r="R267" s="32">
        <f t="shared" si="1369"/>
        <v>4280922.92</v>
      </c>
      <c r="S267" s="32">
        <f t="shared" si="1370"/>
        <v>3749402.3008333337</v>
      </c>
      <c r="T267" s="29">
        <f t="shared" si="1358"/>
        <v>7.2538031230012193E-2</v>
      </c>
      <c r="V267" s="67">
        <v>0</v>
      </c>
      <c r="W267" s="67">
        <v>0</v>
      </c>
      <c r="X267" s="59">
        <f t="shared" si="1365"/>
        <v>0</v>
      </c>
      <c r="Y267" s="60"/>
      <c r="Z267" s="61"/>
      <c r="AA267" s="61"/>
      <c r="AB267" s="61"/>
      <c r="AC267" s="62"/>
    </row>
    <row r="268" spans="3:29" x14ac:dyDescent="0.2">
      <c r="C268" s="101">
        <v>45717</v>
      </c>
      <c r="D268" s="102">
        <v>0.1255</v>
      </c>
      <c r="E268" s="103">
        <v>3.3999999999999998E-3</v>
      </c>
      <c r="F268" s="103">
        <f t="shared" si="1366"/>
        <v>0.1221</v>
      </c>
      <c r="G268" s="104">
        <v>2861134</v>
      </c>
      <c r="H268" s="103"/>
      <c r="I268" s="105">
        <f t="shared" si="1367"/>
        <v>2861134</v>
      </c>
      <c r="J268" s="105">
        <f t="shared" si="1368"/>
        <v>3025632.8333333335</v>
      </c>
      <c r="K268" s="105">
        <f t="shared" si="1344"/>
        <v>369429.76895</v>
      </c>
      <c r="L268" s="105">
        <v>0</v>
      </c>
      <c r="M268" s="105">
        <f t="shared" si="1354"/>
        <v>369429.76895</v>
      </c>
      <c r="N268" s="105">
        <v>0</v>
      </c>
      <c r="O268" s="105">
        <f t="shared" si="1355"/>
        <v>369429.76895</v>
      </c>
      <c r="P268" s="105">
        <v>4060429.5300000003</v>
      </c>
      <c r="Q268" s="106"/>
      <c r="R268" s="107">
        <f t="shared" si="1369"/>
        <v>4060429.5300000003</v>
      </c>
      <c r="S268" s="107">
        <f t="shared" si="1370"/>
        <v>3795814.2516666669</v>
      </c>
      <c r="T268" s="108">
        <f t="shared" si="1358"/>
        <v>9.853030944902641E-2</v>
      </c>
      <c r="V268" s="67">
        <v>0</v>
      </c>
      <c r="W268" s="67">
        <v>0</v>
      </c>
      <c r="X268" s="59">
        <f t="shared" ref="X268" si="1371">SUM(V268:W268)</f>
        <v>0</v>
      </c>
      <c r="Y268" s="60"/>
      <c r="Z268" s="61"/>
      <c r="AA268" s="61"/>
      <c r="AB268" s="61"/>
      <c r="AC268" s="62"/>
    </row>
    <row r="269" spans="3:29" x14ac:dyDescent="0.2">
      <c r="C269" s="15">
        <v>45748</v>
      </c>
      <c r="D269" s="51">
        <v>0.1865</v>
      </c>
      <c r="E269" s="52">
        <v>3.3999999999999998E-3</v>
      </c>
      <c r="F269" s="52">
        <f t="shared" si="1366"/>
        <v>0.18310000000000001</v>
      </c>
      <c r="G269" s="53">
        <v>2744246</v>
      </c>
      <c r="H269" s="52"/>
      <c r="I269" s="54">
        <f t="shared" si="1367"/>
        <v>2744246</v>
      </c>
      <c r="J269" s="54">
        <f t="shared" si="1368"/>
        <v>3044897.5833333335</v>
      </c>
      <c r="K269" s="54">
        <f t="shared" ref="K269" si="1372">+F269*J269</f>
        <v>557520.74750833341</v>
      </c>
      <c r="L269" s="54">
        <v>69365</v>
      </c>
      <c r="M269" s="54">
        <f t="shared" si="1354"/>
        <v>488155.74750833341</v>
      </c>
      <c r="N269" s="54">
        <v>0</v>
      </c>
      <c r="O269" s="54">
        <f t="shared" si="1355"/>
        <v>488155.74750833341</v>
      </c>
      <c r="P269" s="54">
        <v>3215941.01</v>
      </c>
      <c r="R269" s="32">
        <f t="shared" si="1369"/>
        <v>3215941.01</v>
      </c>
      <c r="S269" s="32">
        <f t="shared" si="1370"/>
        <v>3797079.394166667</v>
      </c>
      <c r="T269" s="29">
        <f t="shared" si="1358"/>
        <v>0.12860369742644648</v>
      </c>
      <c r="V269" s="67">
        <v>0</v>
      </c>
      <c r="W269" s="67">
        <v>0</v>
      </c>
      <c r="X269" s="59">
        <f t="shared" ref="X269" si="1373">SUM(V269:W269)</f>
        <v>0</v>
      </c>
      <c r="Y269" s="60"/>
      <c r="Z269" s="61"/>
      <c r="AA269" s="61"/>
      <c r="AB269" s="61"/>
      <c r="AC269" s="62"/>
    </row>
    <row r="270" spans="3:29" x14ac:dyDescent="0.2">
      <c r="C270" s="15">
        <v>45778</v>
      </c>
      <c r="D270" s="51">
        <v>0.21809999999999999</v>
      </c>
      <c r="E270" s="52">
        <v>3.3999999999999998E-3</v>
      </c>
      <c r="F270" s="52">
        <f t="shared" si="1366"/>
        <v>0.2147</v>
      </c>
      <c r="G270" s="53">
        <v>2531119</v>
      </c>
      <c r="H270" s="52"/>
      <c r="I270" s="54">
        <f t="shared" si="1367"/>
        <v>2531119</v>
      </c>
      <c r="J270" s="54">
        <f t="shared" si="1368"/>
        <v>3020799.5</v>
      </c>
      <c r="K270" s="54">
        <f t="shared" ref="K270" si="1374">+F270*J270</f>
        <v>648565.65265000006</v>
      </c>
      <c r="L270" s="54">
        <v>115638</v>
      </c>
      <c r="M270" s="54">
        <f t="shared" ref="M270" si="1375">K270-L270</f>
        <v>532927.65265000006</v>
      </c>
      <c r="N270" s="54">
        <v>0</v>
      </c>
      <c r="O270" s="54">
        <f t="shared" ref="O270" si="1376">+M270+N270</f>
        <v>532927.65265000006</v>
      </c>
      <c r="P270" s="54">
        <v>3154990.61</v>
      </c>
      <c r="R270" s="32">
        <f t="shared" si="1369"/>
        <v>3154990.61</v>
      </c>
      <c r="S270" s="32">
        <f t="shared" si="1370"/>
        <v>3810380.9558333331</v>
      </c>
      <c r="T270" s="29">
        <f t="shared" ref="T270" si="1377">+O270/S269</f>
        <v>0.14035199091931549</v>
      </c>
      <c r="V270" s="67">
        <v>0</v>
      </c>
      <c r="W270" s="67">
        <v>0</v>
      </c>
      <c r="X270" s="59">
        <f t="shared" ref="X270" si="1378">SUM(V270:W270)</f>
        <v>0</v>
      </c>
      <c r="Y270" s="60"/>
      <c r="Z270" s="61"/>
      <c r="AA270" s="61"/>
      <c r="AB270" s="61"/>
      <c r="AC270" s="62"/>
    </row>
    <row r="271" spans="3:29" x14ac:dyDescent="0.2">
      <c r="C271" s="15">
        <v>45809</v>
      </c>
      <c r="D271" s="51">
        <v>0.24990000000000001</v>
      </c>
      <c r="E271" s="52">
        <v>3.3999999999999998E-3</v>
      </c>
      <c r="F271" s="52">
        <f t="shared" si="1366"/>
        <v>0.24650000000000002</v>
      </c>
      <c r="G271" s="53">
        <v>3033216</v>
      </c>
      <c r="H271" s="52"/>
      <c r="I271" s="54">
        <f t="shared" si="1367"/>
        <v>3033216</v>
      </c>
      <c r="J271" s="54">
        <f t="shared" si="1368"/>
        <v>3008380.1666666665</v>
      </c>
      <c r="K271" s="54">
        <f t="shared" ref="K271" si="1379">+F271*J271</f>
        <v>741565.71108333336</v>
      </c>
      <c r="L271" s="54">
        <v>132403</v>
      </c>
      <c r="M271" s="54">
        <f t="shared" ref="M271" si="1380">K271-L271</f>
        <v>609162.71108333336</v>
      </c>
      <c r="N271" s="54">
        <v>0</v>
      </c>
      <c r="O271" s="54">
        <f t="shared" ref="O271" si="1381">+M271+N271</f>
        <v>609162.71108333336</v>
      </c>
      <c r="P271" s="54">
        <v>3230067.8399999994</v>
      </c>
      <c r="R271" s="32">
        <f t="shared" si="1369"/>
        <v>3230067.8399999994</v>
      </c>
      <c r="S271" s="32">
        <f t="shared" si="1370"/>
        <v>3796491.7749999999</v>
      </c>
      <c r="T271" s="29">
        <f t="shared" ref="T271" si="1382">+O271/S270</f>
        <v>0.15986924093528307</v>
      </c>
      <c r="V271" s="67">
        <v>0</v>
      </c>
      <c r="W271" s="67">
        <v>0</v>
      </c>
      <c r="X271" s="59">
        <f t="shared" ref="X271" si="1383">SUM(V271:W271)</f>
        <v>0</v>
      </c>
      <c r="Y271" s="60"/>
      <c r="Z271" s="61"/>
      <c r="AA271" s="61"/>
      <c r="AB271" s="61"/>
      <c r="AC271" s="62"/>
    </row>
    <row r="272" spans="3:29" x14ac:dyDescent="0.2">
      <c r="C272" s="15">
        <v>45839</v>
      </c>
      <c r="D272" s="51">
        <v>0.22850000000000001</v>
      </c>
      <c r="E272" s="52">
        <v>3.3999999999999998E-3</v>
      </c>
      <c r="F272" s="52">
        <f t="shared" ref="F272" si="1384">+D272-E272</f>
        <v>0.22510000000000002</v>
      </c>
      <c r="G272" s="53">
        <v>3499698</v>
      </c>
      <c r="H272" s="52"/>
      <c r="I272" s="54">
        <f t="shared" ref="I272" si="1385">+G272-H272</f>
        <v>3499698</v>
      </c>
      <c r="J272" s="54">
        <f t="shared" ref="J272" si="1386">SUM(I261:I272)/12</f>
        <v>3025063.4166666665</v>
      </c>
      <c r="K272" s="54">
        <f t="shared" ref="K272" si="1387">+F272*J272</f>
        <v>680941.77509166673</v>
      </c>
      <c r="L272" s="54">
        <v>156548</v>
      </c>
      <c r="M272" s="54">
        <f t="shared" ref="M272" si="1388">K272-L272</f>
        <v>524393.77509166673</v>
      </c>
      <c r="N272" s="54">
        <v>41199</v>
      </c>
      <c r="O272" s="54">
        <f t="shared" ref="O272" si="1389">+M272+N272</f>
        <v>565592.77509166673</v>
      </c>
      <c r="P272" s="54">
        <v>4291477.99</v>
      </c>
      <c r="R272" s="32">
        <f t="shared" ref="R272" si="1390">+P272-Q272</f>
        <v>4291477.99</v>
      </c>
      <c r="S272" s="32">
        <f t="shared" ref="S272" si="1391">SUM(R261:R272)/12</f>
        <v>3819641.5591666666</v>
      </c>
      <c r="T272" s="29">
        <f t="shared" ref="T272" si="1392">+O272/S271</f>
        <v>0.14897774277192177</v>
      </c>
      <c r="V272" s="67">
        <v>41199</v>
      </c>
      <c r="W272" s="67">
        <v>0</v>
      </c>
      <c r="X272" s="59">
        <f t="shared" ref="X272" si="1393">SUM(V272:W272)</f>
        <v>41199</v>
      </c>
      <c r="Y272" s="60" t="s">
        <v>116</v>
      </c>
      <c r="Z272" s="61"/>
      <c r="AA272" s="61"/>
      <c r="AB272" s="61"/>
      <c r="AC272" s="62"/>
    </row>
    <row r="273" spans="2:29" x14ac:dyDescent="0.2">
      <c r="C273" s="15">
        <v>45870</v>
      </c>
      <c r="D273" s="51">
        <v>0.17730000000000001</v>
      </c>
      <c r="E273" s="52">
        <v>3.3999999999999998E-3</v>
      </c>
      <c r="F273" s="52">
        <f t="shared" ref="F273" si="1394">+D273-E273</f>
        <v>0.17390000000000003</v>
      </c>
      <c r="G273" s="53">
        <v>3100766</v>
      </c>
      <c r="H273" s="52"/>
      <c r="I273" s="54">
        <f t="shared" ref="I273" si="1395">+G273-H273</f>
        <v>3100766</v>
      </c>
      <c r="J273" s="54">
        <f t="shared" ref="J273" si="1396">SUM(I262:I273)/12</f>
        <v>3017667.8333333335</v>
      </c>
      <c r="K273" s="54">
        <f t="shared" ref="K273" si="1397">+F273*J273</f>
        <v>524772.43621666683</v>
      </c>
      <c r="L273" s="54">
        <v>147018</v>
      </c>
      <c r="M273" s="54">
        <f t="shared" ref="M273" si="1398">K273-L273</f>
        <v>377754.43621666683</v>
      </c>
      <c r="N273" s="54">
        <v>41199</v>
      </c>
      <c r="O273" s="54">
        <f t="shared" ref="O273" si="1399">+M273+N273</f>
        <v>418953.43621666683</v>
      </c>
      <c r="P273" s="54">
        <v>3858624</v>
      </c>
      <c r="R273" s="32">
        <f t="shared" ref="R273" si="1400">+P273-Q273</f>
        <v>3858624</v>
      </c>
      <c r="S273" s="32">
        <f t="shared" ref="S273" si="1401">SUM(R262:R273)/12</f>
        <v>3846631.8275000001</v>
      </c>
      <c r="T273" s="29">
        <f t="shared" ref="T273" si="1402">+O273/S272</f>
        <v>0.10968396634266125</v>
      </c>
      <c r="V273" s="67">
        <v>41199</v>
      </c>
      <c r="W273" s="67">
        <v>0</v>
      </c>
      <c r="X273" s="59">
        <f t="shared" ref="X273" si="1403">SUM(V273:W273)</f>
        <v>41199</v>
      </c>
      <c r="Y273" s="60" t="s">
        <v>116</v>
      </c>
      <c r="Z273" s="61"/>
      <c r="AA273" s="61"/>
      <c r="AB273" s="61"/>
      <c r="AC273" s="62"/>
    </row>
    <row r="274" spans="2:29" x14ac:dyDescent="0.2">
      <c r="C274" s="15"/>
      <c r="D274" s="51"/>
      <c r="E274" s="52"/>
      <c r="F274" s="52"/>
      <c r="G274" s="53"/>
      <c r="H274" s="52"/>
      <c r="I274" s="54"/>
      <c r="J274" s="54"/>
      <c r="K274" s="54"/>
      <c r="L274" s="54"/>
      <c r="M274" s="54"/>
      <c r="N274" s="54"/>
      <c r="O274" s="54"/>
      <c r="P274" s="54"/>
      <c r="R274" s="32"/>
      <c r="S274" s="32"/>
      <c r="T274" s="29"/>
    </row>
    <row r="275" spans="2:29" x14ac:dyDescent="0.2">
      <c r="C275" t="s">
        <v>64</v>
      </c>
      <c r="E275" t="s">
        <v>114</v>
      </c>
    </row>
    <row r="276" spans="2:29" x14ac:dyDescent="0.2">
      <c r="C276" t="s">
        <v>65</v>
      </c>
    </row>
    <row r="277" spans="2:29" x14ac:dyDescent="0.2">
      <c r="C277" t="s">
        <v>66</v>
      </c>
    </row>
    <row r="279" spans="2:29" ht="38.25" x14ac:dyDescent="0.2">
      <c r="B279" s="68"/>
      <c r="C279" s="38"/>
      <c r="D279" s="38"/>
      <c r="E279" s="69" t="s">
        <v>96</v>
      </c>
      <c r="F279" s="69" t="s">
        <v>97</v>
      </c>
      <c r="G279" s="70" t="s">
        <v>98</v>
      </c>
      <c r="H279" s="69" t="s">
        <v>99</v>
      </c>
      <c r="I279" s="70" t="s">
        <v>100</v>
      </c>
      <c r="J279" s="68"/>
      <c r="K279" s="71"/>
      <c r="O279" s="38"/>
      <c r="R279" s="23"/>
      <c r="S279" s="55"/>
    </row>
    <row r="280" spans="2:29" ht="14.25" x14ac:dyDescent="0.2">
      <c r="B280" s="68"/>
      <c r="C280" s="55" t="s">
        <v>101</v>
      </c>
      <c r="D280" s="38" t="s">
        <v>101</v>
      </c>
      <c r="E280" s="72">
        <v>2998614</v>
      </c>
      <c r="F280" s="72">
        <v>-550967</v>
      </c>
      <c r="G280" s="99">
        <v>0</v>
      </c>
      <c r="H280" s="74"/>
      <c r="I280" s="74">
        <f>E280+F280-G280-H280</f>
        <v>2447647</v>
      </c>
      <c r="J280" s="68"/>
      <c r="K280" s="75"/>
      <c r="O280" s="38"/>
      <c r="Q280" s="91"/>
      <c r="R280" s="92"/>
      <c r="S280" s="93"/>
    </row>
    <row r="281" spans="2:29" ht="14.25" x14ac:dyDescent="0.2">
      <c r="B281" s="68"/>
      <c r="C281" s="55" t="s">
        <v>102</v>
      </c>
      <c r="D281" s="38" t="s">
        <v>103</v>
      </c>
      <c r="E281" s="76">
        <v>0</v>
      </c>
      <c r="F281" s="76">
        <v>0</v>
      </c>
      <c r="G281" s="77">
        <v>0</v>
      </c>
      <c r="H281" s="78"/>
      <c r="I281" s="78">
        <f>E281+F281-G281-H281</f>
        <v>0</v>
      </c>
      <c r="J281" s="68"/>
      <c r="K281" s="75"/>
      <c r="O281" s="38"/>
      <c r="Q281" s="94"/>
      <c r="R281" s="95"/>
      <c r="S281" s="96"/>
    </row>
    <row r="282" spans="2:29" ht="14.25" x14ac:dyDescent="0.2">
      <c r="B282" s="68"/>
      <c r="C282" s="55" t="s">
        <v>104</v>
      </c>
      <c r="D282" s="38" t="s">
        <v>100</v>
      </c>
      <c r="E282" s="74">
        <f>E280+E281</f>
        <v>2998614</v>
      </c>
      <c r="F282" s="74">
        <f t="shared" ref="F282:I282" si="1404">F280+F281</f>
        <v>-550967</v>
      </c>
      <c r="G282" s="74">
        <f t="shared" si="1404"/>
        <v>0</v>
      </c>
      <c r="H282" s="74">
        <f t="shared" si="1404"/>
        <v>0</v>
      </c>
      <c r="I282" s="74">
        <f t="shared" si="1404"/>
        <v>2447647</v>
      </c>
      <c r="J282" s="68"/>
      <c r="K282" s="79"/>
      <c r="O282" s="38"/>
      <c r="Q282" s="97"/>
      <c r="R282" s="97"/>
      <c r="S282" s="93"/>
    </row>
    <row r="283" spans="2:29" ht="14.25" x14ac:dyDescent="0.2">
      <c r="B283" s="68"/>
      <c r="C283" s="55"/>
      <c r="D283" s="38"/>
      <c r="E283" s="56"/>
      <c r="F283" s="56"/>
      <c r="G283" s="80"/>
      <c r="H283" s="81"/>
      <c r="I283" s="80"/>
      <c r="J283" s="68"/>
      <c r="K283" s="68"/>
    </row>
    <row r="284" spans="2:29" ht="14.25" x14ac:dyDescent="0.2">
      <c r="B284" s="68"/>
      <c r="C284" s="55" t="s">
        <v>105</v>
      </c>
      <c r="D284" s="38" t="s">
        <v>111</v>
      </c>
      <c r="E284" s="56">
        <v>351543</v>
      </c>
      <c r="F284" s="56">
        <v>-61831</v>
      </c>
      <c r="G284" s="72">
        <f>20853+15032</f>
        <v>35885</v>
      </c>
      <c r="H284" s="74">
        <v>0</v>
      </c>
      <c r="I284" s="73">
        <f>E284+F284-G284-H284</f>
        <v>253827</v>
      </c>
      <c r="J284" s="68"/>
      <c r="K284" s="68"/>
    </row>
    <row r="285" spans="2:29" ht="15" thickBot="1" x14ac:dyDescent="0.25">
      <c r="B285" s="82"/>
      <c r="C285" s="55" t="s">
        <v>105</v>
      </c>
      <c r="D285" s="38" t="s">
        <v>106</v>
      </c>
      <c r="E285" s="83">
        <v>484479</v>
      </c>
      <c r="F285" s="83">
        <v>-85187</v>
      </c>
      <c r="G285" s="76">
        <v>0</v>
      </c>
      <c r="H285" s="83"/>
      <c r="I285" s="98">
        <f>E285+F285-G285-H285</f>
        <v>399292</v>
      </c>
      <c r="J285" s="82"/>
      <c r="K285" s="68"/>
    </row>
    <row r="286" spans="2:29" ht="15" thickBot="1" x14ac:dyDescent="0.25">
      <c r="B286" s="82"/>
      <c r="C286" s="55"/>
      <c r="D286" s="38"/>
      <c r="E286" s="84">
        <f>E282+E284+E285</f>
        <v>3834636</v>
      </c>
      <c r="F286" s="84">
        <f>F282+F284+F285</f>
        <v>-697985</v>
      </c>
      <c r="G286" s="84">
        <f t="shared" ref="G286:I286" si="1405">G282+G284+G285</f>
        <v>35885</v>
      </c>
      <c r="H286" s="84">
        <f t="shared" si="1405"/>
        <v>0</v>
      </c>
      <c r="I286" s="86">
        <f t="shared" si="1405"/>
        <v>3100766</v>
      </c>
      <c r="J286" s="82" t="s">
        <v>107</v>
      </c>
      <c r="K286" s="68"/>
    </row>
    <row r="287" spans="2:29" ht="15" thickBot="1" x14ac:dyDescent="0.25">
      <c r="B287" s="82"/>
      <c r="C287" s="55"/>
      <c r="D287" s="38"/>
      <c r="E287" s="85"/>
      <c r="F287" s="85"/>
      <c r="G287" s="73"/>
      <c r="H287" s="38"/>
      <c r="I287" s="73"/>
      <c r="J287" s="82"/>
      <c r="K287" s="68"/>
    </row>
    <row r="288" spans="2:29" ht="15" thickBot="1" x14ac:dyDescent="0.25">
      <c r="B288" s="82"/>
      <c r="C288" s="55"/>
      <c r="D288" s="38" t="s">
        <v>108</v>
      </c>
      <c r="E288" s="38"/>
      <c r="F288" s="86">
        <f>-(F284+F285)</f>
        <v>147018</v>
      </c>
      <c r="G288" s="73" t="s">
        <v>109</v>
      </c>
      <c r="H288" s="38"/>
      <c r="I288" s="73"/>
      <c r="J288" s="82"/>
      <c r="K288" s="68"/>
    </row>
    <row r="289" spans="2:11" ht="14.25" x14ac:dyDescent="0.2">
      <c r="B289" s="68"/>
      <c r="C289" s="68"/>
      <c r="D289" s="68"/>
      <c r="E289" s="68"/>
      <c r="F289" s="87"/>
      <c r="G289" s="68"/>
      <c r="H289" s="88"/>
      <c r="I289" s="88"/>
      <c r="J289" s="68"/>
      <c r="K289" s="68"/>
    </row>
    <row r="290" spans="2:11" ht="15" x14ac:dyDescent="0.2">
      <c r="B290" s="68"/>
      <c r="C290" s="89"/>
      <c r="D290" s="68" t="s">
        <v>110</v>
      </c>
      <c r="E290" s="68"/>
      <c r="F290" s="68"/>
      <c r="G290" s="87"/>
      <c r="H290" s="68"/>
      <c r="I290" s="68"/>
      <c r="J290" s="68"/>
      <c r="K290" s="68"/>
    </row>
    <row r="291" spans="2:11" ht="14.25" x14ac:dyDescent="0.2">
      <c r="B291" s="68"/>
      <c r="C291" s="90"/>
      <c r="D291" s="68" t="s">
        <v>112</v>
      </c>
      <c r="E291" s="68"/>
      <c r="F291" s="68"/>
      <c r="G291" s="87"/>
      <c r="H291" s="68"/>
      <c r="I291" s="68"/>
      <c r="J291" s="68"/>
      <c r="K291" s="68"/>
    </row>
  </sheetData>
  <phoneticPr fontId="0" type="noConversion"/>
  <pageMargins left="0.75" right="0.75" top="1.3" bottom="1" header="0.5" footer="0.5"/>
  <pageSetup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12A5-2B95-40BD-B026-DD28CFDCAF21}">
  <dimension ref="B4:AC291"/>
  <sheetViews>
    <sheetView tabSelected="1" topLeftCell="A13" workbookViewId="0">
      <selection activeCell="N269" sqref="N269"/>
    </sheetView>
  </sheetViews>
  <sheetFormatPr defaultRowHeight="12.75" x14ac:dyDescent="0.2"/>
  <cols>
    <col min="2" max="2" width="2.140625" customWidth="1"/>
    <col min="4" max="4" width="12" bestFit="1" customWidth="1"/>
    <col min="5" max="5" width="10.28515625" bestFit="1" customWidth="1"/>
    <col min="6" max="6" width="13" customWidth="1"/>
    <col min="7" max="7" width="13.42578125" customWidth="1"/>
    <col min="8" max="8" width="12.42578125" bestFit="1" customWidth="1"/>
    <col min="9" max="9" width="14.42578125" customWidth="1"/>
    <col min="10" max="10" width="14.5703125" customWidth="1"/>
    <col min="11" max="13" width="13.140625" customWidth="1"/>
    <col min="14" max="14" width="11.5703125" customWidth="1"/>
    <col min="15" max="15" width="12.42578125" customWidth="1"/>
    <col min="16" max="16" width="13.140625" customWidth="1"/>
    <col min="17" max="17" width="10.28515625" customWidth="1"/>
    <col min="18" max="18" width="14" customWidth="1"/>
    <col min="19" max="19" width="16.140625" bestFit="1" customWidth="1"/>
    <col min="20" max="20" width="13" customWidth="1"/>
    <col min="21" max="21" width="3.7109375" customWidth="1"/>
    <col min="22" max="23" width="13.85546875" bestFit="1" customWidth="1"/>
    <col min="24" max="24" width="13.28515625" customWidth="1"/>
  </cols>
  <sheetData>
    <row r="4" spans="3:20" x14ac:dyDescent="0.2">
      <c r="C4" s="1" t="s">
        <v>0</v>
      </c>
    </row>
    <row r="5" spans="3:20" x14ac:dyDescent="0.2">
      <c r="C5" s="1" t="s">
        <v>1</v>
      </c>
    </row>
    <row r="6" spans="3:20" x14ac:dyDescent="0.2">
      <c r="C6" s="1"/>
    </row>
    <row r="7" spans="3:20" x14ac:dyDescent="0.2">
      <c r="C7" s="1" t="s">
        <v>115</v>
      </c>
    </row>
    <row r="10" spans="3:20" x14ac:dyDescent="0.2">
      <c r="C10" s="50"/>
      <c r="D10" s="2" t="s">
        <v>2</v>
      </c>
      <c r="E10" s="3" t="s">
        <v>3</v>
      </c>
      <c r="F10" s="4" t="s">
        <v>4</v>
      </c>
      <c r="G10" s="3" t="s">
        <v>5</v>
      </c>
      <c r="H10" s="3" t="s">
        <v>6</v>
      </c>
      <c r="I10" s="3" t="s">
        <v>7</v>
      </c>
      <c r="J10" s="3" t="s">
        <v>8</v>
      </c>
      <c r="K10" s="3" t="s">
        <v>83</v>
      </c>
      <c r="L10" s="3" t="s">
        <v>84</v>
      </c>
      <c r="M10" s="3" t="s">
        <v>85</v>
      </c>
      <c r="N10" s="3" t="s">
        <v>67</v>
      </c>
      <c r="O10" s="5" t="s">
        <v>9</v>
      </c>
      <c r="P10" s="3" t="s">
        <v>10</v>
      </c>
      <c r="Q10" s="3" t="s">
        <v>11</v>
      </c>
      <c r="R10" s="3" t="s">
        <v>12</v>
      </c>
      <c r="S10" s="3" t="s">
        <v>13</v>
      </c>
      <c r="T10" s="3" t="s">
        <v>14</v>
      </c>
    </row>
    <row r="11" spans="3:20" s="38" customFormat="1" x14ac:dyDescent="0.2">
      <c r="C11" s="34"/>
      <c r="D11" s="35"/>
      <c r="E11" s="34"/>
      <c r="F11" s="34"/>
      <c r="G11" s="36" t="s">
        <v>15</v>
      </c>
      <c r="H11" s="37" t="s">
        <v>16</v>
      </c>
      <c r="I11" s="34" t="s">
        <v>17</v>
      </c>
      <c r="J11" s="34" t="s">
        <v>18</v>
      </c>
      <c r="K11" s="34" t="s">
        <v>19</v>
      </c>
      <c r="L11" s="36" t="s">
        <v>86</v>
      </c>
      <c r="M11" s="36" t="s">
        <v>21</v>
      </c>
      <c r="N11" s="36" t="s">
        <v>20</v>
      </c>
      <c r="O11" s="34" t="s">
        <v>21</v>
      </c>
      <c r="P11" s="34" t="s">
        <v>21</v>
      </c>
      <c r="Q11" s="37" t="s">
        <v>22</v>
      </c>
      <c r="R11" s="36" t="s">
        <v>21</v>
      </c>
      <c r="S11" s="34" t="s">
        <v>23</v>
      </c>
      <c r="T11" s="34" t="s">
        <v>21</v>
      </c>
    </row>
    <row r="12" spans="3:20" s="38" customFormat="1" x14ac:dyDescent="0.2">
      <c r="C12" s="37"/>
      <c r="D12" s="39"/>
      <c r="E12" s="37"/>
      <c r="F12" s="37"/>
      <c r="G12" s="40" t="s">
        <v>24</v>
      </c>
      <c r="H12" s="37" t="s">
        <v>25</v>
      </c>
      <c r="I12" s="37" t="s">
        <v>24</v>
      </c>
      <c r="J12" s="37" t="s">
        <v>26</v>
      </c>
      <c r="K12" s="37" t="s">
        <v>27</v>
      </c>
      <c r="L12" s="40" t="s">
        <v>31</v>
      </c>
      <c r="M12" s="40" t="s">
        <v>27</v>
      </c>
      <c r="N12" s="40" t="s">
        <v>28</v>
      </c>
      <c r="O12" s="37" t="s">
        <v>27</v>
      </c>
      <c r="P12" s="37" t="s">
        <v>27</v>
      </c>
      <c r="Q12" s="37" t="s">
        <v>29</v>
      </c>
      <c r="R12" s="37" t="s">
        <v>27</v>
      </c>
      <c r="S12" s="41" t="s">
        <v>30</v>
      </c>
      <c r="T12" s="37" t="s">
        <v>94</v>
      </c>
    </row>
    <row r="13" spans="3:20" s="38" customFormat="1" x14ac:dyDescent="0.2">
      <c r="C13" s="37" t="s">
        <v>31</v>
      </c>
      <c r="D13" s="39"/>
      <c r="E13" s="37"/>
      <c r="F13" s="37"/>
      <c r="G13" s="40" t="s">
        <v>32</v>
      </c>
      <c r="H13" s="37" t="s">
        <v>33</v>
      </c>
      <c r="I13" s="37" t="s">
        <v>34</v>
      </c>
      <c r="J13" s="37" t="s">
        <v>35</v>
      </c>
      <c r="K13" s="37" t="s">
        <v>25</v>
      </c>
      <c r="L13" s="40" t="s">
        <v>53</v>
      </c>
      <c r="M13" s="40" t="s">
        <v>25</v>
      </c>
      <c r="N13" s="40" t="s">
        <v>36</v>
      </c>
      <c r="O13" s="37" t="s">
        <v>37</v>
      </c>
      <c r="P13" s="37" t="s">
        <v>38</v>
      </c>
      <c r="Q13" s="37" t="s">
        <v>25</v>
      </c>
      <c r="R13" s="40" t="s">
        <v>39</v>
      </c>
      <c r="S13" s="41" t="s">
        <v>40</v>
      </c>
      <c r="T13" s="37" t="s">
        <v>50</v>
      </c>
    </row>
    <row r="14" spans="3:20" s="38" customFormat="1" x14ac:dyDescent="0.2">
      <c r="C14" s="37" t="s">
        <v>41</v>
      </c>
      <c r="D14" s="39"/>
      <c r="E14" s="37"/>
      <c r="F14" s="37"/>
      <c r="G14" s="40" t="s">
        <v>42</v>
      </c>
      <c r="H14" s="37"/>
      <c r="I14" s="37" t="s">
        <v>43</v>
      </c>
      <c r="J14" s="37" t="s">
        <v>44</v>
      </c>
      <c r="K14" s="37" t="s">
        <v>45</v>
      </c>
      <c r="L14" s="40"/>
      <c r="M14" s="40" t="s">
        <v>45</v>
      </c>
      <c r="N14" s="40" t="s">
        <v>46</v>
      </c>
      <c r="O14" s="37" t="s">
        <v>25</v>
      </c>
      <c r="P14" s="37" t="s">
        <v>47</v>
      </c>
      <c r="Q14" s="37" t="s">
        <v>33</v>
      </c>
      <c r="R14" s="40" t="s">
        <v>48</v>
      </c>
      <c r="S14" s="37" t="s">
        <v>49</v>
      </c>
      <c r="T14" s="37" t="s">
        <v>54</v>
      </c>
    </row>
    <row r="15" spans="3:20" s="38" customFormat="1" x14ac:dyDescent="0.2">
      <c r="C15" s="37" t="s">
        <v>51</v>
      </c>
      <c r="D15" s="39" t="s">
        <v>52</v>
      </c>
      <c r="E15" s="37" t="s">
        <v>52</v>
      </c>
      <c r="F15" s="37" t="s">
        <v>52</v>
      </c>
      <c r="G15" s="40" t="s">
        <v>21</v>
      </c>
      <c r="H15" s="37"/>
      <c r="I15" s="37" t="s">
        <v>21</v>
      </c>
      <c r="J15" s="37" t="s">
        <v>21</v>
      </c>
      <c r="K15" s="37"/>
      <c r="L15" s="40"/>
      <c r="M15" s="40" t="s">
        <v>87</v>
      </c>
      <c r="N15" s="40"/>
      <c r="O15" s="37" t="s">
        <v>91</v>
      </c>
      <c r="P15" s="37" t="s">
        <v>92</v>
      </c>
      <c r="Q15" s="42"/>
      <c r="R15" s="40" t="s">
        <v>92</v>
      </c>
      <c r="S15" s="37" t="s">
        <v>93</v>
      </c>
      <c r="T15" s="37" t="s">
        <v>95</v>
      </c>
    </row>
    <row r="16" spans="3:20" s="38" customFormat="1" x14ac:dyDescent="0.2">
      <c r="C16" s="43" t="s">
        <v>55</v>
      </c>
      <c r="D16" s="44" t="s">
        <v>56</v>
      </c>
      <c r="E16" s="43" t="s">
        <v>57</v>
      </c>
      <c r="F16" s="43" t="s">
        <v>58</v>
      </c>
      <c r="G16" s="45" t="s">
        <v>27</v>
      </c>
      <c r="H16" s="43"/>
      <c r="I16" s="43" t="s">
        <v>27</v>
      </c>
      <c r="J16" s="43" t="s">
        <v>27</v>
      </c>
      <c r="K16" s="43"/>
      <c r="L16" s="46"/>
      <c r="M16" s="46" t="s">
        <v>88</v>
      </c>
      <c r="N16" s="46"/>
      <c r="O16" s="43" t="s">
        <v>86</v>
      </c>
      <c r="P16" s="43" t="s">
        <v>86</v>
      </c>
      <c r="Q16" s="47"/>
      <c r="R16" s="46" t="s">
        <v>86</v>
      </c>
      <c r="S16" s="43" t="s">
        <v>88</v>
      </c>
      <c r="T16" s="43" t="s">
        <v>86</v>
      </c>
    </row>
    <row r="17" spans="2:22" x14ac:dyDescent="0.2">
      <c r="C17" s="11"/>
      <c r="D17" s="7"/>
      <c r="E17" s="6"/>
      <c r="F17" s="12" t="s">
        <v>59</v>
      </c>
      <c r="G17" s="8"/>
      <c r="H17" s="6"/>
      <c r="I17" s="13" t="s">
        <v>60</v>
      </c>
      <c r="J17" s="6"/>
      <c r="K17" s="13" t="s">
        <v>61</v>
      </c>
      <c r="L17" s="14"/>
      <c r="M17" s="14" t="s">
        <v>89</v>
      </c>
      <c r="N17" s="9"/>
      <c r="O17" s="12" t="s">
        <v>90</v>
      </c>
      <c r="P17" s="10"/>
      <c r="Q17" s="10"/>
      <c r="R17" s="14" t="s">
        <v>62</v>
      </c>
      <c r="S17" s="6"/>
      <c r="T17" s="12" t="s">
        <v>63</v>
      </c>
    </row>
    <row r="18" spans="2:22" x14ac:dyDescent="0.2">
      <c r="G18" s="27"/>
      <c r="H18" s="27"/>
      <c r="I18" s="27"/>
      <c r="J18" s="27"/>
      <c r="K18" s="27"/>
      <c r="L18" s="27"/>
      <c r="M18" s="27"/>
      <c r="N18" s="27"/>
    </row>
    <row r="19" spans="2:22" hidden="1" x14ac:dyDescent="0.2">
      <c r="C19" s="15">
        <v>38139</v>
      </c>
      <c r="G19" s="27">
        <v>1570620</v>
      </c>
      <c r="H19" s="27"/>
      <c r="I19" s="26">
        <f t="shared" ref="I19:I82" si="0">+G19-H19</f>
        <v>1570620</v>
      </c>
      <c r="J19" s="26"/>
      <c r="K19" s="26"/>
      <c r="L19" s="26"/>
      <c r="M19" s="26"/>
      <c r="N19" s="26"/>
      <c r="O19" s="19"/>
      <c r="P19" s="17">
        <v>2272807</v>
      </c>
      <c r="Q19" s="19"/>
      <c r="R19" s="17">
        <f t="shared" ref="R19:R82" si="1">+P19-Q19</f>
        <v>2272807</v>
      </c>
      <c r="S19" s="19"/>
      <c r="T19" s="19"/>
      <c r="U19" s="19"/>
    </row>
    <row r="20" spans="2:22" hidden="1" x14ac:dyDescent="0.2">
      <c r="C20" s="15">
        <v>38169</v>
      </c>
      <c r="G20" s="27">
        <v>1797266</v>
      </c>
      <c r="H20" s="27"/>
      <c r="I20" s="26">
        <f t="shared" si="0"/>
        <v>1797266</v>
      </c>
      <c r="J20" s="26"/>
      <c r="K20" s="26"/>
      <c r="L20" s="26"/>
      <c r="M20" s="26"/>
      <c r="N20" s="26"/>
      <c r="O20" s="19"/>
      <c r="P20" s="17">
        <v>2121442</v>
      </c>
      <c r="Q20" s="19"/>
      <c r="R20" s="17">
        <f t="shared" si="1"/>
        <v>2121442</v>
      </c>
      <c r="S20" s="19"/>
      <c r="T20" s="19"/>
      <c r="U20" s="19"/>
    </row>
    <row r="21" spans="2:22" hidden="1" x14ac:dyDescent="0.2">
      <c r="C21" s="15">
        <v>38200</v>
      </c>
      <c r="G21" s="27">
        <v>1713923</v>
      </c>
      <c r="H21" s="27"/>
      <c r="I21" s="26">
        <f t="shared" si="0"/>
        <v>1713923</v>
      </c>
      <c r="J21" s="26"/>
      <c r="K21" s="26"/>
      <c r="L21" s="26"/>
      <c r="M21" s="26"/>
      <c r="N21" s="26"/>
      <c r="O21" s="19"/>
      <c r="P21" s="17">
        <v>2180189</v>
      </c>
      <c r="Q21" s="19"/>
      <c r="R21" s="17">
        <f t="shared" si="1"/>
        <v>2180189</v>
      </c>
      <c r="S21" s="19"/>
      <c r="T21" s="19"/>
      <c r="U21" s="19"/>
    </row>
    <row r="22" spans="2:22" hidden="1" x14ac:dyDescent="0.2">
      <c r="C22" s="15">
        <v>38231</v>
      </c>
      <c r="G22" s="27">
        <v>1571917</v>
      </c>
      <c r="H22" s="27"/>
      <c r="I22" s="26">
        <f t="shared" si="0"/>
        <v>1571917</v>
      </c>
      <c r="J22" s="26"/>
      <c r="K22" s="26"/>
      <c r="L22" s="26"/>
      <c r="M22" s="26"/>
      <c r="N22" s="26"/>
      <c r="O22" s="19"/>
      <c r="P22" s="17">
        <v>2193694</v>
      </c>
      <c r="Q22" s="19"/>
      <c r="R22" s="17">
        <f t="shared" si="1"/>
        <v>2193694</v>
      </c>
      <c r="S22" s="19"/>
      <c r="T22" s="19"/>
      <c r="U22" s="19"/>
    </row>
    <row r="23" spans="2:22" hidden="1" x14ac:dyDescent="0.2">
      <c r="C23" s="15">
        <v>38261</v>
      </c>
      <c r="G23" s="27">
        <v>1407202</v>
      </c>
      <c r="H23" s="27"/>
      <c r="I23" s="26">
        <f t="shared" si="0"/>
        <v>1407202</v>
      </c>
      <c r="J23" s="26"/>
      <c r="K23" s="26"/>
      <c r="L23" s="26"/>
      <c r="M23" s="26"/>
      <c r="N23" s="26"/>
      <c r="O23" s="19"/>
      <c r="P23" s="17">
        <v>2058186</v>
      </c>
      <c r="Q23" s="19"/>
      <c r="R23" s="17">
        <f t="shared" si="1"/>
        <v>2058186</v>
      </c>
      <c r="S23" s="19"/>
      <c r="T23" s="19"/>
      <c r="U23" s="19"/>
    </row>
    <row r="24" spans="2:22" hidden="1" x14ac:dyDescent="0.2">
      <c r="C24" s="15">
        <v>38292</v>
      </c>
      <c r="G24" s="27">
        <v>1669509</v>
      </c>
      <c r="H24" s="27"/>
      <c r="I24" s="26">
        <f t="shared" si="0"/>
        <v>1669509</v>
      </c>
      <c r="J24" s="26"/>
      <c r="K24" s="26"/>
      <c r="L24" s="26"/>
      <c r="M24" s="26"/>
      <c r="N24" s="26"/>
      <c r="O24" s="19"/>
      <c r="P24" s="17">
        <v>2497894</v>
      </c>
      <c r="Q24" s="19"/>
      <c r="R24" s="17">
        <f t="shared" si="1"/>
        <v>2497894</v>
      </c>
      <c r="S24" s="19"/>
      <c r="T24" s="19"/>
      <c r="U24" s="19"/>
    </row>
    <row r="25" spans="2:22" hidden="1" x14ac:dyDescent="0.2">
      <c r="C25" s="15">
        <v>38322</v>
      </c>
      <c r="G25" s="27">
        <v>2492447</v>
      </c>
      <c r="H25" s="27"/>
      <c r="I25" s="26">
        <f t="shared" si="0"/>
        <v>2492447</v>
      </c>
      <c r="J25" s="26"/>
      <c r="K25" s="26"/>
      <c r="L25" s="26"/>
      <c r="M25" s="26"/>
      <c r="N25" s="26"/>
      <c r="O25" s="19"/>
      <c r="P25" s="17">
        <v>3036708</v>
      </c>
      <c r="Q25" s="19"/>
      <c r="R25" s="17">
        <f t="shared" si="1"/>
        <v>3036708</v>
      </c>
      <c r="S25" s="19"/>
      <c r="T25" s="19"/>
      <c r="U25" s="19"/>
    </row>
    <row r="26" spans="2:22" hidden="1" x14ac:dyDescent="0.2">
      <c r="C26" s="15">
        <v>38353</v>
      </c>
      <c r="G26" s="27">
        <v>2616682</v>
      </c>
      <c r="H26" s="27"/>
      <c r="I26" s="26">
        <f t="shared" si="0"/>
        <v>2616682</v>
      </c>
      <c r="J26" s="26"/>
      <c r="K26" s="26"/>
      <c r="L26" s="26"/>
      <c r="M26" s="26"/>
      <c r="N26" s="26"/>
      <c r="O26" s="19"/>
      <c r="P26" s="17">
        <v>2880216</v>
      </c>
      <c r="Q26" s="19"/>
      <c r="R26" s="17">
        <f t="shared" si="1"/>
        <v>2880216</v>
      </c>
      <c r="S26" s="19"/>
      <c r="T26" s="19"/>
      <c r="U26" s="19"/>
    </row>
    <row r="27" spans="2:22" hidden="1" x14ac:dyDescent="0.2">
      <c r="C27" s="15">
        <v>38384</v>
      </c>
      <c r="G27" s="27">
        <v>2325510</v>
      </c>
      <c r="H27" s="27"/>
      <c r="I27" s="26">
        <f t="shared" si="0"/>
        <v>2325510</v>
      </c>
      <c r="J27" s="26"/>
      <c r="K27" s="26"/>
      <c r="L27" s="26"/>
      <c r="M27" s="26"/>
      <c r="N27" s="26"/>
      <c r="O27" s="19"/>
      <c r="P27" s="17">
        <v>3167270</v>
      </c>
      <c r="Q27" s="19"/>
      <c r="R27" s="17">
        <f t="shared" si="1"/>
        <v>3167270</v>
      </c>
      <c r="S27" s="19"/>
      <c r="T27" s="19"/>
      <c r="U27" s="19"/>
    </row>
    <row r="28" spans="2:22" hidden="1" x14ac:dyDescent="0.2">
      <c r="C28" s="15">
        <v>38412</v>
      </c>
      <c r="G28" s="27">
        <v>2200961</v>
      </c>
      <c r="H28" s="27"/>
      <c r="I28" s="26">
        <f t="shared" si="0"/>
        <v>2200961</v>
      </c>
      <c r="J28" s="26"/>
      <c r="K28" s="26"/>
      <c r="L28" s="26"/>
      <c r="M28" s="26"/>
      <c r="N28" s="26"/>
      <c r="O28" s="19"/>
      <c r="P28" s="17">
        <v>3239025</v>
      </c>
      <c r="Q28" s="19"/>
      <c r="R28" s="17">
        <f t="shared" si="1"/>
        <v>3239025</v>
      </c>
      <c r="S28" s="19"/>
      <c r="T28" s="19"/>
      <c r="U28" s="19"/>
    </row>
    <row r="29" spans="2:22" hidden="1" x14ac:dyDescent="0.2">
      <c r="C29" s="15">
        <v>38443</v>
      </c>
      <c r="G29" s="27">
        <v>1627876</v>
      </c>
      <c r="H29" s="27"/>
      <c r="I29" s="26">
        <f t="shared" si="0"/>
        <v>1627876</v>
      </c>
      <c r="J29" s="26"/>
      <c r="K29" s="26"/>
      <c r="L29" s="26"/>
      <c r="M29" s="26"/>
      <c r="N29" s="26"/>
      <c r="O29" s="19"/>
      <c r="P29" s="17">
        <v>2235096</v>
      </c>
      <c r="Q29" s="19"/>
      <c r="R29" s="17">
        <f t="shared" si="1"/>
        <v>2235096</v>
      </c>
      <c r="S29" s="17"/>
      <c r="T29" s="21"/>
      <c r="U29" s="19"/>
      <c r="V29" s="22"/>
    </row>
    <row r="30" spans="2:22" hidden="1" x14ac:dyDescent="0.2">
      <c r="C30" s="15">
        <v>38473</v>
      </c>
      <c r="D30" s="20"/>
      <c r="E30" s="20"/>
      <c r="F30" s="20"/>
      <c r="G30" s="27">
        <v>1614666</v>
      </c>
      <c r="H30" s="27"/>
      <c r="I30" s="26">
        <f t="shared" si="0"/>
        <v>1614666</v>
      </c>
      <c r="J30" s="26"/>
      <c r="K30" s="26"/>
      <c r="L30" s="26"/>
      <c r="M30" s="26"/>
      <c r="N30" s="26"/>
      <c r="O30" s="17"/>
      <c r="P30" s="17">
        <v>2313728</v>
      </c>
      <c r="Q30" s="19"/>
      <c r="R30" s="17">
        <f t="shared" si="1"/>
        <v>2313728</v>
      </c>
      <c r="S30" s="17">
        <f t="shared" ref="S30:S36" si="2">SUM(R19:R30)/12</f>
        <v>2516354.5833333335</v>
      </c>
      <c r="T30" s="21"/>
      <c r="U30" s="19"/>
    </row>
    <row r="31" spans="2:22" hidden="1" x14ac:dyDescent="0.2">
      <c r="C31" s="15">
        <v>38504</v>
      </c>
      <c r="D31" s="20">
        <v>6.2799999999999995E-2</v>
      </c>
      <c r="E31" s="20">
        <v>5.1000000000000004E-3</v>
      </c>
      <c r="F31" s="20">
        <f t="shared" ref="F31:F94" si="3">+D31-E31</f>
        <v>5.7699999999999994E-2</v>
      </c>
      <c r="G31" s="27">
        <v>1824892</v>
      </c>
      <c r="H31" s="27"/>
      <c r="I31" s="26">
        <f t="shared" si="0"/>
        <v>1824892</v>
      </c>
      <c r="J31" s="26">
        <f t="shared" ref="J31:J36" si="4">SUM(I20:I31)/12</f>
        <v>1905237.5833333333</v>
      </c>
      <c r="K31" s="26">
        <f>+F31*J31</f>
        <v>109932.20855833332</v>
      </c>
      <c r="L31" s="26"/>
      <c r="M31" s="26"/>
      <c r="N31" s="26"/>
      <c r="O31" s="17">
        <f t="shared" ref="O31:O94" si="5">+K31+N31</f>
        <v>109932.20855833332</v>
      </c>
      <c r="P31" s="18">
        <v>2570458</v>
      </c>
      <c r="Q31" s="18"/>
      <c r="R31" s="18">
        <f t="shared" si="1"/>
        <v>2570458</v>
      </c>
      <c r="S31" s="17">
        <f t="shared" si="2"/>
        <v>2541158.8333333335</v>
      </c>
      <c r="T31" s="21">
        <f>+O31/S30</f>
        <v>4.3687089763283553E-2</v>
      </c>
      <c r="U31" s="19"/>
    </row>
    <row r="32" spans="2:22" hidden="1" x14ac:dyDescent="0.2">
      <c r="B32" s="23"/>
      <c r="C32" s="15">
        <v>38534</v>
      </c>
      <c r="D32" s="20">
        <v>6.2100000000000002E-2</v>
      </c>
      <c r="E32" s="20">
        <v>5.1000000000000004E-3</v>
      </c>
      <c r="F32" s="20">
        <f t="shared" si="3"/>
        <v>5.7000000000000002E-2</v>
      </c>
      <c r="G32" s="27">
        <f>2296172-125262</f>
        <v>2170910</v>
      </c>
      <c r="H32" s="27"/>
      <c r="I32" s="26">
        <f t="shared" si="0"/>
        <v>2170910</v>
      </c>
      <c r="J32" s="26">
        <f t="shared" si="4"/>
        <v>1936374.5833333333</v>
      </c>
      <c r="K32" s="26">
        <f>+F32*J32</f>
        <v>110373.35124999999</v>
      </c>
      <c r="L32" s="26"/>
      <c r="M32" s="26"/>
      <c r="N32" s="26"/>
      <c r="O32" s="17">
        <f t="shared" si="5"/>
        <v>110373.35124999999</v>
      </c>
      <c r="P32" s="18">
        <v>2434643</v>
      </c>
      <c r="Q32" s="19"/>
      <c r="R32" s="18">
        <f t="shared" si="1"/>
        <v>2434643</v>
      </c>
      <c r="S32" s="17">
        <f t="shared" si="2"/>
        <v>2567258.9166666665</v>
      </c>
      <c r="T32" s="21">
        <v>4.3900000000000002E-2</v>
      </c>
    </row>
    <row r="33" spans="2:20" hidden="1" x14ac:dyDescent="0.2">
      <c r="B33" s="23"/>
      <c r="C33" s="15">
        <v>38565</v>
      </c>
      <c r="D33" s="20">
        <v>0.1169</v>
      </c>
      <c r="E33" s="20">
        <v>5.1000000000000004E-3</v>
      </c>
      <c r="F33" s="20">
        <f t="shared" si="3"/>
        <v>0.11180000000000001</v>
      </c>
      <c r="G33" s="27">
        <f>2390743-128923</f>
        <v>2261820</v>
      </c>
      <c r="H33" s="27"/>
      <c r="I33" s="26">
        <f t="shared" si="0"/>
        <v>2261820</v>
      </c>
      <c r="J33" s="26">
        <f t="shared" si="4"/>
        <v>1982032.6666666667</v>
      </c>
      <c r="K33" s="26">
        <f>+F33*J33-595</f>
        <v>220996.25213333336</v>
      </c>
      <c r="L33" s="26"/>
      <c r="M33" s="26"/>
      <c r="N33" s="26"/>
      <c r="O33" s="17">
        <f t="shared" si="5"/>
        <v>220996.25213333336</v>
      </c>
      <c r="P33" s="18">
        <v>3065696.05</v>
      </c>
      <c r="Q33" s="16"/>
      <c r="R33" s="18">
        <f t="shared" si="1"/>
        <v>3065696.05</v>
      </c>
      <c r="S33" s="17">
        <f t="shared" si="2"/>
        <v>2641051.1708333334</v>
      </c>
      <c r="T33" s="21">
        <f t="shared" ref="T33:T96" si="6">+O33/S32</f>
        <v>8.6082572621960271E-2</v>
      </c>
    </row>
    <row r="34" spans="2:20" hidden="1" x14ac:dyDescent="0.2">
      <c r="C34" s="15">
        <v>38596</v>
      </c>
      <c r="D34" s="20">
        <v>0.10680000000000001</v>
      </c>
      <c r="E34" s="20">
        <v>5.1000000000000004E-3</v>
      </c>
      <c r="F34" s="20">
        <f t="shared" si="3"/>
        <v>0.10170000000000001</v>
      </c>
      <c r="G34" s="27">
        <f>2335618-234864</f>
        <v>2100754</v>
      </c>
      <c r="H34" s="27"/>
      <c r="I34" s="26">
        <f t="shared" si="0"/>
        <v>2100754</v>
      </c>
      <c r="J34" s="26">
        <f t="shared" si="4"/>
        <v>2026102.4166666667</v>
      </c>
      <c r="K34" s="26">
        <f t="shared" ref="K34:K97" si="7">+F34*J34</f>
        <v>206054.61577500004</v>
      </c>
      <c r="L34" s="26"/>
      <c r="M34" s="26"/>
      <c r="N34" s="26"/>
      <c r="O34" s="17">
        <f t="shared" si="5"/>
        <v>206054.61577500004</v>
      </c>
      <c r="P34" s="18">
        <v>2549013.4700000002</v>
      </c>
      <c r="Q34" s="16"/>
      <c r="R34" s="18">
        <f t="shared" si="1"/>
        <v>2549013.4700000002</v>
      </c>
      <c r="S34" s="17">
        <f t="shared" si="2"/>
        <v>2670661.1266666665</v>
      </c>
      <c r="T34" s="21">
        <f t="shared" si="6"/>
        <v>7.8019925570008336E-2</v>
      </c>
    </row>
    <row r="35" spans="2:20" hidden="1" x14ac:dyDescent="0.2">
      <c r="C35" s="15">
        <v>38626</v>
      </c>
      <c r="D35" s="20">
        <v>0.10059999999999999</v>
      </c>
      <c r="E35" s="20">
        <v>5.1000000000000004E-3</v>
      </c>
      <c r="F35" s="20">
        <f t="shared" si="3"/>
        <v>9.5500000000000002E-2</v>
      </c>
      <c r="G35" s="27">
        <f>2166890-200028</f>
        <v>1966862</v>
      </c>
      <c r="H35" s="27"/>
      <c r="I35" s="26">
        <f t="shared" si="0"/>
        <v>1966862</v>
      </c>
      <c r="J35" s="26">
        <f t="shared" si="4"/>
        <v>2072740.75</v>
      </c>
      <c r="K35" s="26">
        <f t="shared" si="7"/>
        <v>197946.741625</v>
      </c>
      <c r="L35" s="26"/>
      <c r="M35" s="26"/>
      <c r="N35" s="26"/>
      <c r="O35" s="17">
        <f t="shared" si="5"/>
        <v>197946.741625</v>
      </c>
      <c r="P35" s="18">
        <v>2338979.1800000002</v>
      </c>
      <c r="Q35" s="16"/>
      <c r="R35" s="18">
        <f t="shared" si="1"/>
        <v>2338979.1800000002</v>
      </c>
      <c r="S35" s="17">
        <f t="shared" si="2"/>
        <v>2694060.5583333331</v>
      </c>
      <c r="T35" s="21">
        <f t="shared" si="6"/>
        <v>7.4119003586225612E-2</v>
      </c>
    </row>
    <row r="36" spans="2:20" hidden="1" x14ac:dyDescent="0.2">
      <c r="C36" s="15">
        <v>38657</v>
      </c>
      <c r="D36" s="20">
        <v>0.11269999999999999</v>
      </c>
      <c r="E36" s="20">
        <v>5.1000000000000004E-3</v>
      </c>
      <c r="F36" s="20">
        <f t="shared" si="3"/>
        <v>0.1076</v>
      </c>
      <c r="G36" s="27">
        <f>2477075-215937</f>
        <v>2261138</v>
      </c>
      <c r="H36" s="27"/>
      <c r="I36" s="26">
        <f t="shared" si="0"/>
        <v>2261138</v>
      </c>
      <c r="J36" s="26">
        <f t="shared" si="4"/>
        <v>2122043.1666666665</v>
      </c>
      <c r="K36" s="26">
        <f t="shared" si="7"/>
        <v>228331.84473333333</v>
      </c>
      <c r="L36" s="26"/>
      <c r="M36" s="26"/>
      <c r="N36" s="26"/>
      <c r="O36" s="17">
        <f t="shared" si="5"/>
        <v>228331.84473333333</v>
      </c>
      <c r="P36" s="18">
        <v>3062477.75</v>
      </c>
      <c r="Q36" s="18"/>
      <c r="R36" s="18">
        <f t="shared" si="1"/>
        <v>3062477.75</v>
      </c>
      <c r="S36" s="17">
        <f t="shared" si="2"/>
        <v>2741109.2041666666</v>
      </c>
      <c r="T36" s="21">
        <f t="shared" si="6"/>
        <v>8.4753790714559754E-2</v>
      </c>
    </row>
    <row r="37" spans="2:20" hidden="1" x14ac:dyDescent="0.2">
      <c r="C37" s="15">
        <v>38687</v>
      </c>
      <c r="D37" s="20">
        <v>6.1499999999999999E-2</v>
      </c>
      <c r="E37" s="20">
        <v>5.1000000000000004E-3</v>
      </c>
      <c r="F37" s="20">
        <f t="shared" si="3"/>
        <v>5.6399999999999999E-2</v>
      </c>
      <c r="G37" s="27">
        <f>3189117-309813</f>
        <v>2879304</v>
      </c>
      <c r="H37" s="27"/>
      <c r="I37" s="26">
        <f t="shared" si="0"/>
        <v>2879304</v>
      </c>
      <c r="J37" s="26">
        <f t="shared" ref="J37:J42" si="8">SUM(I26:I37)/12</f>
        <v>2154281.25</v>
      </c>
      <c r="K37" s="26">
        <f t="shared" si="7"/>
        <v>121501.46249999999</v>
      </c>
      <c r="L37" s="26"/>
      <c r="M37" s="26"/>
      <c r="N37" s="26"/>
      <c r="O37" s="17">
        <f t="shared" si="5"/>
        <v>121501.46249999999</v>
      </c>
      <c r="P37" s="18">
        <v>3705060.24</v>
      </c>
      <c r="Q37" s="16"/>
      <c r="R37" s="18">
        <f t="shared" si="1"/>
        <v>3705060.24</v>
      </c>
      <c r="S37" s="17">
        <f t="shared" ref="S37:S98" si="9">SUM(R26:R37)/12</f>
        <v>2796805.2241666666</v>
      </c>
      <c r="T37" s="21">
        <f t="shared" si="6"/>
        <v>4.4325655583261611E-2</v>
      </c>
    </row>
    <row r="38" spans="2:20" hidden="1" x14ac:dyDescent="0.2">
      <c r="C38" s="15">
        <v>38718</v>
      </c>
      <c r="D38" s="20">
        <v>8.4400000000000003E-2</v>
      </c>
      <c r="E38" s="20">
        <v>5.1000000000000004E-3</v>
      </c>
      <c r="F38" s="20">
        <f t="shared" si="3"/>
        <v>7.9300000000000009E-2</v>
      </c>
      <c r="G38" s="27">
        <f>2933073-156592</f>
        <v>2776481</v>
      </c>
      <c r="H38" s="27"/>
      <c r="I38" s="26">
        <f t="shared" si="0"/>
        <v>2776481</v>
      </c>
      <c r="J38" s="26">
        <f t="shared" si="8"/>
        <v>2167597.8333333335</v>
      </c>
      <c r="K38" s="26">
        <f t="shared" si="7"/>
        <v>171890.50818333335</v>
      </c>
      <c r="L38" s="26"/>
      <c r="M38" s="26"/>
      <c r="N38" s="26"/>
      <c r="O38" s="17">
        <f t="shared" si="5"/>
        <v>171890.50818333335</v>
      </c>
      <c r="P38" s="18">
        <v>3084607.67</v>
      </c>
      <c r="Q38" s="16"/>
      <c r="R38" s="18">
        <f t="shared" si="1"/>
        <v>3084607.67</v>
      </c>
      <c r="S38" s="17">
        <f t="shared" si="9"/>
        <v>2813837.8633333333</v>
      </c>
      <c r="T38" s="21">
        <f t="shared" si="6"/>
        <v>6.1459592072433178E-2</v>
      </c>
    </row>
    <row r="39" spans="2:20" hidden="1" x14ac:dyDescent="0.2">
      <c r="C39" s="15">
        <v>38749</v>
      </c>
      <c r="D39" s="20">
        <v>9.2600000000000002E-2</v>
      </c>
      <c r="E39" s="20">
        <v>5.1000000000000004E-3</v>
      </c>
      <c r="F39" s="20">
        <f t="shared" si="3"/>
        <v>8.7499999999999994E-2</v>
      </c>
      <c r="G39" s="27">
        <f>2708316-198989</f>
        <v>2509327</v>
      </c>
      <c r="H39" s="27"/>
      <c r="I39" s="26">
        <f t="shared" si="0"/>
        <v>2509327</v>
      </c>
      <c r="J39" s="26">
        <f t="shared" si="8"/>
        <v>2182915.9166666665</v>
      </c>
      <c r="K39" s="26">
        <f t="shared" si="7"/>
        <v>191005.1427083333</v>
      </c>
      <c r="L39" s="26"/>
      <c r="M39" s="26"/>
      <c r="N39" s="26"/>
      <c r="O39" s="17">
        <f t="shared" si="5"/>
        <v>191005.1427083333</v>
      </c>
      <c r="P39" s="18">
        <v>3713179.57</v>
      </c>
      <c r="Q39" s="18"/>
      <c r="R39" s="18">
        <f t="shared" si="1"/>
        <v>3713179.57</v>
      </c>
      <c r="S39" s="17">
        <f t="shared" si="9"/>
        <v>2859330.3275000001</v>
      </c>
      <c r="T39" s="21">
        <f t="shared" si="6"/>
        <v>6.7880649840309018E-2</v>
      </c>
    </row>
    <row r="40" spans="2:20" hidden="1" x14ac:dyDescent="0.2">
      <c r="C40" s="15">
        <v>38777</v>
      </c>
      <c r="D40" s="20">
        <v>9.5899999999999999E-2</v>
      </c>
      <c r="E40" s="20">
        <v>5.1000000000000004E-3</v>
      </c>
      <c r="F40" s="20">
        <f t="shared" si="3"/>
        <v>9.0799999999999992E-2</v>
      </c>
      <c r="G40" s="27">
        <f>2443031-196565</f>
        <v>2246466</v>
      </c>
      <c r="H40" s="27"/>
      <c r="I40" s="26">
        <f t="shared" si="0"/>
        <v>2246466</v>
      </c>
      <c r="J40" s="26">
        <f t="shared" si="8"/>
        <v>2186708</v>
      </c>
      <c r="K40" s="26">
        <f t="shared" si="7"/>
        <v>198553.08639999997</v>
      </c>
      <c r="L40" s="26"/>
      <c r="M40" s="26"/>
      <c r="N40" s="26"/>
      <c r="O40" s="17">
        <f t="shared" si="5"/>
        <v>198553.08639999997</v>
      </c>
      <c r="P40" s="18">
        <v>3320479.51</v>
      </c>
      <c r="Q40" s="16"/>
      <c r="R40" s="18">
        <f t="shared" si="1"/>
        <v>3320479.51</v>
      </c>
      <c r="S40" s="17">
        <f t="shared" si="9"/>
        <v>2866118.2033333336</v>
      </c>
      <c r="T40" s="21">
        <f t="shared" si="6"/>
        <v>6.9440415642218228E-2</v>
      </c>
    </row>
    <row r="41" spans="2:20" hidden="1" x14ac:dyDescent="0.2">
      <c r="C41" s="15">
        <v>38808</v>
      </c>
      <c r="D41" s="20">
        <v>9.4100000000000003E-2</v>
      </c>
      <c r="E41" s="20">
        <v>5.1000000000000004E-3</v>
      </c>
      <c r="F41" s="20">
        <f t="shared" si="3"/>
        <v>8.8999999999999996E-2</v>
      </c>
      <c r="G41" s="28">
        <f>1907554-158789</f>
        <v>1748765</v>
      </c>
      <c r="H41" s="27"/>
      <c r="I41" s="26">
        <f t="shared" si="0"/>
        <v>1748765</v>
      </c>
      <c r="J41" s="26">
        <f t="shared" si="8"/>
        <v>2196782.0833333335</v>
      </c>
      <c r="K41" s="26">
        <f t="shared" si="7"/>
        <v>195513.60541666666</v>
      </c>
      <c r="L41" s="26"/>
      <c r="M41" s="26"/>
      <c r="N41" s="26"/>
      <c r="O41" s="17">
        <f t="shared" si="5"/>
        <v>195513.60541666666</v>
      </c>
      <c r="P41" s="18">
        <v>2291865.63</v>
      </c>
      <c r="Q41" s="16"/>
      <c r="R41" s="18">
        <f t="shared" si="1"/>
        <v>2291865.63</v>
      </c>
      <c r="S41" s="17">
        <f t="shared" si="9"/>
        <v>2870849.0058333338</v>
      </c>
      <c r="T41" s="21">
        <f t="shared" si="6"/>
        <v>6.8215471779664125E-2</v>
      </c>
    </row>
    <row r="42" spans="2:20" hidden="1" x14ac:dyDescent="0.2">
      <c r="C42" s="15">
        <v>38838</v>
      </c>
      <c r="D42" s="20">
        <v>0.10199999999999999</v>
      </c>
      <c r="E42" s="20">
        <v>5.1000000000000004E-3</v>
      </c>
      <c r="F42" s="20">
        <f t="shared" si="3"/>
        <v>9.6899999999999986E-2</v>
      </c>
      <c r="G42" s="28">
        <f>2067007-168930</f>
        <v>1898077</v>
      </c>
      <c r="H42" s="27"/>
      <c r="I42" s="26">
        <f t="shared" si="0"/>
        <v>1898077</v>
      </c>
      <c r="J42" s="26">
        <f t="shared" si="8"/>
        <v>2220399.6666666665</v>
      </c>
      <c r="K42" s="26">
        <f t="shared" si="7"/>
        <v>215156.72769999996</v>
      </c>
      <c r="L42" s="26"/>
      <c r="M42" s="26"/>
      <c r="N42" s="26"/>
      <c r="O42" s="17">
        <f t="shared" si="5"/>
        <v>215156.72769999996</v>
      </c>
      <c r="P42" s="18">
        <v>2404503.81</v>
      </c>
      <c r="Q42" s="16"/>
      <c r="R42" s="18">
        <f t="shared" si="1"/>
        <v>2404503.81</v>
      </c>
      <c r="S42" s="17">
        <f t="shared" si="9"/>
        <v>2878413.6566666663</v>
      </c>
      <c r="T42" s="21">
        <f t="shared" si="6"/>
        <v>7.4945330549540862E-2</v>
      </c>
    </row>
    <row r="43" spans="2:20" hidden="1" x14ac:dyDescent="0.2">
      <c r="C43" s="15">
        <v>38869</v>
      </c>
      <c r="D43" s="20">
        <v>0.1079</v>
      </c>
      <c r="E43" s="20">
        <v>5.1000000000000004E-3</v>
      </c>
      <c r="F43" s="20">
        <f t="shared" si="3"/>
        <v>0.1028</v>
      </c>
      <c r="G43" s="28">
        <f>2253410-199066</f>
        <v>2054344</v>
      </c>
      <c r="H43" s="27"/>
      <c r="I43" s="26">
        <f t="shared" si="0"/>
        <v>2054344</v>
      </c>
      <c r="J43" s="26">
        <f t="shared" ref="J43:J48" si="10">SUM(I32:I43)/12</f>
        <v>2239520.6666666665</v>
      </c>
      <c r="K43" s="26">
        <f t="shared" si="7"/>
        <v>230222.72453333333</v>
      </c>
      <c r="L43" s="26"/>
      <c r="M43" s="26"/>
      <c r="N43" s="26"/>
      <c r="O43" s="17">
        <f t="shared" si="5"/>
        <v>230222.72453333333</v>
      </c>
      <c r="P43" s="18">
        <v>2850905.7</v>
      </c>
      <c r="Q43" s="16"/>
      <c r="R43" s="18">
        <f t="shared" si="1"/>
        <v>2850905.7</v>
      </c>
      <c r="S43" s="17">
        <f t="shared" si="9"/>
        <v>2901784.2983333333</v>
      </c>
      <c r="T43" s="21">
        <f t="shared" si="6"/>
        <v>7.9982501472683293E-2</v>
      </c>
    </row>
    <row r="44" spans="2:20" hidden="1" x14ac:dyDescent="0.2">
      <c r="C44" s="15">
        <v>38899</v>
      </c>
      <c r="D44" s="20">
        <v>0.13469999999999999</v>
      </c>
      <c r="E44" s="20">
        <v>5.1000000000000004E-3</v>
      </c>
      <c r="F44" s="20">
        <f t="shared" si="3"/>
        <v>0.12959999999999999</v>
      </c>
      <c r="G44" s="28">
        <f>2415895-225203</f>
        <v>2190692</v>
      </c>
      <c r="H44" s="27"/>
      <c r="I44" s="26">
        <f t="shared" si="0"/>
        <v>2190692</v>
      </c>
      <c r="J44" s="26">
        <f t="shared" si="10"/>
        <v>2241169.1666666665</v>
      </c>
      <c r="K44" s="26">
        <f t="shared" si="7"/>
        <v>290455.52399999998</v>
      </c>
      <c r="L44" s="26"/>
      <c r="M44" s="26"/>
      <c r="N44" s="26"/>
      <c r="O44" s="17">
        <f t="shared" si="5"/>
        <v>290455.52399999998</v>
      </c>
      <c r="P44" s="18">
        <f>2770481.52</f>
        <v>2770481.52</v>
      </c>
      <c r="Q44" s="16"/>
      <c r="R44" s="18">
        <f t="shared" si="1"/>
        <v>2770481.52</v>
      </c>
      <c r="S44" s="17">
        <f t="shared" si="9"/>
        <v>2929770.8416666663</v>
      </c>
      <c r="T44" s="21">
        <f t="shared" si="6"/>
        <v>0.10009549095941618</v>
      </c>
    </row>
    <row r="45" spans="2:20" hidden="1" x14ac:dyDescent="0.2">
      <c r="C45" s="15">
        <v>38930</v>
      </c>
      <c r="D45" s="20">
        <v>0.13</v>
      </c>
      <c r="E45" s="20">
        <v>5.1000000000000004E-3</v>
      </c>
      <c r="F45" s="20">
        <f t="shared" si="3"/>
        <v>0.12490000000000001</v>
      </c>
      <c r="G45" s="28">
        <f>2633522-302145</f>
        <v>2331377</v>
      </c>
      <c r="H45" s="27"/>
      <c r="I45" s="26">
        <f t="shared" si="0"/>
        <v>2331377</v>
      </c>
      <c r="J45" s="26">
        <f t="shared" si="10"/>
        <v>2246965.5833333335</v>
      </c>
      <c r="K45" s="26">
        <f t="shared" si="7"/>
        <v>280646.00135833339</v>
      </c>
      <c r="L45" s="26"/>
      <c r="M45" s="26"/>
      <c r="N45" s="26"/>
      <c r="O45" s="17">
        <f t="shared" si="5"/>
        <v>280646.00135833339</v>
      </c>
      <c r="P45" s="18">
        <v>3273162.77</v>
      </c>
      <c r="Q45" s="16"/>
      <c r="R45" s="18">
        <f t="shared" si="1"/>
        <v>3273162.77</v>
      </c>
      <c r="S45" s="17">
        <f t="shared" si="9"/>
        <v>2947059.7349999999</v>
      </c>
      <c r="T45" s="21">
        <f t="shared" si="6"/>
        <v>9.5791110132928209E-2</v>
      </c>
    </row>
    <row r="46" spans="2:20" hidden="1" x14ac:dyDescent="0.2">
      <c r="C46" s="15">
        <v>38961</v>
      </c>
      <c r="D46" s="20">
        <v>0.11799999999999999</v>
      </c>
      <c r="E46" s="20">
        <v>5.1000000000000004E-3</v>
      </c>
      <c r="F46" s="20">
        <f t="shared" si="3"/>
        <v>0.1129</v>
      </c>
      <c r="G46" s="28">
        <f>1973592-219130</f>
        <v>1754462</v>
      </c>
      <c r="H46" s="27"/>
      <c r="I46" s="26">
        <f t="shared" si="0"/>
        <v>1754462</v>
      </c>
      <c r="J46" s="26">
        <f t="shared" si="10"/>
        <v>2218107.9166666665</v>
      </c>
      <c r="K46" s="26">
        <f t="shared" si="7"/>
        <v>250424.38379166665</v>
      </c>
      <c r="L46" s="26"/>
      <c r="M46" s="26"/>
      <c r="N46" s="26"/>
      <c r="O46" s="17">
        <f t="shared" si="5"/>
        <v>250424.38379166665</v>
      </c>
      <c r="P46" s="18">
        <v>2409534.8199999998</v>
      </c>
      <c r="Q46" s="16"/>
      <c r="R46" s="18">
        <f t="shared" si="1"/>
        <v>2409534.8199999998</v>
      </c>
      <c r="S46" s="17">
        <f t="shared" si="9"/>
        <v>2935436.5141666662</v>
      </c>
      <c r="T46" s="21">
        <f t="shared" si="6"/>
        <v>8.4974315524577126E-2</v>
      </c>
    </row>
    <row r="47" spans="2:20" hidden="1" x14ac:dyDescent="0.2">
      <c r="C47" s="15">
        <v>38991</v>
      </c>
      <c r="D47" s="20">
        <v>0.10440000000000001</v>
      </c>
      <c r="E47" s="20">
        <v>5.1000000000000004E-3</v>
      </c>
      <c r="F47" s="20">
        <f t="shared" si="3"/>
        <v>9.9299999999999999E-2</v>
      </c>
      <c r="G47" s="28">
        <f>2283452-231648</f>
        <v>2051804</v>
      </c>
      <c r="H47" s="27"/>
      <c r="I47" s="26">
        <f t="shared" si="0"/>
        <v>2051804</v>
      </c>
      <c r="J47" s="26">
        <f t="shared" si="10"/>
        <v>2225186.4166666665</v>
      </c>
      <c r="K47" s="26">
        <f t="shared" si="7"/>
        <v>220961.01117499999</v>
      </c>
      <c r="L47" s="26"/>
      <c r="M47" s="26"/>
      <c r="N47" s="26"/>
      <c r="O47" s="17">
        <f t="shared" si="5"/>
        <v>220961.01117499999</v>
      </c>
      <c r="P47" s="18">
        <v>2691513.36</v>
      </c>
      <c r="Q47" s="16"/>
      <c r="R47" s="18">
        <f t="shared" si="1"/>
        <v>2691513.36</v>
      </c>
      <c r="S47" s="17">
        <f t="shared" si="9"/>
        <v>2964814.3625000003</v>
      </c>
      <c r="T47" s="21">
        <f t="shared" si="6"/>
        <v>7.5273646733159907E-2</v>
      </c>
    </row>
    <row r="48" spans="2:20" hidden="1" x14ac:dyDescent="0.2">
      <c r="C48" s="15">
        <v>39022</v>
      </c>
      <c r="D48" s="20">
        <v>0.1002</v>
      </c>
      <c r="E48" s="20">
        <v>5.1000000000000004E-3</v>
      </c>
      <c r="F48" s="20">
        <f t="shared" si="3"/>
        <v>9.509999999999999E-2</v>
      </c>
      <c r="G48" s="28">
        <f>2257782-203947</f>
        <v>2053835</v>
      </c>
      <c r="H48" s="27"/>
      <c r="I48" s="26">
        <f t="shared" si="0"/>
        <v>2053835</v>
      </c>
      <c r="J48" s="26">
        <f t="shared" si="10"/>
        <v>2207911.1666666665</v>
      </c>
      <c r="K48" s="26">
        <f t="shared" si="7"/>
        <v>209972.35194999995</v>
      </c>
      <c r="L48" s="26"/>
      <c r="M48" s="26"/>
      <c r="N48" s="26"/>
      <c r="O48" s="17">
        <f t="shared" si="5"/>
        <v>209972.35194999995</v>
      </c>
      <c r="P48" s="18">
        <v>3110706.4</v>
      </c>
      <c r="Q48" s="16"/>
      <c r="R48" s="18">
        <f t="shared" si="1"/>
        <v>3110706.4</v>
      </c>
      <c r="S48" s="17">
        <f t="shared" si="9"/>
        <v>2968833.4166666665</v>
      </c>
      <c r="T48" s="21">
        <f t="shared" si="6"/>
        <v>7.0821416209325971E-2</v>
      </c>
    </row>
    <row r="49" spans="3:22" hidden="1" x14ac:dyDescent="0.2">
      <c r="C49" s="15">
        <v>39052</v>
      </c>
      <c r="D49" s="20">
        <v>8.8499999999999995E-2</v>
      </c>
      <c r="E49" s="20">
        <v>5.1000000000000004E-3</v>
      </c>
      <c r="F49" s="20">
        <f t="shared" si="3"/>
        <v>8.3400000000000002E-2</v>
      </c>
      <c r="G49" s="28">
        <f>2790548-242335</f>
        <v>2548213</v>
      </c>
      <c r="H49" s="27"/>
      <c r="I49" s="26">
        <f t="shared" si="0"/>
        <v>2548213</v>
      </c>
      <c r="J49" s="26">
        <f t="shared" ref="J49:J54" si="11">SUM(I38:I49)/12</f>
        <v>2180320.25</v>
      </c>
      <c r="K49" s="26">
        <f t="shared" si="7"/>
        <v>181838.70885</v>
      </c>
      <c r="L49" s="26"/>
      <c r="M49" s="26"/>
      <c r="N49" s="26"/>
      <c r="O49" s="17">
        <f t="shared" si="5"/>
        <v>181838.70885</v>
      </c>
      <c r="P49" s="18">
        <v>3172598.52</v>
      </c>
      <c r="Q49" s="16"/>
      <c r="R49" s="18">
        <f t="shared" si="1"/>
        <v>3172598.52</v>
      </c>
      <c r="S49" s="17">
        <f t="shared" si="9"/>
        <v>2924461.6066666669</v>
      </c>
      <c r="T49" s="21">
        <f t="shared" si="6"/>
        <v>6.1249212511951596E-2</v>
      </c>
    </row>
    <row r="50" spans="3:22" hidden="1" x14ac:dyDescent="0.2">
      <c r="C50" s="15">
        <v>39083</v>
      </c>
      <c r="D50" s="20">
        <v>9.8799999999999999E-2</v>
      </c>
      <c r="E50" s="20">
        <v>5.1000000000000004E-3</v>
      </c>
      <c r="F50" s="20">
        <f t="shared" si="3"/>
        <v>9.3700000000000006E-2</v>
      </c>
      <c r="G50" s="28">
        <f>3039307-233963</f>
        <v>2805344</v>
      </c>
      <c r="H50" s="27"/>
      <c r="I50" s="26">
        <f t="shared" si="0"/>
        <v>2805344</v>
      </c>
      <c r="J50" s="26">
        <f t="shared" si="11"/>
        <v>2182725.5</v>
      </c>
      <c r="K50" s="26">
        <f t="shared" si="7"/>
        <v>204521.37935</v>
      </c>
      <c r="L50" s="26"/>
      <c r="M50" s="26"/>
      <c r="N50" s="26">
        <v>42196</v>
      </c>
      <c r="O50" s="17">
        <f t="shared" si="5"/>
        <v>246717.37935</v>
      </c>
      <c r="P50" s="18">
        <v>3558100.34</v>
      </c>
      <c r="Q50" s="16"/>
      <c r="R50" s="18">
        <f t="shared" si="1"/>
        <v>3558100.34</v>
      </c>
      <c r="S50" s="17">
        <f t="shared" si="9"/>
        <v>2963919.3291666671</v>
      </c>
      <c r="T50" s="21">
        <f t="shared" si="6"/>
        <v>8.4363350432632669E-2</v>
      </c>
    </row>
    <row r="51" spans="3:22" hidden="1" x14ac:dyDescent="0.2">
      <c r="C51" s="15">
        <v>39114</v>
      </c>
      <c r="D51" s="20">
        <v>9.5500000000000002E-2</v>
      </c>
      <c r="E51" s="20">
        <v>5.1000000000000004E-3</v>
      </c>
      <c r="F51" s="20">
        <f t="shared" si="3"/>
        <v>9.0400000000000008E-2</v>
      </c>
      <c r="G51" s="28">
        <f>3132528-268372</f>
        <v>2864156</v>
      </c>
      <c r="H51" s="27"/>
      <c r="I51" s="26">
        <f t="shared" si="0"/>
        <v>2864156</v>
      </c>
      <c r="J51" s="26">
        <f t="shared" si="11"/>
        <v>2212294.5833333335</v>
      </c>
      <c r="K51" s="26">
        <f t="shared" si="7"/>
        <v>199991.43033333335</v>
      </c>
      <c r="L51" s="26"/>
      <c r="M51" s="26"/>
      <c r="N51" s="26">
        <v>42196</v>
      </c>
      <c r="O51" s="17">
        <f t="shared" si="5"/>
        <v>242187.43033333335</v>
      </c>
      <c r="P51" s="18">
        <v>4053594.25</v>
      </c>
      <c r="Q51" s="16"/>
      <c r="R51" s="18">
        <f t="shared" si="1"/>
        <v>4053594.25</v>
      </c>
      <c r="S51" s="17">
        <f t="shared" si="9"/>
        <v>2992287.2191666663</v>
      </c>
      <c r="T51" s="21">
        <f t="shared" si="6"/>
        <v>8.1711883299275409E-2</v>
      </c>
    </row>
    <row r="52" spans="3:22" hidden="1" x14ac:dyDescent="0.2">
      <c r="C52" s="15">
        <v>39142</v>
      </c>
      <c r="D52" s="20">
        <v>9.8299999999999998E-2</v>
      </c>
      <c r="E52" s="20">
        <v>5.1000000000000004E-3</v>
      </c>
      <c r="F52" s="20">
        <f t="shared" si="3"/>
        <v>9.3200000000000005E-2</v>
      </c>
      <c r="G52" s="28">
        <f>2763977-229149</f>
        <v>2534828</v>
      </c>
      <c r="H52" s="27"/>
      <c r="I52" s="26">
        <f t="shared" si="0"/>
        <v>2534828</v>
      </c>
      <c r="J52" s="26">
        <f t="shared" si="11"/>
        <v>2236324.75</v>
      </c>
      <c r="K52" s="26">
        <f t="shared" si="7"/>
        <v>208425.46670000002</v>
      </c>
      <c r="L52" s="26"/>
      <c r="M52" s="26"/>
      <c r="N52" s="26">
        <v>42196</v>
      </c>
      <c r="O52" s="17">
        <f t="shared" si="5"/>
        <v>250621.46670000002</v>
      </c>
      <c r="P52" s="18">
        <v>3030872.37</v>
      </c>
      <c r="Q52" s="16"/>
      <c r="R52" s="18">
        <f t="shared" si="1"/>
        <v>3030872.37</v>
      </c>
      <c r="S52" s="17">
        <f t="shared" si="9"/>
        <v>2968153.290833333</v>
      </c>
      <c r="T52" s="21">
        <f t="shared" si="6"/>
        <v>8.3755818991800055E-2</v>
      </c>
    </row>
    <row r="53" spans="3:22" hidden="1" x14ac:dyDescent="0.2">
      <c r="C53" s="15">
        <v>39173</v>
      </c>
      <c r="D53" s="20">
        <v>7.3400000000000007E-2</v>
      </c>
      <c r="E53" s="20">
        <v>5.1000000000000004E-3</v>
      </c>
      <c r="F53" s="20">
        <f t="shared" si="3"/>
        <v>6.83E-2</v>
      </c>
      <c r="G53" s="28">
        <f>2329609-198609</f>
        <v>2131000</v>
      </c>
      <c r="H53" s="27"/>
      <c r="I53" s="26">
        <f t="shared" si="0"/>
        <v>2131000</v>
      </c>
      <c r="J53" s="26">
        <f t="shared" si="11"/>
        <v>2268177.6666666665</v>
      </c>
      <c r="K53" s="26">
        <f t="shared" si="7"/>
        <v>154916.53463333333</v>
      </c>
      <c r="L53" s="26"/>
      <c r="M53" s="26"/>
      <c r="N53" s="26">
        <v>42196</v>
      </c>
      <c r="O53" s="17">
        <f t="shared" si="5"/>
        <v>197112.53463333333</v>
      </c>
      <c r="P53" s="18">
        <v>3175675.39</v>
      </c>
      <c r="Q53" s="16"/>
      <c r="R53" s="18">
        <f t="shared" si="1"/>
        <v>3175675.39</v>
      </c>
      <c r="S53" s="17">
        <f t="shared" si="9"/>
        <v>3041804.1041666665</v>
      </c>
      <c r="T53" s="21">
        <f t="shared" si="6"/>
        <v>6.6409149164257747E-2</v>
      </c>
    </row>
    <row r="54" spans="3:22" hidden="1" x14ac:dyDescent="0.2">
      <c r="C54" s="15">
        <v>39203</v>
      </c>
      <c r="D54" s="20">
        <v>9.2299999999999993E-2</v>
      </c>
      <c r="E54" s="20">
        <v>5.1000000000000004E-3</v>
      </c>
      <c r="F54" s="20">
        <f t="shared" si="3"/>
        <v>8.72E-2</v>
      </c>
      <c r="G54" s="28">
        <f>2547950-162898</f>
        <v>2385052</v>
      </c>
      <c r="H54" s="27"/>
      <c r="I54" s="26">
        <f t="shared" si="0"/>
        <v>2385052</v>
      </c>
      <c r="J54" s="26">
        <f t="shared" si="11"/>
        <v>2308758.9166666665</v>
      </c>
      <c r="K54" s="26">
        <f t="shared" si="7"/>
        <v>201323.77753333331</v>
      </c>
      <c r="L54" s="26"/>
      <c r="M54" s="26"/>
      <c r="N54" s="26">
        <v>42196</v>
      </c>
      <c r="O54" s="17">
        <f t="shared" si="5"/>
        <v>243519.77753333331</v>
      </c>
      <c r="P54" s="18">
        <v>2775893.62</v>
      </c>
      <c r="Q54" s="16"/>
      <c r="R54" s="18">
        <f t="shared" si="1"/>
        <v>2775893.62</v>
      </c>
      <c r="S54" s="17">
        <f t="shared" si="9"/>
        <v>3072753.2549999994</v>
      </c>
      <c r="T54" s="21">
        <f t="shared" si="6"/>
        <v>8.0057679322530884E-2</v>
      </c>
    </row>
    <row r="55" spans="3:22" hidden="1" x14ac:dyDescent="0.2">
      <c r="C55" s="15">
        <v>39234</v>
      </c>
      <c r="D55" s="20">
        <v>9.4700000000000006E-2</v>
      </c>
      <c r="E55" s="20">
        <v>5.1000000000000004E-3</v>
      </c>
      <c r="F55" s="20">
        <f t="shared" si="3"/>
        <v>8.9600000000000013E-2</v>
      </c>
      <c r="G55" s="28">
        <f>2231724-179000</f>
        <v>2052724</v>
      </c>
      <c r="H55" s="27"/>
      <c r="I55" s="26">
        <f t="shared" si="0"/>
        <v>2052724</v>
      </c>
      <c r="J55" s="26">
        <f t="shared" ref="J55:J60" si="12">SUM(I44:I55)/12</f>
        <v>2308623.9166666665</v>
      </c>
      <c r="K55" s="26">
        <f t="shared" si="7"/>
        <v>206852.70293333335</v>
      </c>
      <c r="L55" s="26"/>
      <c r="M55" s="26"/>
      <c r="N55" s="26">
        <v>42196</v>
      </c>
      <c r="O55" s="17">
        <f t="shared" si="5"/>
        <v>249048.70293333335</v>
      </c>
      <c r="P55" s="18">
        <v>3192335.66</v>
      </c>
      <c r="Q55" s="16"/>
      <c r="R55" s="18">
        <f t="shared" si="1"/>
        <v>3192335.66</v>
      </c>
      <c r="S55" s="17">
        <f t="shared" si="9"/>
        <v>3101205.7516666665</v>
      </c>
      <c r="T55" s="21">
        <f t="shared" si="6"/>
        <v>8.1050667679899144E-2</v>
      </c>
    </row>
    <row r="56" spans="3:22" hidden="1" x14ac:dyDescent="0.2">
      <c r="C56" s="15">
        <v>39264</v>
      </c>
      <c r="D56" s="20">
        <v>0.108</v>
      </c>
      <c r="E56" s="20">
        <v>5.1000000000000004E-3</v>
      </c>
      <c r="F56" s="20">
        <f t="shared" si="3"/>
        <v>0.10289999999999999</v>
      </c>
      <c r="G56" s="28">
        <f>2406055-197856</f>
        <v>2208199</v>
      </c>
      <c r="H56" s="27"/>
      <c r="I56" s="26">
        <f t="shared" si="0"/>
        <v>2208199</v>
      </c>
      <c r="J56" s="26">
        <f t="shared" si="12"/>
        <v>2310082.8333333335</v>
      </c>
      <c r="K56" s="26">
        <f t="shared" si="7"/>
        <v>237707.52354999998</v>
      </c>
      <c r="L56" s="26"/>
      <c r="M56" s="26"/>
      <c r="N56" s="26"/>
      <c r="O56" s="17">
        <f t="shared" si="5"/>
        <v>237707.52354999998</v>
      </c>
      <c r="P56" s="18">
        <v>2904434.81</v>
      </c>
      <c r="Q56" s="16"/>
      <c r="R56" s="18">
        <f t="shared" si="1"/>
        <v>2904434.81</v>
      </c>
      <c r="S56" s="17">
        <f t="shared" si="9"/>
        <v>3112368.5258333334</v>
      </c>
      <c r="T56" s="21">
        <f t="shared" si="6"/>
        <v>7.6650033111234223E-2</v>
      </c>
    </row>
    <row r="57" spans="3:22" hidden="1" x14ac:dyDescent="0.2">
      <c r="C57" s="15">
        <v>39295</v>
      </c>
      <c r="D57" s="20">
        <v>0.1105</v>
      </c>
      <c r="E57" s="20">
        <v>5.1000000000000004E-3</v>
      </c>
      <c r="F57" s="20">
        <f t="shared" si="3"/>
        <v>0.10539999999999999</v>
      </c>
      <c r="G57" s="28">
        <f>2900115-270580</f>
        <v>2629535</v>
      </c>
      <c r="H57" s="27"/>
      <c r="I57" s="26">
        <f t="shared" si="0"/>
        <v>2629535</v>
      </c>
      <c r="J57" s="26">
        <f t="shared" si="12"/>
        <v>2334929.3333333335</v>
      </c>
      <c r="K57" s="26">
        <f t="shared" si="7"/>
        <v>246101.55173333333</v>
      </c>
      <c r="L57" s="26"/>
      <c r="M57" s="26"/>
      <c r="N57" s="26"/>
      <c r="O57" s="17">
        <f t="shared" si="5"/>
        <v>246101.55173333333</v>
      </c>
      <c r="P57" s="18">
        <v>4026227.89</v>
      </c>
      <c r="Q57" s="16"/>
      <c r="R57" s="18">
        <f t="shared" si="1"/>
        <v>4026227.89</v>
      </c>
      <c r="S57" s="17">
        <f t="shared" si="9"/>
        <v>3175123.9525000001</v>
      </c>
      <c r="T57" s="21">
        <f t="shared" si="6"/>
        <v>7.9072111702273393E-2</v>
      </c>
    </row>
    <row r="58" spans="3:22" hidden="1" x14ac:dyDescent="0.2">
      <c r="C58" s="15">
        <v>39326</v>
      </c>
      <c r="D58" s="20">
        <v>0.1009</v>
      </c>
      <c r="E58" s="20">
        <v>5.1000000000000004E-3</v>
      </c>
      <c r="F58" s="20">
        <f t="shared" si="3"/>
        <v>9.5799999999999996E-2</v>
      </c>
      <c r="G58" s="28">
        <f>2634890-251236</f>
        <v>2383654</v>
      </c>
      <c r="H58" s="27"/>
      <c r="I58" s="26">
        <f t="shared" si="0"/>
        <v>2383654</v>
      </c>
      <c r="J58" s="26">
        <f t="shared" si="12"/>
        <v>2387362</v>
      </c>
      <c r="K58" s="26">
        <f t="shared" si="7"/>
        <v>228709.27959999998</v>
      </c>
      <c r="L58" s="26"/>
      <c r="M58" s="26"/>
      <c r="N58" s="26"/>
      <c r="O58" s="17">
        <f t="shared" si="5"/>
        <v>228709.27959999998</v>
      </c>
      <c r="P58" s="18">
        <v>2665398.33</v>
      </c>
      <c r="Q58" s="16"/>
      <c r="R58" s="18">
        <f t="shared" si="1"/>
        <v>2665398.33</v>
      </c>
      <c r="S58" s="17">
        <f t="shared" si="9"/>
        <v>3196445.9116666666</v>
      </c>
      <c r="T58" s="21">
        <f t="shared" si="6"/>
        <v>7.2031606646386498E-2</v>
      </c>
    </row>
    <row r="59" spans="3:22" hidden="1" x14ac:dyDescent="0.2">
      <c r="C59" s="15">
        <v>39356</v>
      </c>
      <c r="D59" s="20">
        <v>9.0499999999999997E-2</v>
      </c>
      <c r="E59" s="20">
        <v>5.1000000000000004E-3</v>
      </c>
      <c r="F59" s="20">
        <f t="shared" si="3"/>
        <v>8.5400000000000004E-2</v>
      </c>
      <c r="G59" s="28">
        <f>2193593-191774</f>
        <v>2001819</v>
      </c>
      <c r="H59" s="27"/>
      <c r="I59" s="26">
        <f t="shared" si="0"/>
        <v>2001819</v>
      </c>
      <c r="J59" s="26">
        <f t="shared" si="12"/>
        <v>2383196.5833333335</v>
      </c>
      <c r="K59" s="26">
        <f t="shared" si="7"/>
        <v>203524.98821666668</v>
      </c>
      <c r="L59" s="26"/>
      <c r="M59" s="26"/>
      <c r="N59" s="26"/>
      <c r="O59" s="17">
        <f t="shared" si="5"/>
        <v>203524.98821666668</v>
      </c>
      <c r="P59" s="18">
        <v>2958941.42</v>
      </c>
      <c r="Q59" s="16"/>
      <c r="R59" s="18">
        <f t="shared" si="1"/>
        <v>2958941.42</v>
      </c>
      <c r="S59" s="17">
        <f t="shared" si="9"/>
        <v>3218731.5833333335</v>
      </c>
      <c r="T59" s="21">
        <f t="shared" si="6"/>
        <v>6.3672276597524599E-2</v>
      </c>
    </row>
    <row r="60" spans="3:22" hidden="1" x14ac:dyDescent="0.2">
      <c r="C60" s="15">
        <v>39387</v>
      </c>
      <c r="D60" s="20">
        <v>8.2400000000000001E-2</v>
      </c>
      <c r="E60" s="20">
        <v>5.1000000000000004E-3</v>
      </c>
      <c r="F60" s="20">
        <f t="shared" si="3"/>
        <v>7.7300000000000008E-2</v>
      </c>
      <c r="G60" s="28">
        <f>2582787-203215</f>
        <v>2379572</v>
      </c>
      <c r="H60" s="27"/>
      <c r="I60" s="26">
        <f t="shared" si="0"/>
        <v>2379572</v>
      </c>
      <c r="J60" s="26">
        <f t="shared" si="12"/>
        <v>2410341.3333333335</v>
      </c>
      <c r="K60" s="26">
        <f t="shared" si="7"/>
        <v>186319.3850666667</v>
      </c>
      <c r="L60" s="26"/>
      <c r="M60" s="26"/>
      <c r="N60" s="26"/>
      <c r="O60" s="17">
        <f t="shared" si="5"/>
        <v>186319.3850666667</v>
      </c>
      <c r="P60" s="18">
        <v>3256273.61</v>
      </c>
      <c r="Q60" s="16"/>
      <c r="R60" s="18">
        <f t="shared" si="1"/>
        <v>3256273.61</v>
      </c>
      <c r="S60" s="17">
        <f t="shared" si="9"/>
        <v>3230862.1841666666</v>
      </c>
      <c r="T60" s="21">
        <f t="shared" si="6"/>
        <v>5.788596540060463E-2</v>
      </c>
    </row>
    <row r="61" spans="3:22" hidden="1" x14ac:dyDescent="0.2">
      <c r="C61" s="15">
        <v>39417</v>
      </c>
      <c r="D61" s="20">
        <v>8.0399999999999999E-2</v>
      </c>
      <c r="E61" s="20">
        <v>5.1000000000000004E-3</v>
      </c>
      <c r="F61" s="20">
        <f t="shared" si="3"/>
        <v>7.5300000000000006E-2</v>
      </c>
      <c r="G61" s="28">
        <f>2800624-200953</f>
        <v>2599671</v>
      </c>
      <c r="H61" s="27"/>
      <c r="I61" s="26">
        <f t="shared" si="0"/>
        <v>2599671</v>
      </c>
      <c r="J61" s="26">
        <f t="shared" ref="J61:J66" si="13">SUM(I50:I61)/12</f>
        <v>2414629.5</v>
      </c>
      <c r="K61" s="26">
        <f t="shared" si="7"/>
        <v>181821.60135000001</v>
      </c>
      <c r="L61" s="26"/>
      <c r="M61" s="26"/>
      <c r="N61" s="26"/>
      <c r="O61" s="17">
        <f t="shared" si="5"/>
        <v>181821.60135000001</v>
      </c>
      <c r="P61" s="18">
        <v>3340796.19</v>
      </c>
      <c r="Q61" s="16"/>
      <c r="R61" s="18">
        <f t="shared" si="1"/>
        <v>3340796.19</v>
      </c>
      <c r="S61" s="17">
        <f t="shared" si="9"/>
        <v>3244878.6566666667</v>
      </c>
      <c r="T61" s="21">
        <f t="shared" si="6"/>
        <v>5.6276495556215465E-2</v>
      </c>
    </row>
    <row r="62" spans="3:22" hidden="1" x14ac:dyDescent="0.2">
      <c r="C62" s="15">
        <v>39448</v>
      </c>
      <c r="D62" s="20">
        <v>6.8000000000000005E-2</v>
      </c>
      <c r="E62" s="20">
        <v>5.1000000000000004E-3</v>
      </c>
      <c r="F62" s="20">
        <f t="shared" si="3"/>
        <v>6.2900000000000011E-2</v>
      </c>
      <c r="G62" s="28">
        <f>3725528-260886</f>
        <v>3464642</v>
      </c>
      <c r="H62" s="27"/>
      <c r="I62" s="26">
        <f t="shared" si="0"/>
        <v>3464642</v>
      </c>
      <c r="J62" s="26">
        <f t="shared" si="13"/>
        <v>2469571</v>
      </c>
      <c r="K62" s="26">
        <f t="shared" si="7"/>
        <v>155336.01590000003</v>
      </c>
      <c r="L62" s="26"/>
      <c r="M62" s="26"/>
      <c r="N62" s="26"/>
      <c r="O62" s="17">
        <f t="shared" si="5"/>
        <v>155336.01590000003</v>
      </c>
      <c r="P62" s="18">
        <v>4253402.68</v>
      </c>
      <c r="Q62" s="16"/>
      <c r="R62" s="18">
        <f t="shared" si="1"/>
        <v>4253402.68</v>
      </c>
      <c r="S62" s="17">
        <f t="shared" si="9"/>
        <v>3302820.5183333331</v>
      </c>
      <c r="T62" s="21">
        <f t="shared" si="6"/>
        <v>4.7871132432289618E-2</v>
      </c>
    </row>
    <row r="63" spans="3:22" hidden="1" x14ac:dyDescent="0.2">
      <c r="C63" s="15">
        <v>39479</v>
      </c>
      <c r="D63" s="20">
        <v>6.8699999999999997E-2</v>
      </c>
      <c r="E63" s="20">
        <v>5.1000000000000004E-3</v>
      </c>
      <c r="F63" s="20">
        <f t="shared" si="3"/>
        <v>6.359999999999999E-2</v>
      </c>
      <c r="G63" s="28">
        <f>3148901-186344</f>
        <v>2962557</v>
      </c>
      <c r="H63" s="27"/>
      <c r="I63" s="26">
        <f t="shared" si="0"/>
        <v>2962557</v>
      </c>
      <c r="J63" s="26">
        <f t="shared" si="13"/>
        <v>2477771.0833333335</v>
      </c>
      <c r="K63" s="26">
        <f t="shared" si="7"/>
        <v>157586.24089999998</v>
      </c>
      <c r="L63" s="26"/>
      <c r="M63" s="26"/>
      <c r="N63" s="26"/>
      <c r="O63" s="17">
        <f t="shared" si="5"/>
        <v>157586.24089999998</v>
      </c>
      <c r="P63" s="18">
        <v>3899777.78</v>
      </c>
      <c r="Q63" s="16"/>
      <c r="R63" s="18">
        <f t="shared" si="1"/>
        <v>3899777.78</v>
      </c>
      <c r="S63" s="17">
        <f t="shared" si="9"/>
        <v>3290002.4791666665</v>
      </c>
      <c r="T63" s="21">
        <f t="shared" si="6"/>
        <v>4.7712626231207089E-2</v>
      </c>
    </row>
    <row r="64" spans="3:22" hidden="1" x14ac:dyDescent="0.2">
      <c r="C64" s="15">
        <v>39508</v>
      </c>
      <c r="D64" s="20">
        <v>6.4899999999999999E-2</v>
      </c>
      <c r="E64" s="20">
        <v>5.1000000000000004E-3</v>
      </c>
      <c r="F64" s="20">
        <f t="shared" si="3"/>
        <v>5.9799999999999999E-2</v>
      </c>
      <c r="G64" s="28">
        <f>2863077-171204</f>
        <v>2691873</v>
      </c>
      <c r="H64" s="27"/>
      <c r="I64" s="26">
        <f t="shared" si="0"/>
        <v>2691873</v>
      </c>
      <c r="J64" s="26">
        <f t="shared" si="13"/>
        <v>2490858.1666666665</v>
      </c>
      <c r="K64" s="26">
        <f t="shared" si="7"/>
        <v>148953.31836666664</v>
      </c>
      <c r="L64" s="26"/>
      <c r="M64" s="26"/>
      <c r="N64" s="26"/>
      <c r="O64" s="17">
        <f t="shared" si="5"/>
        <v>148953.31836666664</v>
      </c>
      <c r="P64" s="18">
        <v>3737310.87</v>
      </c>
      <c r="Q64" s="16"/>
      <c r="R64" s="18">
        <f t="shared" si="1"/>
        <v>3737310.87</v>
      </c>
      <c r="S64" s="17">
        <f t="shared" si="9"/>
        <v>3348872.3541666665</v>
      </c>
      <c r="T64" s="21">
        <f t="shared" si="6"/>
        <v>4.5274530736644135E-2</v>
      </c>
      <c r="U64" s="24"/>
      <c r="V64" s="25"/>
    </row>
    <row r="65" spans="3:21" hidden="1" x14ac:dyDescent="0.2">
      <c r="C65" s="15">
        <v>39539</v>
      </c>
      <c r="D65" s="20">
        <v>6.1100000000000002E-2</v>
      </c>
      <c r="E65" s="20">
        <v>5.1000000000000004E-3</v>
      </c>
      <c r="F65" s="20">
        <f t="shared" si="3"/>
        <v>5.6000000000000001E-2</v>
      </c>
      <c r="G65" s="28">
        <f>2416517-136353</f>
        <v>2280164</v>
      </c>
      <c r="H65" s="27"/>
      <c r="I65" s="26">
        <f t="shared" si="0"/>
        <v>2280164</v>
      </c>
      <c r="J65" s="26">
        <f t="shared" si="13"/>
        <v>2503288.5</v>
      </c>
      <c r="K65" s="26">
        <f t="shared" si="7"/>
        <v>140184.15600000002</v>
      </c>
      <c r="L65" s="26"/>
      <c r="M65" s="26"/>
      <c r="N65" s="26"/>
      <c r="O65" s="17">
        <f t="shared" si="5"/>
        <v>140184.15600000002</v>
      </c>
      <c r="P65" s="18">
        <v>3024687.21</v>
      </c>
      <c r="Q65" s="16"/>
      <c r="R65" s="18">
        <f t="shared" si="1"/>
        <v>3024687.21</v>
      </c>
      <c r="S65" s="17">
        <f t="shared" si="9"/>
        <v>3336290.0058333334</v>
      </c>
      <c r="T65" s="21">
        <f t="shared" si="6"/>
        <v>4.1860107276284482E-2</v>
      </c>
      <c r="U65" s="25"/>
    </row>
    <row r="66" spans="3:21" hidden="1" x14ac:dyDescent="0.2">
      <c r="C66" s="15">
        <v>39569</v>
      </c>
      <c r="D66" s="20">
        <v>6.6199999999999995E-2</v>
      </c>
      <c r="E66" s="20">
        <v>5.1000000000000004E-3</v>
      </c>
      <c r="F66" s="20">
        <f t="shared" si="3"/>
        <v>6.1099999999999995E-2</v>
      </c>
      <c r="G66" s="28">
        <f>2127190-112806</f>
        <v>2014384</v>
      </c>
      <c r="H66" s="27"/>
      <c r="I66" s="26">
        <f t="shared" si="0"/>
        <v>2014384</v>
      </c>
      <c r="J66" s="26">
        <f t="shared" si="13"/>
        <v>2472399.5</v>
      </c>
      <c r="K66" s="26">
        <f t="shared" si="7"/>
        <v>151063.60944999999</v>
      </c>
      <c r="L66" s="26"/>
      <c r="M66" s="26"/>
      <c r="N66" s="26"/>
      <c r="O66" s="17">
        <f t="shared" si="5"/>
        <v>151063.60944999999</v>
      </c>
      <c r="P66" s="18">
        <v>2669903.7000000002</v>
      </c>
      <c r="Q66" s="16"/>
      <c r="R66" s="18">
        <f t="shared" si="1"/>
        <v>2669903.7000000002</v>
      </c>
      <c r="S66" s="17">
        <f t="shared" si="9"/>
        <v>3327457.5125000007</v>
      </c>
      <c r="T66" s="21">
        <f t="shared" si="6"/>
        <v>4.5278920353408414E-2</v>
      </c>
      <c r="U66" s="25"/>
    </row>
    <row r="67" spans="3:21" hidden="1" x14ac:dyDescent="0.2">
      <c r="C67" s="15">
        <v>39600</v>
      </c>
      <c r="D67" s="20">
        <v>6.8099999999999994E-2</v>
      </c>
      <c r="E67" s="20">
        <v>5.1000000000000004E-3</v>
      </c>
      <c r="F67" s="20">
        <f t="shared" si="3"/>
        <v>6.3E-2</v>
      </c>
      <c r="G67" s="28">
        <f>2487842-143253</f>
        <v>2344589</v>
      </c>
      <c r="H67" s="27"/>
      <c r="I67" s="26">
        <f t="shared" si="0"/>
        <v>2344589</v>
      </c>
      <c r="J67" s="26">
        <f t="shared" ref="J67:J72" si="14">SUM(I56:I67)/12</f>
        <v>2496721.5833333335</v>
      </c>
      <c r="K67" s="26">
        <f t="shared" si="7"/>
        <v>157293.45975000001</v>
      </c>
      <c r="L67" s="26"/>
      <c r="M67" s="26"/>
      <c r="N67" s="26"/>
      <c r="O67" s="17">
        <f t="shared" si="5"/>
        <v>157293.45975000001</v>
      </c>
      <c r="P67" s="18">
        <v>3121808.56</v>
      </c>
      <c r="Q67" s="16"/>
      <c r="R67" s="18">
        <f t="shared" si="1"/>
        <v>3121808.56</v>
      </c>
      <c r="S67" s="17">
        <f t="shared" si="9"/>
        <v>3321580.2541666669</v>
      </c>
      <c r="T67" s="21">
        <f t="shared" si="6"/>
        <v>4.7271365346997794E-2</v>
      </c>
      <c r="U67" s="24"/>
    </row>
    <row r="68" spans="3:21" hidden="1" x14ac:dyDescent="0.2">
      <c r="C68" s="15">
        <v>39630</v>
      </c>
      <c r="D68" s="20">
        <v>7.0599999999999996E-2</v>
      </c>
      <c r="E68" s="20">
        <v>5.1000000000000004E-3</v>
      </c>
      <c r="F68" s="20">
        <f t="shared" si="3"/>
        <v>6.5500000000000003E-2</v>
      </c>
      <c r="G68" s="28">
        <f>2903574-172083</f>
        <v>2731491</v>
      </c>
      <c r="H68" s="27"/>
      <c r="I68" s="26">
        <f t="shared" si="0"/>
        <v>2731491</v>
      </c>
      <c r="J68" s="26">
        <f t="shared" si="14"/>
        <v>2540329.25</v>
      </c>
      <c r="K68" s="26">
        <f t="shared" si="7"/>
        <v>166391.565875</v>
      </c>
      <c r="L68" s="26"/>
      <c r="M68" s="26"/>
      <c r="N68" s="26">
        <v>-50524</v>
      </c>
      <c r="O68" s="17">
        <f t="shared" si="5"/>
        <v>115867.565875</v>
      </c>
      <c r="P68" s="18">
        <v>3216917.43</v>
      </c>
      <c r="Q68" s="16"/>
      <c r="R68" s="18">
        <f t="shared" si="1"/>
        <v>3216917.43</v>
      </c>
      <c r="S68" s="17">
        <f t="shared" si="9"/>
        <v>3347620.4725000001</v>
      </c>
      <c r="T68" s="21">
        <f t="shared" si="6"/>
        <v>3.4883265496792694E-2</v>
      </c>
    </row>
    <row r="69" spans="3:21" hidden="1" x14ac:dyDescent="0.2">
      <c r="C69" s="15">
        <v>39661</v>
      </c>
      <c r="D69" s="20">
        <v>7.1800000000000003E-2</v>
      </c>
      <c r="E69" s="20">
        <v>5.1000000000000004E-3</v>
      </c>
      <c r="F69" s="20">
        <f t="shared" si="3"/>
        <v>6.6700000000000009E-2</v>
      </c>
      <c r="G69" s="28">
        <f>2607070-160265</f>
        <v>2446805</v>
      </c>
      <c r="H69" s="27"/>
      <c r="I69" s="26">
        <f t="shared" si="0"/>
        <v>2446805</v>
      </c>
      <c r="J69" s="26">
        <f t="shared" si="14"/>
        <v>2525101.75</v>
      </c>
      <c r="K69" s="26">
        <f t="shared" si="7"/>
        <v>168424.28672500001</v>
      </c>
      <c r="L69" s="26"/>
      <c r="M69" s="26"/>
      <c r="N69" s="26">
        <f>N68</f>
        <v>-50524</v>
      </c>
      <c r="O69" s="17">
        <f t="shared" si="5"/>
        <v>117900.28672500001</v>
      </c>
      <c r="P69" s="18">
        <v>3421629.07</v>
      </c>
      <c r="Q69" s="16"/>
      <c r="R69" s="18">
        <f t="shared" si="1"/>
        <v>3421629.07</v>
      </c>
      <c r="S69" s="17">
        <f t="shared" si="9"/>
        <v>3297237.2375000003</v>
      </c>
      <c r="T69" s="21">
        <f t="shared" si="6"/>
        <v>3.5219131826181055E-2</v>
      </c>
    </row>
    <row r="70" spans="3:21" hidden="1" x14ac:dyDescent="0.2">
      <c r="C70" s="15">
        <v>39692</v>
      </c>
      <c r="D70" s="20">
        <v>6.2199999999999998E-2</v>
      </c>
      <c r="E70" s="20">
        <v>5.1000000000000004E-3</v>
      </c>
      <c r="F70" s="20">
        <f t="shared" si="3"/>
        <v>5.7099999999999998E-2</v>
      </c>
      <c r="G70" s="28">
        <f>2539120-158769</f>
        <v>2380351</v>
      </c>
      <c r="H70" s="27"/>
      <c r="I70" s="26">
        <f t="shared" si="0"/>
        <v>2380351</v>
      </c>
      <c r="J70" s="26">
        <f t="shared" si="14"/>
        <v>2524826.5</v>
      </c>
      <c r="K70" s="26">
        <f t="shared" si="7"/>
        <v>144167.59315</v>
      </c>
      <c r="L70" s="26"/>
      <c r="M70" s="26"/>
      <c r="N70" s="26">
        <f>N69</f>
        <v>-50524</v>
      </c>
      <c r="O70" s="17">
        <f t="shared" si="5"/>
        <v>93643.593150000001</v>
      </c>
      <c r="P70" s="18">
        <v>3032355.58</v>
      </c>
      <c r="Q70" s="16"/>
      <c r="R70" s="18">
        <f t="shared" si="1"/>
        <v>3032355.58</v>
      </c>
      <c r="S70" s="17">
        <f t="shared" si="9"/>
        <v>3327817.0083333328</v>
      </c>
      <c r="T70" s="21">
        <f t="shared" si="6"/>
        <v>2.8400623432544257E-2</v>
      </c>
    </row>
    <row r="71" spans="3:21" hidden="1" x14ac:dyDescent="0.2">
      <c r="C71" s="15">
        <v>39722</v>
      </c>
      <c r="D71" s="20">
        <v>8.9899999999999994E-2</v>
      </c>
      <c r="E71" s="20">
        <v>1.21E-2</v>
      </c>
      <c r="F71" s="20">
        <f t="shared" si="3"/>
        <v>7.7799999999999994E-2</v>
      </c>
      <c r="G71" s="28">
        <f>2765756-149394</f>
        <v>2616362</v>
      </c>
      <c r="H71" s="27"/>
      <c r="I71" s="26">
        <f t="shared" si="0"/>
        <v>2616362</v>
      </c>
      <c r="J71" s="26">
        <f t="shared" si="14"/>
        <v>2576038.4166666665</v>
      </c>
      <c r="K71" s="26">
        <f t="shared" si="7"/>
        <v>200415.78881666664</v>
      </c>
      <c r="L71" s="26"/>
      <c r="M71" s="26"/>
      <c r="N71" s="26">
        <f>N70</f>
        <v>-50524</v>
      </c>
      <c r="O71" s="17">
        <f t="shared" si="5"/>
        <v>149891.78881666664</v>
      </c>
      <c r="P71" s="18">
        <v>3109469.24</v>
      </c>
      <c r="Q71" s="16"/>
      <c r="R71" s="18">
        <f t="shared" si="1"/>
        <v>3109469.24</v>
      </c>
      <c r="S71" s="17">
        <f t="shared" si="9"/>
        <v>3340360.9933333327</v>
      </c>
      <c r="T71" s="21">
        <f t="shared" si="6"/>
        <v>4.5042076665067828E-2</v>
      </c>
    </row>
    <row r="72" spans="3:21" hidden="1" x14ac:dyDescent="0.2">
      <c r="C72" s="15">
        <v>39753</v>
      </c>
      <c r="D72" s="20">
        <v>8.8999999999999996E-2</v>
      </c>
      <c r="E72" s="20">
        <v>1.21E-2</v>
      </c>
      <c r="F72" s="20">
        <f t="shared" si="3"/>
        <v>7.6899999999999996E-2</v>
      </c>
      <c r="G72" s="28">
        <f>3332752-240570</f>
        <v>3092182</v>
      </c>
      <c r="H72" s="27"/>
      <c r="I72" s="26">
        <f t="shared" si="0"/>
        <v>3092182</v>
      </c>
      <c r="J72" s="26">
        <f t="shared" si="14"/>
        <v>2635422.5833333335</v>
      </c>
      <c r="K72" s="26">
        <f t="shared" si="7"/>
        <v>202663.99665833334</v>
      </c>
      <c r="L72" s="26"/>
      <c r="M72" s="26"/>
      <c r="N72" s="26">
        <f>N71</f>
        <v>-50524</v>
      </c>
      <c r="O72" s="17">
        <f t="shared" si="5"/>
        <v>152139.99665833334</v>
      </c>
      <c r="P72" s="18">
        <v>3765431.95</v>
      </c>
      <c r="Q72" s="16"/>
      <c r="R72" s="18">
        <f t="shared" si="1"/>
        <v>3765431.95</v>
      </c>
      <c r="S72" s="17">
        <f t="shared" si="9"/>
        <v>3382790.8550000004</v>
      </c>
      <c r="T72" s="21">
        <f t="shared" si="6"/>
        <v>4.5545974510531405E-2</v>
      </c>
    </row>
    <row r="73" spans="3:21" hidden="1" x14ac:dyDescent="0.2">
      <c r="C73" s="15">
        <v>39783</v>
      </c>
      <c r="D73" s="20">
        <v>9.1999999999999998E-2</v>
      </c>
      <c r="E73" s="20">
        <v>1.21E-2</v>
      </c>
      <c r="F73" s="20">
        <f t="shared" si="3"/>
        <v>7.9899999999999999E-2</v>
      </c>
      <c r="G73" s="28">
        <f>3546374-253244</f>
        <v>3293130</v>
      </c>
      <c r="H73" s="27"/>
      <c r="I73" s="26">
        <f t="shared" si="0"/>
        <v>3293130</v>
      </c>
      <c r="J73" s="26">
        <f t="shared" ref="J73:J78" si="15">SUM(I62:I73)/12</f>
        <v>2693210.8333333335</v>
      </c>
      <c r="K73" s="26">
        <f t="shared" si="7"/>
        <v>215187.54558333335</v>
      </c>
      <c r="L73" s="26"/>
      <c r="M73" s="26"/>
      <c r="N73" s="26">
        <f>N72</f>
        <v>-50524</v>
      </c>
      <c r="O73" s="17">
        <f t="shared" si="5"/>
        <v>164663.54558333335</v>
      </c>
      <c r="P73" s="18">
        <v>4764683.95</v>
      </c>
      <c r="Q73" s="16"/>
      <c r="R73" s="18">
        <f t="shared" si="1"/>
        <v>4764683.95</v>
      </c>
      <c r="S73" s="17">
        <f t="shared" si="9"/>
        <v>3501448.1683333335</v>
      </c>
      <c r="T73" s="21">
        <f t="shared" si="6"/>
        <v>4.8676833017905666E-2</v>
      </c>
    </row>
    <row r="74" spans="3:21" hidden="1" x14ac:dyDescent="0.2">
      <c r="C74" s="15">
        <v>39814</v>
      </c>
      <c r="D74" s="20">
        <v>0.10349999999999999</v>
      </c>
      <c r="E74" s="20">
        <v>1.21E-2</v>
      </c>
      <c r="F74" s="20">
        <f t="shared" si="3"/>
        <v>9.1399999999999995E-2</v>
      </c>
      <c r="G74" s="28">
        <f>4118998-304760</f>
        <v>3814238</v>
      </c>
      <c r="H74" s="27"/>
      <c r="I74" s="26">
        <f t="shared" si="0"/>
        <v>3814238</v>
      </c>
      <c r="J74" s="26">
        <f t="shared" si="15"/>
        <v>2722343.8333333335</v>
      </c>
      <c r="K74" s="26">
        <f t="shared" si="7"/>
        <v>248822.22636666667</v>
      </c>
      <c r="L74" s="26"/>
      <c r="M74" s="26"/>
      <c r="N74" s="26"/>
      <c r="O74" s="17">
        <f t="shared" si="5"/>
        <v>248822.22636666667</v>
      </c>
      <c r="P74" s="18">
        <v>4407232.41</v>
      </c>
      <c r="Q74" s="16"/>
      <c r="R74" s="18">
        <f t="shared" si="1"/>
        <v>4407232.41</v>
      </c>
      <c r="S74" s="17">
        <f t="shared" si="9"/>
        <v>3514267.3125</v>
      </c>
      <c r="T74" s="21">
        <f t="shared" si="6"/>
        <v>7.1062661620121717E-2</v>
      </c>
    </row>
    <row r="75" spans="3:21" hidden="1" x14ac:dyDescent="0.2">
      <c r="C75" s="15">
        <v>39845</v>
      </c>
      <c r="D75" s="25">
        <v>0.1022</v>
      </c>
      <c r="E75" s="25">
        <v>1.21E-2</v>
      </c>
      <c r="F75" s="25">
        <f t="shared" si="3"/>
        <v>9.01E-2</v>
      </c>
      <c r="G75" s="28">
        <f>3444315-288447</f>
        <v>3155868</v>
      </c>
      <c r="H75" s="27"/>
      <c r="I75" s="26">
        <f t="shared" si="0"/>
        <v>3155868</v>
      </c>
      <c r="J75" s="26">
        <f t="shared" si="15"/>
        <v>2738453.0833333335</v>
      </c>
      <c r="K75" s="26">
        <f t="shared" si="7"/>
        <v>246734.62280833334</v>
      </c>
      <c r="L75" s="26"/>
      <c r="M75" s="26"/>
      <c r="N75" s="26"/>
      <c r="O75" s="26">
        <f t="shared" si="5"/>
        <v>246734.62280833334</v>
      </c>
      <c r="P75" s="26">
        <v>4220201.51</v>
      </c>
      <c r="Q75" s="27"/>
      <c r="R75" s="26">
        <f t="shared" si="1"/>
        <v>4220201.51</v>
      </c>
      <c r="S75" s="26">
        <f t="shared" si="9"/>
        <v>3540969.2899999996</v>
      </c>
      <c r="T75" s="29">
        <f t="shared" si="6"/>
        <v>7.0209406646647446E-2</v>
      </c>
    </row>
    <row r="76" spans="3:21" hidden="1" x14ac:dyDescent="0.2">
      <c r="C76" s="15">
        <v>39873</v>
      </c>
      <c r="D76" s="25">
        <v>0.1041</v>
      </c>
      <c r="E76" s="25">
        <v>1.21E-2</v>
      </c>
      <c r="F76" s="25">
        <f t="shared" si="3"/>
        <v>9.1999999999999998E-2</v>
      </c>
      <c r="G76" s="28">
        <f>3159372-261131</f>
        <v>2898241</v>
      </c>
      <c r="H76" s="27"/>
      <c r="I76" s="26">
        <f t="shared" si="0"/>
        <v>2898241</v>
      </c>
      <c r="J76" s="26">
        <f t="shared" si="15"/>
        <v>2755650.4166666665</v>
      </c>
      <c r="K76" s="26">
        <f t="shared" si="7"/>
        <v>253519.83833333332</v>
      </c>
      <c r="L76" s="26"/>
      <c r="M76" s="26"/>
      <c r="N76" s="26"/>
      <c r="O76" s="26">
        <f t="shared" si="5"/>
        <v>253519.83833333332</v>
      </c>
      <c r="P76" s="26">
        <v>3721962.93</v>
      </c>
      <c r="Q76" s="27"/>
      <c r="R76" s="26">
        <f t="shared" si="1"/>
        <v>3721962.93</v>
      </c>
      <c r="S76" s="26">
        <f t="shared" si="9"/>
        <v>3539690.2949999995</v>
      </c>
      <c r="T76" s="29">
        <f t="shared" si="6"/>
        <v>7.1596169740668195E-2</v>
      </c>
    </row>
    <row r="77" spans="3:21" hidden="1" x14ac:dyDescent="0.2">
      <c r="C77" s="15">
        <v>39904</v>
      </c>
      <c r="D77" s="25">
        <v>0.1101</v>
      </c>
      <c r="E77" s="25">
        <v>1.21E-2</v>
      </c>
      <c r="F77" s="25">
        <f t="shared" si="3"/>
        <v>9.8000000000000004E-2</v>
      </c>
      <c r="G77" s="30">
        <f>2615130-220322</f>
        <v>2394808</v>
      </c>
      <c r="H77" s="27"/>
      <c r="I77" s="32">
        <f t="shared" si="0"/>
        <v>2394808</v>
      </c>
      <c r="J77" s="32">
        <f t="shared" si="15"/>
        <v>2765204.0833333335</v>
      </c>
      <c r="K77" s="32">
        <f t="shared" si="7"/>
        <v>270990.00016666669</v>
      </c>
      <c r="L77" s="32"/>
      <c r="M77" s="32"/>
      <c r="N77" s="32"/>
      <c r="O77" s="32">
        <f t="shared" si="5"/>
        <v>270990.00016666669</v>
      </c>
      <c r="P77" s="32">
        <v>3635684.1</v>
      </c>
      <c r="Q77" s="31"/>
      <c r="R77" s="32">
        <f t="shared" si="1"/>
        <v>3635684.1</v>
      </c>
      <c r="S77" s="32">
        <f t="shared" si="9"/>
        <v>3590606.7025000001</v>
      </c>
      <c r="T77" s="29">
        <f t="shared" si="6"/>
        <v>7.6557545316734199E-2</v>
      </c>
    </row>
    <row r="78" spans="3:21" hidden="1" x14ac:dyDescent="0.2">
      <c r="C78" s="15">
        <v>39934</v>
      </c>
      <c r="D78" s="25">
        <v>0.1062</v>
      </c>
      <c r="E78" s="25">
        <v>1.21E-2</v>
      </c>
      <c r="F78" s="25">
        <f t="shared" si="3"/>
        <v>9.4100000000000003E-2</v>
      </c>
      <c r="G78" s="30">
        <f>2277671-203287</f>
        <v>2074384</v>
      </c>
      <c r="H78" s="27"/>
      <c r="I78" s="32">
        <f t="shared" si="0"/>
        <v>2074384</v>
      </c>
      <c r="J78" s="32">
        <f t="shared" si="15"/>
        <v>2770204.0833333335</v>
      </c>
      <c r="K78" s="32">
        <f t="shared" si="7"/>
        <v>260676.20424166668</v>
      </c>
      <c r="L78" s="32"/>
      <c r="M78" s="32"/>
      <c r="N78" s="32"/>
      <c r="O78" s="32">
        <f t="shared" si="5"/>
        <v>260676.20424166668</v>
      </c>
      <c r="P78" s="32">
        <v>2742718.81</v>
      </c>
      <c r="Q78" s="31"/>
      <c r="R78" s="32">
        <f t="shared" si="1"/>
        <v>2742718.81</v>
      </c>
      <c r="S78" s="32">
        <f t="shared" si="9"/>
        <v>3596674.6283333339</v>
      </c>
      <c r="T78" s="29">
        <f t="shared" si="6"/>
        <v>7.2599486894559612E-2</v>
      </c>
    </row>
    <row r="79" spans="3:21" hidden="1" x14ac:dyDescent="0.2">
      <c r="C79" s="15">
        <v>39965</v>
      </c>
      <c r="D79" s="25">
        <v>0.111</v>
      </c>
      <c r="E79" s="25">
        <v>1.21E-2</v>
      </c>
      <c r="F79" s="25">
        <f t="shared" si="3"/>
        <v>9.8900000000000002E-2</v>
      </c>
      <c r="G79" s="30">
        <f>2481592-213435</f>
        <v>2268157</v>
      </c>
      <c r="H79" s="27"/>
      <c r="I79" s="32">
        <f t="shared" si="0"/>
        <v>2268157</v>
      </c>
      <c r="J79" s="32">
        <f t="shared" ref="J79:J84" si="16">SUM(I68:I79)/12</f>
        <v>2763834.75</v>
      </c>
      <c r="K79" s="32">
        <f t="shared" si="7"/>
        <v>273343.25677500002</v>
      </c>
      <c r="L79" s="32"/>
      <c r="M79" s="32"/>
      <c r="N79" s="32"/>
      <c r="O79" s="32">
        <f t="shared" si="5"/>
        <v>273343.25677500002</v>
      </c>
      <c r="P79" s="32">
        <v>2997926.51</v>
      </c>
      <c r="Q79" s="31"/>
      <c r="R79" s="32">
        <f t="shared" si="1"/>
        <v>2997926.51</v>
      </c>
      <c r="S79" s="32">
        <f t="shared" si="9"/>
        <v>3586351.124166667</v>
      </c>
      <c r="T79" s="29">
        <f t="shared" si="6"/>
        <v>7.5998883697095718E-2</v>
      </c>
    </row>
    <row r="80" spans="3:21" hidden="1" x14ac:dyDescent="0.2">
      <c r="C80" s="15">
        <v>39995</v>
      </c>
      <c r="D80" s="25">
        <v>0.1124</v>
      </c>
      <c r="E80" s="25">
        <v>1.21E-2</v>
      </c>
      <c r="F80" s="25">
        <f t="shared" si="3"/>
        <v>0.1003</v>
      </c>
      <c r="G80" s="30">
        <f>2495810-224622</f>
        <v>2271188</v>
      </c>
      <c r="H80" s="27"/>
      <c r="I80" s="32">
        <f t="shared" si="0"/>
        <v>2271188</v>
      </c>
      <c r="J80" s="32">
        <f t="shared" si="16"/>
        <v>2725476.1666666665</v>
      </c>
      <c r="K80" s="32">
        <f t="shared" si="7"/>
        <v>273365.25951666664</v>
      </c>
      <c r="L80" s="32"/>
      <c r="M80" s="32"/>
      <c r="N80" s="32"/>
      <c r="O80" s="32">
        <f t="shared" si="5"/>
        <v>273365.25951666664</v>
      </c>
      <c r="P80" s="32">
        <v>3137071.61</v>
      </c>
      <c r="Q80" s="31"/>
      <c r="R80" s="32">
        <f t="shared" si="1"/>
        <v>3137071.61</v>
      </c>
      <c r="S80" s="32">
        <f t="shared" si="9"/>
        <v>3579697.3058333336</v>
      </c>
      <c r="T80" s="29">
        <f t="shared" si="6"/>
        <v>7.6223785695324647E-2</v>
      </c>
    </row>
    <row r="81" spans="3:20" hidden="1" x14ac:dyDescent="0.2">
      <c r="C81" s="15">
        <v>40026</v>
      </c>
      <c r="D81" s="25">
        <v>0.11890000000000001</v>
      </c>
      <c r="E81" s="25">
        <v>1.21E-2</v>
      </c>
      <c r="F81" s="25">
        <f t="shared" si="3"/>
        <v>0.10680000000000001</v>
      </c>
      <c r="G81" s="30">
        <f>2648227-241404</f>
        <v>2406823</v>
      </c>
      <c r="H81" s="27"/>
      <c r="I81" s="32">
        <f t="shared" si="0"/>
        <v>2406823</v>
      </c>
      <c r="J81" s="32">
        <f t="shared" si="16"/>
        <v>2722144.3333333335</v>
      </c>
      <c r="K81" s="32">
        <f t="shared" si="7"/>
        <v>290725.0148</v>
      </c>
      <c r="L81" s="32"/>
      <c r="M81" s="32"/>
      <c r="N81" s="32"/>
      <c r="O81" s="32">
        <f t="shared" si="5"/>
        <v>290725.0148</v>
      </c>
      <c r="P81" s="32">
        <v>3593755.72</v>
      </c>
      <c r="Q81" s="31"/>
      <c r="R81" s="32">
        <f t="shared" si="1"/>
        <v>3593755.72</v>
      </c>
      <c r="S81" s="32">
        <f t="shared" si="9"/>
        <v>3594041.1933333334</v>
      </c>
      <c r="T81" s="29">
        <f t="shared" si="6"/>
        <v>8.1214971535790464E-2</v>
      </c>
    </row>
    <row r="82" spans="3:20" hidden="1" x14ac:dyDescent="0.2">
      <c r="C82" s="15">
        <v>40057</v>
      </c>
      <c r="D82" s="25">
        <v>0.11749999999999999</v>
      </c>
      <c r="E82" s="25">
        <v>1.21E-2</v>
      </c>
      <c r="F82" s="25">
        <f t="shared" si="3"/>
        <v>0.10539999999999999</v>
      </c>
      <c r="G82" s="30">
        <f>2355895-227330</f>
        <v>2128565</v>
      </c>
      <c r="H82" s="27"/>
      <c r="I82" s="32">
        <f t="shared" si="0"/>
        <v>2128565</v>
      </c>
      <c r="J82" s="32">
        <f t="shared" si="16"/>
        <v>2701162.1666666665</v>
      </c>
      <c r="K82" s="32">
        <f t="shared" si="7"/>
        <v>284702.49236666661</v>
      </c>
      <c r="L82" s="32"/>
      <c r="M82" s="32"/>
      <c r="N82" s="32"/>
      <c r="O82" s="32">
        <f t="shared" si="5"/>
        <v>284702.49236666661</v>
      </c>
      <c r="P82" s="32">
        <v>2930964.41</v>
      </c>
      <c r="Q82" s="31"/>
      <c r="R82" s="32">
        <f t="shared" si="1"/>
        <v>2930964.41</v>
      </c>
      <c r="S82" s="32">
        <f t="shared" si="9"/>
        <v>3585591.9291666672</v>
      </c>
      <c r="T82" s="29">
        <f t="shared" si="6"/>
        <v>7.9215144471567994E-2</v>
      </c>
    </row>
    <row r="83" spans="3:20" hidden="1" x14ac:dyDescent="0.2">
      <c r="C83" s="15">
        <v>40087</v>
      </c>
      <c r="D83" s="25">
        <f>'[1]Form 1.0'!$H$20</f>
        <v>8.3385711707093149E-2</v>
      </c>
      <c r="E83" s="25">
        <v>1.21E-2</v>
      </c>
      <c r="F83" s="25">
        <f t="shared" si="3"/>
        <v>7.128571170709315E-2</v>
      </c>
      <c r="G83" s="30">
        <f>2325510-221736</f>
        <v>2103774</v>
      </c>
      <c r="H83" s="27"/>
      <c r="I83" s="32">
        <f t="shared" ref="I83:I146" si="17">+G83-H83</f>
        <v>2103774</v>
      </c>
      <c r="J83" s="32">
        <f t="shared" si="16"/>
        <v>2658446.5</v>
      </c>
      <c r="K83" s="32">
        <f t="shared" si="7"/>
        <v>189509.25078773079</v>
      </c>
      <c r="L83" s="32"/>
      <c r="M83" s="32"/>
      <c r="N83" s="32">
        <v>65648</v>
      </c>
      <c r="O83" s="32">
        <f t="shared" si="5"/>
        <v>255157.25078773079</v>
      </c>
      <c r="P83" s="32">
        <v>2809339.99</v>
      </c>
      <c r="Q83" s="31"/>
      <c r="R83" s="32">
        <f t="shared" ref="R83:R146" si="18">+P83-Q83</f>
        <v>2809339.99</v>
      </c>
      <c r="S83" s="32">
        <f t="shared" si="9"/>
        <v>3560581.1583333332</v>
      </c>
      <c r="T83" s="29">
        <f t="shared" si="6"/>
        <v>7.116182092897344E-2</v>
      </c>
    </row>
    <row r="84" spans="3:20" hidden="1" x14ac:dyDescent="0.2">
      <c r="C84" s="15">
        <v>40118</v>
      </c>
      <c r="D84" s="25">
        <f>'[2]Form 1.0'!$H$20</f>
        <v>9.4326189721395101E-2</v>
      </c>
      <c r="E84" s="25">
        <f>E83</f>
        <v>1.21E-2</v>
      </c>
      <c r="F84" s="25">
        <f t="shared" si="3"/>
        <v>8.2226189721395102E-2</v>
      </c>
      <c r="G84" s="30">
        <f>2523304-167938</f>
        <v>2355366</v>
      </c>
      <c r="H84" s="27"/>
      <c r="I84" s="32">
        <f t="shared" si="17"/>
        <v>2355366</v>
      </c>
      <c r="J84" s="32">
        <f t="shared" si="16"/>
        <v>2597045.1666666665</v>
      </c>
      <c r="K84" s="32">
        <f t="shared" si="7"/>
        <v>213545.12858936549</v>
      </c>
      <c r="L84" s="32"/>
      <c r="M84" s="32"/>
      <c r="N84" s="32">
        <f>N83</f>
        <v>65648</v>
      </c>
      <c r="O84" s="32">
        <f t="shared" si="5"/>
        <v>279193.12858936551</v>
      </c>
      <c r="P84" s="32">
        <v>3216054.76</v>
      </c>
      <c r="Q84" s="31"/>
      <c r="R84" s="32">
        <f t="shared" si="18"/>
        <v>3216054.76</v>
      </c>
      <c r="S84" s="32">
        <f t="shared" si="9"/>
        <v>3514799.7258333326</v>
      </c>
      <c r="T84" s="29">
        <f t="shared" si="6"/>
        <v>7.8412235580118769E-2</v>
      </c>
    </row>
    <row r="85" spans="3:20" hidden="1" x14ac:dyDescent="0.2">
      <c r="C85" s="15">
        <v>40148</v>
      </c>
      <c r="D85" s="25">
        <f>'[3]Form 1.0'!$H$20</f>
        <v>0.14590105297536887</v>
      </c>
      <c r="E85" s="25">
        <f>E84</f>
        <v>1.21E-2</v>
      </c>
      <c r="F85" s="25">
        <f t="shared" si="3"/>
        <v>0.13380105297536887</v>
      </c>
      <c r="G85" s="30">
        <f>3420117-259779</f>
        <v>3160338</v>
      </c>
      <c r="H85" s="27"/>
      <c r="I85" s="32">
        <f t="shared" si="17"/>
        <v>3160338</v>
      </c>
      <c r="J85" s="32">
        <f t="shared" ref="J85:J90" si="19">SUM(I74:I85)/12</f>
        <v>2585979.1666666665</v>
      </c>
      <c r="K85" s="32">
        <f t="shared" si="7"/>
        <v>346006.73547236691</v>
      </c>
      <c r="L85" s="32"/>
      <c r="M85" s="32"/>
      <c r="N85" s="32">
        <f>[4]CV!I66</f>
        <v>3919</v>
      </c>
      <c r="O85" s="32">
        <f t="shared" si="5"/>
        <v>349925.73547236691</v>
      </c>
      <c r="P85" s="32">
        <v>4069890.08</v>
      </c>
      <c r="Q85" s="31"/>
      <c r="R85" s="32">
        <f t="shared" si="18"/>
        <v>4069890.08</v>
      </c>
      <c r="S85" s="32">
        <f t="shared" si="9"/>
        <v>3456900.2366666659</v>
      </c>
      <c r="T85" s="29">
        <f t="shared" si="6"/>
        <v>9.9557802084840594E-2</v>
      </c>
    </row>
    <row r="86" spans="3:20" hidden="1" x14ac:dyDescent="0.2">
      <c r="C86" s="15">
        <v>40179</v>
      </c>
      <c r="D86" s="25">
        <f>'[5]Form 1.0'!$H$20</f>
        <v>0.1361470278098281</v>
      </c>
      <c r="E86" s="25">
        <v>0</v>
      </c>
      <c r="F86" s="25">
        <f t="shared" si="3"/>
        <v>0.1361470278098281</v>
      </c>
      <c r="G86" s="30">
        <f>4425224-522223</f>
        <v>3903001</v>
      </c>
      <c r="H86" s="27"/>
      <c r="I86" s="32">
        <f t="shared" si="17"/>
        <v>3903001</v>
      </c>
      <c r="J86" s="32">
        <f t="shared" si="19"/>
        <v>2593376.0833333335</v>
      </c>
      <c r="K86" s="32">
        <f t="shared" si="7"/>
        <v>353080.44573892641</v>
      </c>
      <c r="L86" s="32"/>
      <c r="M86" s="32"/>
      <c r="N86" s="32">
        <f>69759+[6]CV!I67</f>
        <v>63358</v>
      </c>
      <c r="O86" s="32">
        <f t="shared" si="5"/>
        <v>416438.44573892641</v>
      </c>
      <c r="P86" s="32">
        <v>4720621.8</v>
      </c>
      <c r="Q86" s="31"/>
      <c r="R86" s="32">
        <f t="shared" si="18"/>
        <v>4720621.8</v>
      </c>
      <c r="S86" s="32">
        <f t="shared" si="9"/>
        <v>3483016.0191666656</v>
      </c>
      <c r="T86" s="29">
        <f t="shared" si="6"/>
        <v>0.12046585589073272</v>
      </c>
    </row>
    <row r="87" spans="3:20" hidden="1" x14ac:dyDescent="0.2">
      <c r="C87" s="15">
        <v>40210</v>
      </c>
      <c r="D87" s="25">
        <f>'[7]Form 1.0'!$H$20</f>
        <v>0.10677660128078398</v>
      </c>
      <c r="E87" s="25">
        <v>0</v>
      </c>
      <c r="F87" s="25">
        <f t="shared" si="3"/>
        <v>0.10677660128078398</v>
      </c>
      <c r="G87" s="30">
        <f>4031899-483004</f>
        <v>3548895</v>
      </c>
      <c r="H87" s="27"/>
      <c r="I87" s="32">
        <f t="shared" si="17"/>
        <v>3548895</v>
      </c>
      <c r="J87" s="32">
        <f t="shared" si="19"/>
        <v>2626128.3333333335</v>
      </c>
      <c r="K87" s="32">
        <f t="shared" si="7"/>
        <v>280409.05796050309</v>
      </c>
      <c r="L87" s="32"/>
      <c r="M87" s="32"/>
      <c r="N87" s="32">
        <f>69759+[6]CV!I68</f>
        <v>-16858</v>
      </c>
      <c r="O87" s="32">
        <f t="shared" si="5"/>
        <v>263551.05796050309</v>
      </c>
      <c r="P87" s="32">
        <v>4789696.75</v>
      </c>
      <c r="Q87" s="31"/>
      <c r="R87" s="32">
        <f t="shared" si="18"/>
        <v>4789696.75</v>
      </c>
      <c r="S87" s="32">
        <f t="shared" si="9"/>
        <v>3530473.9558333326</v>
      </c>
      <c r="T87" s="29">
        <f t="shared" si="6"/>
        <v>7.566748372967845E-2</v>
      </c>
    </row>
    <row r="88" spans="3:20" hidden="1" x14ac:dyDescent="0.2">
      <c r="C88" s="15">
        <v>40238</v>
      </c>
      <c r="D88" s="25">
        <f>'[8]Form 1.0'!$H$20</f>
        <v>5.2688746350572933E-2</v>
      </c>
      <c r="E88" s="25">
        <v>0</v>
      </c>
      <c r="F88" s="25">
        <f t="shared" si="3"/>
        <v>5.2688746350572933E-2</v>
      </c>
      <c r="G88" s="30">
        <f>3108391-299941</f>
        <v>2808450</v>
      </c>
      <c r="H88" s="27"/>
      <c r="I88" s="32">
        <f t="shared" si="17"/>
        <v>2808450</v>
      </c>
      <c r="J88" s="32">
        <f t="shared" si="19"/>
        <v>2618645.75</v>
      </c>
      <c r="K88" s="32">
        <f t="shared" si="7"/>
        <v>137973.16170375582</v>
      </c>
      <c r="L88" s="32"/>
      <c r="M88" s="32"/>
      <c r="N88" s="32">
        <f>[6]CV!I69</f>
        <v>-29944</v>
      </c>
      <c r="O88" s="32">
        <f t="shared" si="5"/>
        <v>108029.16170375582</v>
      </c>
      <c r="P88" s="32">
        <v>4297911.5599999996</v>
      </c>
      <c r="Q88" s="31"/>
      <c r="R88" s="32">
        <f t="shared" si="18"/>
        <v>4297911.5599999996</v>
      </c>
      <c r="S88" s="32">
        <f t="shared" si="9"/>
        <v>3578469.6749999993</v>
      </c>
      <c r="T88" s="29">
        <f t="shared" si="6"/>
        <v>3.0599053570487714E-2</v>
      </c>
    </row>
    <row r="89" spans="3:20" hidden="1" x14ac:dyDescent="0.2">
      <c r="C89" s="15">
        <v>40269</v>
      </c>
      <c r="D89" s="25">
        <f>'[9]Form 1.0'!$H$20</f>
        <v>6.750351882627266E-2</v>
      </c>
      <c r="E89" s="25">
        <v>0</v>
      </c>
      <c r="F89" s="25">
        <f t="shared" si="3"/>
        <v>6.750351882627266E-2</v>
      </c>
      <c r="G89" s="30">
        <f>1885945-94413</f>
        <v>1791532</v>
      </c>
      <c r="H89" s="27"/>
      <c r="I89" s="32">
        <f t="shared" si="17"/>
        <v>1791532</v>
      </c>
      <c r="J89" s="32">
        <f t="shared" si="19"/>
        <v>2568372.75</v>
      </c>
      <c r="K89" s="32">
        <f t="shared" si="7"/>
        <v>173374.19828251068</v>
      </c>
      <c r="L89" s="32"/>
      <c r="M89" s="32"/>
      <c r="N89" s="32">
        <f>[6]CV!I70</f>
        <v>152132.46000000002</v>
      </c>
      <c r="O89" s="32">
        <f t="shared" si="5"/>
        <v>325506.6582825107</v>
      </c>
      <c r="P89" s="32">
        <v>2811059.18</v>
      </c>
      <c r="Q89" s="31"/>
      <c r="R89" s="32">
        <f t="shared" si="18"/>
        <v>2811059.18</v>
      </c>
      <c r="S89" s="32">
        <f t="shared" si="9"/>
        <v>3509750.9316666666</v>
      </c>
      <c r="T89" s="29">
        <f t="shared" si="6"/>
        <v>9.0962530870828395E-2</v>
      </c>
    </row>
    <row r="90" spans="3:20" hidden="1" x14ac:dyDescent="0.2">
      <c r="C90" s="15">
        <v>40299</v>
      </c>
      <c r="D90" s="25">
        <f>'[10]Form 1.0'!$H$20</f>
        <v>0.11103310077324695</v>
      </c>
      <c r="E90" s="25">
        <v>0</v>
      </c>
      <c r="F90" s="25">
        <f t="shared" si="3"/>
        <v>0.11103310077324695</v>
      </c>
      <c r="G90" s="30">
        <f>2119412-134015</f>
        <v>1985397</v>
      </c>
      <c r="H90" s="27"/>
      <c r="I90" s="32">
        <f t="shared" si="17"/>
        <v>1985397</v>
      </c>
      <c r="J90" s="32">
        <f t="shared" si="19"/>
        <v>2560957.1666666665</v>
      </c>
      <c r="K90" s="32">
        <f t="shared" si="7"/>
        <v>284351.01516246895</v>
      </c>
      <c r="L90" s="32"/>
      <c r="M90" s="32"/>
      <c r="N90" s="32">
        <f>[6]CV!I71</f>
        <v>5936.7399999999907</v>
      </c>
      <c r="O90" s="32">
        <f t="shared" si="5"/>
        <v>290287.75516246894</v>
      </c>
      <c r="P90" s="32">
        <v>2370941.7799999998</v>
      </c>
      <c r="Q90" s="31"/>
      <c r="R90" s="32">
        <f t="shared" si="18"/>
        <v>2370941.7799999998</v>
      </c>
      <c r="S90" s="32">
        <f t="shared" si="9"/>
        <v>3478769.5124999997</v>
      </c>
      <c r="T90" s="29">
        <f t="shared" si="6"/>
        <v>8.2708933144900035E-2</v>
      </c>
    </row>
    <row r="91" spans="3:20" hidden="1" x14ac:dyDescent="0.2">
      <c r="C91" s="15">
        <v>40330</v>
      </c>
      <c r="D91" s="25">
        <f>'[11]Form 1.0'!$H$20</f>
        <v>0.13188866003484037</v>
      </c>
      <c r="E91" s="25">
        <v>0</v>
      </c>
      <c r="F91" s="25">
        <f t="shared" si="3"/>
        <v>0.13188866003484037</v>
      </c>
      <c r="G91" s="30">
        <f>2871577-286898</f>
        <v>2584679</v>
      </c>
      <c r="H91" s="27"/>
      <c r="I91" s="32">
        <f t="shared" si="17"/>
        <v>2584679</v>
      </c>
      <c r="J91" s="32">
        <f t="shared" ref="J91:J96" si="20">SUM(I80:I91)/12</f>
        <v>2587334</v>
      </c>
      <c r="K91" s="32">
        <f t="shared" si="7"/>
        <v>341240.01432258368</v>
      </c>
      <c r="L91" s="32"/>
      <c r="M91" s="32"/>
      <c r="N91" s="32">
        <f>[6]CV!I72</f>
        <v>-217935.09000000003</v>
      </c>
      <c r="O91" s="32">
        <f t="shared" si="5"/>
        <v>123304.92432258365</v>
      </c>
      <c r="P91" s="32">
        <v>3302471.14</v>
      </c>
      <c r="Q91" s="31"/>
      <c r="R91" s="32">
        <f t="shared" si="18"/>
        <v>3302471.14</v>
      </c>
      <c r="S91" s="32">
        <f t="shared" si="9"/>
        <v>3504148.2316666669</v>
      </c>
      <c r="T91" s="29">
        <f t="shared" si="6"/>
        <v>3.5444982451272318E-2</v>
      </c>
    </row>
    <row r="92" spans="3:20" hidden="1" x14ac:dyDescent="0.2">
      <c r="C92" s="15">
        <v>40360</v>
      </c>
      <c r="D92" s="25">
        <f>'[12]Form 1.0'!$H$20</f>
        <v>0.12894002233333171</v>
      </c>
      <c r="E92" s="25">
        <v>0</v>
      </c>
      <c r="F92" s="25">
        <f t="shared" si="3"/>
        <v>0.12894002233333171</v>
      </c>
      <c r="G92" s="30">
        <f>3234380-376901</f>
        <v>2857479</v>
      </c>
      <c r="H92" s="27"/>
      <c r="I92" s="32">
        <f t="shared" si="17"/>
        <v>2857479</v>
      </c>
      <c r="J92" s="32">
        <f t="shared" si="20"/>
        <v>2636191.5833333335</v>
      </c>
      <c r="K92" s="32">
        <f t="shared" si="7"/>
        <v>339910.60162994108</v>
      </c>
      <c r="L92" s="32"/>
      <c r="M92" s="32"/>
      <c r="N92" s="32">
        <f>[6]CV!I73</f>
        <v>-118382.48999999999</v>
      </c>
      <c r="O92" s="32">
        <f t="shared" si="5"/>
        <v>221528.11162994109</v>
      </c>
      <c r="P92" s="32">
        <v>3658381.12</v>
      </c>
      <c r="Q92" s="31"/>
      <c r="R92" s="32">
        <f t="shared" si="18"/>
        <v>3658381.12</v>
      </c>
      <c r="S92" s="32">
        <f t="shared" si="9"/>
        <v>3547590.6908333334</v>
      </c>
      <c r="T92" s="29">
        <f t="shared" si="6"/>
        <v>6.3218818664122656E-2</v>
      </c>
    </row>
    <row r="93" spans="3:20" hidden="1" x14ac:dyDescent="0.2">
      <c r="C93" s="15">
        <v>40391</v>
      </c>
      <c r="D93" s="25">
        <f>'[13]Form 1.0'!$H$20</f>
        <v>0.11323565448999388</v>
      </c>
      <c r="E93" s="25">
        <v>0</v>
      </c>
      <c r="F93" s="25">
        <f t="shared" si="3"/>
        <v>0.11323565448999388</v>
      </c>
      <c r="G93" s="30">
        <f>3285764-375176</f>
        <v>2910588</v>
      </c>
      <c r="H93" s="27"/>
      <c r="I93" s="32">
        <f t="shared" si="17"/>
        <v>2910588</v>
      </c>
      <c r="J93" s="32">
        <f t="shared" si="20"/>
        <v>2678172</v>
      </c>
      <c r="K93" s="32">
        <f t="shared" si="7"/>
        <v>303264.55925677589</v>
      </c>
      <c r="L93" s="32"/>
      <c r="M93" s="32"/>
      <c r="N93" s="32">
        <f>[6]CV!I74</f>
        <v>61284.86</v>
      </c>
      <c r="O93" s="32">
        <f t="shared" si="5"/>
        <v>364549.41925677587</v>
      </c>
      <c r="P93" s="32">
        <v>3867271.89</v>
      </c>
      <c r="Q93" s="31"/>
      <c r="R93" s="32">
        <f t="shared" si="18"/>
        <v>3867271.89</v>
      </c>
      <c r="S93" s="32">
        <f t="shared" si="9"/>
        <v>3570383.7049999996</v>
      </c>
      <c r="T93" s="29">
        <f t="shared" si="6"/>
        <v>0.10275971808098942</v>
      </c>
    </row>
    <row r="94" spans="3:20" hidden="1" x14ac:dyDescent="0.2">
      <c r="C94" s="15">
        <v>40422</v>
      </c>
      <c r="D94" s="25">
        <f>'[14]Form 1.0'!$H$20</f>
        <v>9.542427390594671E-2</v>
      </c>
      <c r="E94" s="25">
        <v>0</v>
      </c>
      <c r="F94" s="25">
        <f t="shared" si="3"/>
        <v>9.542427390594671E-2</v>
      </c>
      <c r="G94" s="30">
        <f>2564154-260746</f>
        <v>2303408</v>
      </c>
      <c r="H94" s="27"/>
      <c r="I94" s="32">
        <f t="shared" si="17"/>
        <v>2303408</v>
      </c>
      <c r="J94" s="32">
        <f t="shared" si="20"/>
        <v>2692742.25</v>
      </c>
      <c r="K94" s="32">
        <f t="shared" si="7"/>
        <v>256952.97402211523</v>
      </c>
      <c r="L94" s="32"/>
      <c r="M94" s="32"/>
      <c r="N94" s="32">
        <f>[6]CV!I75</f>
        <v>-13693.789999999979</v>
      </c>
      <c r="O94" s="32">
        <f t="shared" si="5"/>
        <v>243259.18402211525</v>
      </c>
      <c r="P94" s="32">
        <v>3281797.54</v>
      </c>
      <c r="Q94" s="31"/>
      <c r="R94" s="32">
        <f t="shared" si="18"/>
        <v>3281797.54</v>
      </c>
      <c r="S94" s="32">
        <f t="shared" si="9"/>
        <v>3599619.7991666663</v>
      </c>
      <c r="T94" s="29">
        <f t="shared" si="6"/>
        <v>6.8132504548867601E-2</v>
      </c>
    </row>
    <row r="95" spans="3:20" hidden="1" x14ac:dyDescent="0.2">
      <c r="C95" s="15">
        <v>40452</v>
      </c>
      <c r="D95" s="25">
        <f>'[15]Form 1.0'!$H$20</f>
        <v>0.12265232976770672</v>
      </c>
      <c r="E95" s="25">
        <v>0</v>
      </c>
      <c r="F95" s="25">
        <f t="shared" ref="F95:F158" si="21">+D95-E95</f>
        <v>0.12265232976770672</v>
      </c>
      <c r="G95" s="30">
        <f>2166963-188722</f>
        <v>1978241</v>
      </c>
      <c r="H95" s="27"/>
      <c r="I95" s="32">
        <f t="shared" si="17"/>
        <v>1978241</v>
      </c>
      <c r="J95" s="32">
        <f t="shared" si="20"/>
        <v>2682281.1666666665</v>
      </c>
      <c r="K95" s="32">
        <f t="shared" si="7"/>
        <v>328988.03418370907</v>
      </c>
      <c r="L95" s="32"/>
      <c r="M95" s="32"/>
      <c r="N95" s="32">
        <v>-17279</v>
      </c>
      <c r="O95" s="32">
        <f t="shared" ref="O95:O158" si="22">+K95+N95</f>
        <v>311709.03418370907</v>
      </c>
      <c r="P95" s="32">
        <v>2624687.58</v>
      </c>
      <c r="Q95" s="31"/>
      <c r="R95" s="32">
        <f t="shared" si="18"/>
        <v>2624687.58</v>
      </c>
      <c r="S95" s="32">
        <f t="shared" si="9"/>
        <v>3584232.0983333332</v>
      </c>
      <c r="T95" s="29">
        <f t="shared" si="6"/>
        <v>8.6594988241778081E-2</v>
      </c>
    </row>
    <row r="96" spans="3:20" hidden="1" x14ac:dyDescent="0.2">
      <c r="C96" s="15">
        <v>40483</v>
      </c>
      <c r="D96" s="25">
        <f>'[16]Form 1.0'!$H$20</f>
        <v>0.15846049484313979</v>
      </c>
      <c r="E96" s="25">
        <v>0</v>
      </c>
      <c r="F96" s="25">
        <f t="shared" si="21"/>
        <v>0.15846049484313979</v>
      </c>
      <c r="G96" s="30">
        <f>2676432-292509</f>
        <v>2383923</v>
      </c>
      <c r="H96" s="27"/>
      <c r="I96" s="32">
        <f t="shared" si="17"/>
        <v>2383923</v>
      </c>
      <c r="J96" s="32">
        <f t="shared" si="20"/>
        <v>2684660.9166666665</v>
      </c>
      <c r="K96" s="32">
        <f t="shared" si="7"/>
        <v>425412.69734103722</v>
      </c>
      <c r="L96" s="32"/>
      <c r="M96" s="32"/>
      <c r="N96" s="32">
        <v>-17279</v>
      </c>
      <c r="O96" s="32">
        <f t="shared" si="22"/>
        <v>408133.69734103722</v>
      </c>
      <c r="P96" s="32">
        <v>3194386.02</v>
      </c>
      <c r="Q96" s="31"/>
      <c r="R96" s="32">
        <f t="shared" si="18"/>
        <v>3194386.02</v>
      </c>
      <c r="S96" s="32">
        <f t="shared" si="9"/>
        <v>3582426.3699999996</v>
      </c>
      <c r="T96" s="29">
        <f t="shared" si="6"/>
        <v>0.11386921553735856</v>
      </c>
    </row>
    <row r="97" spans="3:20" hidden="1" x14ac:dyDescent="0.2">
      <c r="C97" s="15">
        <v>40513</v>
      </c>
      <c r="D97" s="25">
        <f>'[17]Form 1.0'!$H$20</f>
        <v>0.14711863184623605</v>
      </c>
      <c r="E97" s="25">
        <v>0</v>
      </c>
      <c r="F97" s="25">
        <f t="shared" si="21"/>
        <v>0.14711863184623605</v>
      </c>
      <c r="G97" s="30">
        <f>4474055-612116</f>
        <v>3861939</v>
      </c>
      <c r="H97" s="27"/>
      <c r="I97" s="32">
        <f t="shared" si="17"/>
        <v>3861939</v>
      </c>
      <c r="J97" s="32">
        <f t="shared" ref="J97:J102" si="23">SUM(I86:I97)/12</f>
        <v>2743127.6666666665</v>
      </c>
      <c r="K97" s="32">
        <f t="shared" si="7"/>
        <v>403565.18929955782</v>
      </c>
      <c r="L97" s="32"/>
      <c r="M97" s="32"/>
      <c r="N97" s="32">
        <v>0</v>
      </c>
      <c r="O97" s="32">
        <f t="shared" si="22"/>
        <v>403565.18929955782</v>
      </c>
      <c r="P97" s="32">
        <v>4963262.92</v>
      </c>
      <c r="Q97" s="31"/>
      <c r="R97" s="32">
        <f t="shared" si="18"/>
        <v>4963262.92</v>
      </c>
      <c r="S97" s="32">
        <f t="shared" si="9"/>
        <v>3656874.1066666674</v>
      </c>
      <c r="T97" s="29">
        <f t="shared" ref="T97:T160" si="24">+O97/S96</f>
        <v>0.11265135626487638</v>
      </c>
    </row>
    <row r="98" spans="3:20" hidden="1" x14ac:dyDescent="0.2">
      <c r="C98" s="15">
        <v>40544</v>
      </c>
      <c r="D98" s="25">
        <f>'[18]Form 1.0'!$H$20</f>
        <v>6.4705701936854237E-2</v>
      </c>
      <c r="E98" s="25">
        <v>0</v>
      </c>
      <c r="F98" s="25">
        <f t="shared" si="21"/>
        <v>6.4705701936854237E-2</v>
      </c>
      <c r="G98" s="30">
        <f>4437195-569010</f>
        <v>3868185</v>
      </c>
      <c r="H98" s="27"/>
      <c r="I98" s="32">
        <f t="shared" si="17"/>
        <v>3868185</v>
      </c>
      <c r="J98" s="32">
        <f t="shared" si="23"/>
        <v>2740226.3333333335</v>
      </c>
      <c r="K98" s="32">
        <f t="shared" ref="K98:K161" si="25">+F98*J98</f>
        <v>177308.26836418567</v>
      </c>
      <c r="L98" s="32"/>
      <c r="M98" s="32"/>
      <c r="N98" s="32">
        <v>0</v>
      </c>
      <c r="O98" s="32">
        <f t="shared" si="22"/>
        <v>177308.26836418567</v>
      </c>
      <c r="P98" s="31">
        <v>4972176.42</v>
      </c>
      <c r="Q98" s="31"/>
      <c r="R98" s="31">
        <f t="shared" si="18"/>
        <v>4972176.42</v>
      </c>
      <c r="S98" s="32">
        <f t="shared" si="9"/>
        <v>3677836.9916666672</v>
      </c>
      <c r="T98" s="29">
        <f t="shared" si="24"/>
        <v>4.8486292716761477E-2</v>
      </c>
    </row>
    <row r="99" spans="3:20" hidden="1" x14ac:dyDescent="0.2">
      <c r="C99" s="15">
        <v>40575</v>
      </c>
      <c r="D99" s="25">
        <f>'[19]Form 1.0'!$H$23</f>
        <v>6.4534784465299963E-2</v>
      </c>
      <c r="E99" s="25">
        <v>0</v>
      </c>
      <c r="F99" s="25">
        <f t="shared" si="21"/>
        <v>6.4534784465299963E-2</v>
      </c>
      <c r="G99" s="30">
        <f>3350708-203616</f>
        <v>3147092</v>
      </c>
      <c r="H99" s="27"/>
      <c r="I99" s="32">
        <f t="shared" si="17"/>
        <v>3147092</v>
      </c>
      <c r="J99" s="32">
        <f t="shared" si="23"/>
        <v>2706742.75</v>
      </c>
      <c r="K99" s="32">
        <f t="shared" si="25"/>
        <v>174679.05997426331</v>
      </c>
      <c r="L99" s="32"/>
      <c r="M99" s="32"/>
      <c r="N99" s="32">
        <v>0</v>
      </c>
      <c r="O99" s="32">
        <f t="shared" si="22"/>
        <v>174679.05997426331</v>
      </c>
      <c r="P99" s="31">
        <v>4241409.3099999996</v>
      </c>
      <c r="Q99" s="31"/>
      <c r="R99" s="31">
        <f t="shared" si="18"/>
        <v>4241409.3099999996</v>
      </c>
      <c r="S99" s="32">
        <f t="shared" ref="S99" si="26">SUM(R88:R99)/12</f>
        <v>3632146.3716666666</v>
      </c>
      <c r="T99" s="29">
        <f t="shared" si="24"/>
        <v>4.749505221956693E-2</v>
      </c>
    </row>
    <row r="100" spans="3:20" hidden="1" x14ac:dyDescent="0.2">
      <c r="C100" s="15">
        <v>40603</v>
      </c>
      <c r="D100" s="24">
        <v>0.1159</v>
      </c>
      <c r="E100" s="25">
        <v>0</v>
      </c>
      <c r="F100" s="25">
        <f t="shared" si="21"/>
        <v>0.1159</v>
      </c>
      <c r="G100" s="31">
        <f>2838998-172019</f>
        <v>2666979</v>
      </c>
      <c r="I100" s="32">
        <f t="shared" si="17"/>
        <v>2666979</v>
      </c>
      <c r="J100" s="32">
        <f t="shared" si="23"/>
        <v>2694953.5</v>
      </c>
      <c r="K100" s="32">
        <f t="shared" si="25"/>
        <v>312345.11064999999</v>
      </c>
      <c r="L100" s="32"/>
      <c r="M100" s="32"/>
      <c r="N100" s="32">
        <v>0</v>
      </c>
      <c r="O100" s="32">
        <f t="shared" si="22"/>
        <v>312345.11064999999</v>
      </c>
      <c r="P100" s="32">
        <v>3677706.8</v>
      </c>
      <c r="R100" s="32">
        <f t="shared" si="18"/>
        <v>3677706.8</v>
      </c>
      <c r="S100" s="32">
        <f t="shared" ref="S100" si="27">SUM(R89:R100)/12</f>
        <v>3580462.6416666661</v>
      </c>
      <c r="T100" s="29">
        <f t="shared" si="24"/>
        <v>8.599463751970865E-2</v>
      </c>
    </row>
    <row r="101" spans="3:20" hidden="1" x14ac:dyDescent="0.2">
      <c r="C101" s="15">
        <v>40634</v>
      </c>
      <c r="D101" s="24">
        <v>0.12559999999999999</v>
      </c>
      <c r="E101" s="25">
        <v>0</v>
      </c>
      <c r="F101" s="25">
        <f t="shared" si="21"/>
        <v>0.12559999999999999</v>
      </c>
      <c r="G101" s="31">
        <f>2512429-260946</f>
        <v>2251483</v>
      </c>
      <c r="I101" s="32">
        <f t="shared" si="17"/>
        <v>2251483</v>
      </c>
      <c r="J101" s="32">
        <f t="shared" si="23"/>
        <v>2733282.75</v>
      </c>
      <c r="K101" s="32">
        <f t="shared" si="25"/>
        <v>343300.31339999998</v>
      </c>
      <c r="L101" s="32"/>
      <c r="M101" s="32"/>
      <c r="N101" s="32">
        <v>0</v>
      </c>
      <c r="O101" s="32">
        <f t="shared" si="22"/>
        <v>343300.31339999998</v>
      </c>
      <c r="P101" s="32">
        <v>3026483.79</v>
      </c>
      <c r="R101" s="32">
        <f t="shared" si="18"/>
        <v>3026483.79</v>
      </c>
      <c r="S101" s="32">
        <f t="shared" ref="S101:S103" si="28">SUM(R90:R101)/12</f>
        <v>3598414.6924999994</v>
      </c>
      <c r="T101" s="29">
        <f t="shared" si="24"/>
        <v>9.5881551564017287E-2</v>
      </c>
    </row>
    <row r="102" spans="3:20" hidden="1" x14ac:dyDescent="0.2">
      <c r="C102" s="15">
        <v>40664</v>
      </c>
      <c r="D102" s="24">
        <v>0.14349999999999999</v>
      </c>
      <c r="E102" s="25">
        <v>0</v>
      </c>
      <c r="F102" s="25">
        <f t="shared" si="21"/>
        <v>0.14349999999999999</v>
      </c>
      <c r="G102" s="31">
        <f>2572234-287022</f>
        <v>2285212</v>
      </c>
      <c r="I102" s="32">
        <f t="shared" si="17"/>
        <v>2285212</v>
      </c>
      <c r="J102" s="32">
        <f t="shared" si="23"/>
        <v>2758267.3333333335</v>
      </c>
      <c r="K102" s="32">
        <f t="shared" si="25"/>
        <v>395811.36233333335</v>
      </c>
      <c r="L102" s="32"/>
      <c r="M102" s="32"/>
      <c r="N102" s="32">
        <v>0</v>
      </c>
      <c r="O102" s="32">
        <f t="shared" si="22"/>
        <v>395811.36233333335</v>
      </c>
      <c r="P102" s="32">
        <v>2757503.97</v>
      </c>
      <c r="R102" s="32">
        <f t="shared" si="18"/>
        <v>2757503.97</v>
      </c>
      <c r="S102" s="32">
        <f t="shared" si="28"/>
        <v>3630628.2083333335</v>
      </c>
      <c r="T102" s="29">
        <f t="shared" si="24"/>
        <v>0.10999603885519468</v>
      </c>
    </row>
    <row r="103" spans="3:20" hidden="1" x14ac:dyDescent="0.2">
      <c r="C103" s="15">
        <v>40695</v>
      </c>
      <c r="D103" s="24">
        <v>0.1399</v>
      </c>
      <c r="E103" s="25">
        <v>0</v>
      </c>
      <c r="F103" s="25">
        <f t="shared" si="21"/>
        <v>0.1399</v>
      </c>
      <c r="G103" s="31">
        <f>3092030-388026</f>
        <v>2704004</v>
      </c>
      <c r="I103" s="32">
        <f t="shared" si="17"/>
        <v>2704004</v>
      </c>
      <c r="J103" s="32">
        <f t="shared" ref="J103" si="29">SUM(I92:I103)/12</f>
        <v>2768211.0833333335</v>
      </c>
      <c r="K103" s="32">
        <f t="shared" si="25"/>
        <v>387272.73055833334</v>
      </c>
      <c r="L103" s="32"/>
      <c r="M103" s="32"/>
      <c r="N103" s="32">
        <v>0</v>
      </c>
      <c r="O103" s="32">
        <f t="shared" si="22"/>
        <v>387272.73055833334</v>
      </c>
      <c r="P103" s="33">
        <v>3141325.19</v>
      </c>
      <c r="R103" s="32">
        <f t="shared" si="18"/>
        <v>3141325.19</v>
      </c>
      <c r="S103" s="32">
        <f t="shared" si="28"/>
        <v>3617199.3791666664</v>
      </c>
      <c r="T103" s="29">
        <f t="shared" si="24"/>
        <v>0.10666824261141124</v>
      </c>
    </row>
    <row r="104" spans="3:20" hidden="1" x14ac:dyDescent="0.2">
      <c r="C104" s="15">
        <v>40725</v>
      </c>
      <c r="D104" s="24">
        <v>0.13150000000000001</v>
      </c>
      <c r="E104" s="25">
        <v>0</v>
      </c>
      <c r="F104" s="25">
        <f t="shared" si="21"/>
        <v>0.13150000000000001</v>
      </c>
      <c r="G104" s="31">
        <f>3353940-411628</f>
        <v>2942312</v>
      </c>
      <c r="I104" s="32">
        <f t="shared" si="17"/>
        <v>2942312</v>
      </c>
      <c r="J104" s="32">
        <f t="shared" ref="J104" si="30">SUM(I93:I104)/12</f>
        <v>2775280.5</v>
      </c>
      <c r="K104" s="32">
        <f t="shared" si="25"/>
        <v>364949.38575000002</v>
      </c>
      <c r="L104" s="32"/>
      <c r="M104" s="32"/>
      <c r="N104" s="32">
        <v>90523</v>
      </c>
      <c r="O104" s="32">
        <f t="shared" si="22"/>
        <v>455472.38575000002</v>
      </c>
      <c r="P104" s="33">
        <v>3558654.62</v>
      </c>
      <c r="R104" s="32">
        <f t="shared" si="18"/>
        <v>3558654.62</v>
      </c>
      <c r="S104" s="32">
        <f t="shared" ref="S104" si="31">SUM(R93:R104)/12</f>
        <v>3608888.837499999</v>
      </c>
      <c r="T104" s="29">
        <f t="shared" si="24"/>
        <v>0.12591851816996943</v>
      </c>
    </row>
    <row r="105" spans="3:20" hidden="1" x14ac:dyDescent="0.2">
      <c r="C105" s="15">
        <v>40756</v>
      </c>
      <c r="D105" s="24">
        <v>0.1128</v>
      </c>
      <c r="E105" s="25">
        <v>0</v>
      </c>
      <c r="F105" s="25">
        <f t="shared" si="21"/>
        <v>0.1128</v>
      </c>
      <c r="G105" s="48">
        <v>2941256</v>
      </c>
      <c r="I105" s="32">
        <f t="shared" si="17"/>
        <v>2941256</v>
      </c>
      <c r="J105" s="32">
        <f t="shared" ref="J105:J168" si="32">SUM(I94:I105)/12</f>
        <v>2777836.1666666665</v>
      </c>
      <c r="K105" s="32">
        <f t="shared" si="25"/>
        <v>313339.91959999996</v>
      </c>
      <c r="L105" s="32"/>
      <c r="M105" s="32"/>
      <c r="N105" s="32">
        <v>90523</v>
      </c>
      <c r="O105" s="32">
        <f t="shared" si="22"/>
        <v>403862.91959999996</v>
      </c>
      <c r="P105" s="33">
        <v>4079428.14</v>
      </c>
      <c r="R105" s="32">
        <f t="shared" si="18"/>
        <v>4079428.14</v>
      </c>
      <c r="S105" s="32">
        <f t="shared" ref="S105:S168" si="33">SUM(R94:R105)/12</f>
        <v>3626568.5249999999</v>
      </c>
      <c r="T105" s="29">
        <f t="shared" si="24"/>
        <v>0.11190783030041171</v>
      </c>
    </row>
    <row r="106" spans="3:20" hidden="1" x14ac:dyDescent="0.2">
      <c r="C106" s="15">
        <v>40787</v>
      </c>
      <c r="D106" s="24">
        <v>0.1201</v>
      </c>
      <c r="E106" s="25">
        <v>0</v>
      </c>
      <c r="F106" s="25">
        <f t="shared" si="21"/>
        <v>0.1201</v>
      </c>
      <c r="G106" s="48">
        <v>2325912</v>
      </c>
      <c r="I106" s="32">
        <f t="shared" si="17"/>
        <v>2325912</v>
      </c>
      <c r="J106" s="32">
        <f t="shared" si="32"/>
        <v>2779711.5</v>
      </c>
      <c r="K106" s="32">
        <f t="shared" si="25"/>
        <v>333843.35115</v>
      </c>
      <c r="L106" s="32"/>
      <c r="M106" s="32"/>
      <c r="N106" s="32">
        <v>90523</v>
      </c>
      <c r="O106" s="32">
        <f t="shared" si="22"/>
        <v>424366.35115</v>
      </c>
      <c r="P106" s="33">
        <v>3070442.17</v>
      </c>
      <c r="R106" s="32">
        <f t="shared" si="18"/>
        <v>3070442.17</v>
      </c>
      <c r="S106" s="32">
        <f t="shared" si="33"/>
        <v>3608955.5775000001</v>
      </c>
      <c r="T106" s="29">
        <f t="shared" si="24"/>
        <v>0.11701594723072274</v>
      </c>
    </row>
    <row r="107" spans="3:20" hidden="1" x14ac:dyDescent="0.2">
      <c r="C107" s="15">
        <v>40817</v>
      </c>
      <c r="D107" s="24">
        <v>0.14849999999999999</v>
      </c>
      <c r="E107" s="25">
        <v>0</v>
      </c>
      <c r="F107" s="25">
        <f t="shared" si="21"/>
        <v>0.14849999999999999</v>
      </c>
      <c r="G107" s="49">
        <v>2341106</v>
      </c>
      <c r="I107" s="32">
        <f t="shared" si="17"/>
        <v>2341106</v>
      </c>
      <c r="J107" s="32">
        <f t="shared" si="32"/>
        <v>2809950.25</v>
      </c>
      <c r="K107" s="32">
        <f t="shared" si="25"/>
        <v>417277.61212499999</v>
      </c>
      <c r="L107" s="32"/>
      <c r="M107" s="32"/>
      <c r="N107" s="32">
        <v>90523</v>
      </c>
      <c r="O107" s="32">
        <f t="shared" si="22"/>
        <v>507800.61212499999</v>
      </c>
      <c r="P107" s="33">
        <v>2823769</v>
      </c>
      <c r="R107" s="32">
        <f t="shared" si="18"/>
        <v>2823769</v>
      </c>
      <c r="S107" s="32">
        <f t="shared" si="33"/>
        <v>3625545.6958333333</v>
      </c>
      <c r="T107" s="29">
        <f t="shared" si="24"/>
        <v>0.14070569759596882</v>
      </c>
    </row>
    <row r="108" spans="3:20" hidden="1" x14ac:dyDescent="0.2">
      <c r="C108" s="15">
        <v>40848</v>
      </c>
      <c r="D108" s="24">
        <v>0.15109999999999998</v>
      </c>
      <c r="E108" s="25">
        <v>0</v>
      </c>
      <c r="F108" s="25">
        <f t="shared" si="21"/>
        <v>0.15109999999999998</v>
      </c>
      <c r="G108" s="49">
        <v>2795680</v>
      </c>
      <c r="I108" s="32">
        <f t="shared" si="17"/>
        <v>2795680</v>
      </c>
      <c r="J108" s="32">
        <f t="shared" si="32"/>
        <v>2844263.3333333335</v>
      </c>
      <c r="K108" s="32">
        <f t="shared" si="25"/>
        <v>429768.18966666667</v>
      </c>
      <c r="L108" s="32"/>
      <c r="M108" s="32"/>
      <c r="N108" s="32">
        <v>90523</v>
      </c>
      <c r="O108" s="32">
        <f t="shared" si="22"/>
        <v>520291.18966666667</v>
      </c>
      <c r="P108" s="33">
        <v>3531231.49</v>
      </c>
      <c r="R108" s="32">
        <f t="shared" si="18"/>
        <v>3531231.49</v>
      </c>
      <c r="S108" s="32">
        <f t="shared" si="33"/>
        <v>3653616.1516666668</v>
      </c>
      <c r="T108" s="29">
        <f t="shared" si="24"/>
        <v>0.14350700096391353</v>
      </c>
    </row>
    <row r="109" spans="3:20" hidden="1" x14ac:dyDescent="0.2">
      <c r="C109" s="15">
        <v>40878</v>
      </c>
      <c r="D109" s="24">
        <v>0.1421</v>
      </c>
      <c r="E109" s="25">
        <v>0</v>
      </c>
      <c r="F109" s="25">
        <f t="shared" si="21"/>
        <v>0.1421</v>
      </c>
      <c r="G109" s="49">
        <v>3173705</v>
      </c>
      <c r="I109" s="32">
        <f t="shared" si="17"/>
        <v>3173705</v>
      </c>
      <c r="J109" s="32">
        <f t="shared" si="32"/>
        <v>2786910.5</v>
      </c>
      <c r="K109" s="32">
        <f t="shared" si="25"/>
        <v>396019.98204999999</v>
      </c>
      <c r="L109" s="32"/>
      <c r="M109" s="32"/>
      <c r="N109" s="32">
        <v>90523</v>
      </c>
      <c r="O109" s="32">
        <f t="shared" si="22"/>
        <v>486542.98204999999</v>
      </c>
      <c r="P109" s="33">
        <v>4125646.37</v>
      </c>
      <c r="R109" s="32">
        <f t="shared" si="18"/>
        <v>4125646.37</v>
      </c>
      <c r="S109" s="32">
        <f t="shared" si="33"/>
        <v>3583814.7725000004</v>
      </c>
      <c r="T109" s="29">
        <f t="shared" si="24"/>
        <v>0.13316751455350725</v>
      </c>
    </row>
    <row r="110" spans="3:20" hidden="1" x14ac:dyDescent="0.2">
      <c r="C110" s="15">
        <v>40909</v>
      </c>
      <c r="D110" s="24">
        <v>0.12089999999999999</v>
      </c>
      <c r="E110" s="25">
        <v>0</v>
      </c>
      <c r="F110" s="25">
        <f t="shared" si="21"/>
        <v>0.12089999999999999</v>
      </c>
      <c r="G110" s="49">
        <v>3328318</v>
      </c>
      <c r="I110" s="32">
        <f t="shared" si="17"/>
        <v>3328318</v>
      </c>
      <c r="J110" s="32">
        <f t="shared" si="32"/>
        <v>2741921.5833333335</v>
      </c>
      <c r="K110" s="32">
        <f t="shared" si="25"/>
        <v>331498.31942499999</v>
      </c>
      <c r="L110" s="32"/>
      <c r="M110" s="32"/>
      <c r="N110" s="32">
        <v>0</v>
      </c>
      <c r="O110" s="32">
        <f t="shared" si="22"/>
        <v>331498.31942499999</v>
      </c>
      <c r="P110" s="33">
        <v>4369471.22</v>
      </c>
      <c r="R110" s="32">
        <f t="shared" si="18"/>
        <v>4369471.22</v>
      </c>
      <c r="S110" s="32">
        <f t="shared" si="33"/>
        <v>3533589.3391666668</v>
      </c>
      <c r="T110" s="29">
        <f t="shared" si="24"/>
        <v>9.2498731231512032E-2</v>
      </c>
    </row>
    <row r="111" spans="3:20" hidden="1" x14ac:dyDescent="0.2">
      <c r="C111" s="15">
        <v>40940</v>
      </c>
      <c r="D111" s="24">
        <v>0.10779999999999999</v>
      </c>
      <c r="E111" s="25">
        <v>0</v>
      </c>
      <c r="F111" s="25">
        <f t="shared" si="21"/>
        <v>0.10779999999999999</v>
      </c>
      <c r="G111" s="49">
        <v>3029048</v>
      </c>
      <c r="I111" s="32">
        <f t="shared" si="17"/>
        <v>3029048</v>
      </c>
      <c r="J111" s="32">
        <f t="shared" si="32"/>
        <v>2732084.5833333335</v>
      </c>
      <c r="K111" s="32">
        <f t="shared" si="25"/>
        <v>294518.71808333334</v>
      </c>
      <c r="L111" s="32"/>
      <c r="M111" s="32"/>
      <c r="N111" s="32">
        <v>0</v>
      </c>
      <c r="O111" s="32">
        <f t="shared" si="22"/>
        <v>294518.71808333334</v>
      </c>
      <c r="P111" s="33">
        <v>4316070.62</v>
      </c>
      <c r="R111" s="32">
        <f t="shared" si="18"/>
        <v>4316070.62</v>
      </c>
      <c r="S111" s="32">
        <f t="shared" si="33"/>
        <v>3539811.1149999998</v>
      </c>
      <c r="T111" s="29">
        <f t="shared" si="24"/>
        <v>8.3348315215596117E-2</v>
      </c>
    </row>
    <row r="112" spans="3:20" hidden="1" x14ac:dyDescent="0.2">
      <c r="C112" s="15">
        <v>40969</v>
      </c>
      <c r="D112" s="24">
        <v>0.12920000000000001</v>
      </c>
      <c r="E112" s="25">
        <v>0</v>
      </c>
      <c r="F112" s="25">
        <f t="shared" si="21"/>
        <v>0.12920000000000001</v>
      </c>
      <c r="G112" s="49">
        <v>2412544</v>
      </c>
      <c r="I112" s="32">
        <f t="shared" si="17"/>
        <v>2412544</v>
      </c>
      <c r="J112" s="32">
        <f t="shared" si="32"/>
        <v>2710881.6666666665</v>
      </c>
      <c r="K112" s="32">
        <f t="shared" si="25"/>
        <v>350245.91133333335</v>
      </c>
      <c r="L112" s="32"/>
      <c r="M112" s="32"/>
      <c r="N112" s="32">
        <v>0</v>
      </c>
      <c r="O112" s="32">
        <f t="shared" si="22"/>
        <v>350245.91133333335</v>
      </c>
      <c r="P112" s="33">
        <v>2969089.92</v>
      </c>
      <c r="R112" s="32">
        <f t="shared" si="18"/>
        <v>2969089.92</v>
      </c>
      <c r="S112" s="32">
        <f t="shared" si="33"/>
        <v>3480759.708333334</v>
      </c>
      <c r="T112" s="29">
        <f t="shared" si="24"/>
        <v>9.894480240743958E-2</v>
      </c>
    </row>
    <row r="113" spans="3:29" hidden="1" x14ac:dyDescent="0.2">
      <c r="C113" s="15">
        <v>41000</v>
      </c>
      <c r="D113" s="24">
        <v>0.14940000000000001</v>
      </c>
      <c r="E113" s="25">
        <v>0</v>
      </c>
      <c r="F113" s="25">
        <f t="shared" si="21"/>
        <v>0.14940000000000001</v>
      </c>
      <c r="G113" s="49">
        <v>2088654</v>
      </c>
      <c r="I113" s="32">
        <f t="shared" si="17"/>
        <v>2088654</v>
      </c>
      <c r="J113" s="32">
        <f t="shared" si="32"/>
        <v>2697312.5833333335</v>
      </c>
      <c r="K113" s="32">
        <f t="shared" si="25"/>
        <v>402978.49995000003</v>
      </c>
      <c r="L113" s="32"/>
      <c r="M113" s="32"/>
      <c r="N113" s="32">
        <v>0</v>
      </c>
      <c r="O113" s="32">
        <f t="shared" si="22"/>
        <v>402978.49995000003</v>
      </c>
      <c r="P113" s="33">
        <v>2800486.28</v>
      </c>
      <c r="R113" s="32">
        <f t="shared" si="18"/>
        <v>2800486.28</v>
      </c>
      <c r="S113" s="32">
        <f t="shared" si="33"/>
        <v>3461926.5825000009</v>
      </c>
      <c r="T113" s="29">
        <f t="shared" si="24"/>
        <v>0.11577314543868793</v>
      </c>
    </row>
    <row r="114" spans="3:29" hidden="1" x14ac:dyDescent="0.2">
      <c r="C114" s="15">
        <v>41030</v>
      </c>
      <c r="D114" s="24">
        <v>0.16900000000000001</v>
      </c>
      <c r="E114" s="25">
        <v>0</v>
      </c>
      <c r="F114" s="25">
        <f t="shared" si="21"/>
        <v>0.16900000000000001</v>
      </c>
      <c r="G114" s="49">
        <v>2273514</v>
      </c>
      <c r="I114" s="32">
        <f t="shared" si="17"/>
        <v>2273514</v>
      </c>
      <c r="J114" s="32">
        <f t="shared" si="32"/>
        <v>2696337.75</v>
      </c>
      <c r="K114" s="32">
        <f t="shared" si="25"/>
        <v>455681.07975000003</v>
      </c>
      <c r="L114" s="32"/>
      <c r="M114" s="32"/>
      <c r="N114" s="32">
        <v>0</v>
      </c>
      <c r="O114" s="32">
        <f t="shared" si="22"/>
        <v>455681.07975000003</v>
      </c>
      <c r="P114" s="33">
        <v>3041094.04</v>
      </c>
      <c r="R114" s="32">
        <f t="shared" si="18"/>
        <v>3041094.04</v>
      </c>
      <c r="S114" s="32">
        <f t="shared" si="33"/>
        <v>3485559.0883333334</v>
      </c>
      <c r="T114" s="29">
        <f t="shared" si="24"/>
        <v>0.13162644235538173</v>
      </c>
    </row>
    <row r="115" spans="3:29" hidden="1" x14ac:dyDescent="0.2">
      <c r="C115" s="15">
        <v>41061</v>
      </c>
      <c r="D115" s="24">
        <v>0.1555</v>
      </c>
      <c r="E115" s="25">
        <v>0</v>
      </c>
      <c r="F115" s="25">
        <f t="shared" si="21"/>
        <v>0.1555</v>
      </c>
      <c r="G115" s="49">
        <v>2464606</v>
      </c>
      <c r="I115" s="32">
        <f t="shared" si="17"/>
        <v>2464606</v>
      </c>
      <c r="J115" s="32">
        <f t="shared" si="32"/>
        <v>2676387.9166666665</v>
      </c>
      <c r="K115" s="32">
        <f t="shared" si="25"/>
        <v>416178.32104166667</v>
      </c>
      <c r="L115" s="32"/>
      <c r="M115" s="32"/>
      <c r="N115" s="32">
        <v>0</v>
      </c>
      <c r="O115" s="32">
        <f t="shared" si="22"/>
        <v>416178.32104166667</v>
      </c>
      <c r="P115" s="33">
        <v>2781416.79</v>
      </c>
      <c r="R115" s="32">
        <f t="shared" si="18"/>
        <v>2781416.79</v>
      </c>
      <c r="S115" s="32">
        <f t="shared" si="33"/>
        <v>3455566.7216666671</v>
      </c>
      <c r="T115" s="29">
        <f t="shared" si="24"/>
        <v>0.11940073615009864</v>
      </c>
    </row>
    <row r="116" spans="3:29" hidden="1" x14ac:dyDescent="0.2">
      <c r="C116" s="15">
        <v>41091</v>
      </c>
      <c r="D116" s="24">
        <v>0.14510000000000001</v>
      </c>
      <c r="E116" s="25">
        <v>0</v>
      </c>
      <c r="F116" s="25">
        <f t="shared" si="21"/>
        <v>0.14510000000000001</v>
      </c>
      <c r="G116" s="49">
        <v>2706093</v>
      </c>
      <c r="I116" s="32">
        <f t="shared" si="17"/>
        <v>2706093</v>
      </c>
      <c r="J116" s="32">
        <f t="shared" si="32"/>
        <v>2656703</v>
      </c>
      <c r="K116" s="32">
        <f t="shared" si="25"/>
        <v>385487.6053</v>
      </c>
      <c r="L116" s="32"/>
      <c r="M116" s="32"/>
      <c r="N116" s="32">
        <v>0</v>
      </c>
      <c r="O116" s="32">
        <f t="shared" si="22"/>
        <v>385487.6053</v>
      </c>
      <c r="P116" s="33">
        <v>3575045.33</v>
      </c>
      <c r="R116" s="32">
        <f t="shared" si="18"/>
        <v>3575045.33</v>
      </c>
      <c r="S116" s="32">
        <f t="shared" si="33"/>
        <v>3456932.6141666663</v>
      </c>
      <c r="T116" s="29">
        <f t="shared" si="24"/>
        <v>0.11155553816482931</v>
      </c>
    </row>
    <row r="117" spans="3:29" hidden="1" x14ac:dyDescent="0.2">
      <c r="C117" s="15">
        <v>41122</v>
      </c>
      <c r="D117" s="51">
        <v>0.14130000000000001</v>
      </c>
      <c r="E117" s="52">
        <v>0</v>
      </c>
      <c r="F117" s="25">
        <f t="shared" si="21"/>
        <v>0.14130000000000001</v>
      </c>
      <c r="G117" s="53">
        <v>2516047</v>
      </c>
      <c r="I117" s="32">
        <f t="shared" si="17"/>
        <v>2516047</v>
      </c>
      <c r="J117" s="32">
        <f t="shared" si="32"/>
        <v>2621268.9166666665</v>
      </c>
      <c r="K117" s="32">
        <f t="shared" si="25"/>
        <v>370385.29792500002</v>
      </c>
      <c r="L117" s="32"/>
      <c r="M117" s="32"/>
      <c r="N117" s="54">
        <v>0</v>
      </c>
      <c r="O117" s="32">
        <f t="shared" si="22"/>
        <v>370385.29792500002</v>
      </c>
      <c r="P117" s="54">
        <v>3598947.28</v>
      </c>
      <c r="R117" s="32">
        <f t="shared" si="18"/>
        <v>3598947.28</v>
      </c>
      <c r="S117" s="32">
        <f t="shared" si="33"/>
        <v>3416892.5425</v>
      </c>
      <c r="T117" s="29">
        <f t="shared" si="24"/>
        <v>0.10714275899019388</v>
      </c>
    </row>
    <row r="118" spans="3:29" hidden="1" x14ac:dyDescent="0.2">
      <c r="C118" s="15">
        <v>41153</v>
      </c>
      <c r="D118" s="51">
        <v>0.1623</v>
      </c>
      <c r="E118" s="52">
        <v>0</v>
      </c>
      <c r="F118" s="25">
        <f t="shared" si="21"/>
        <v>0.1623</v>
      </c>
      <c r="G118" s="53">
        <v>2217586</v>
      </c>
      <c r="I118" s="32">
        <f t="shared" si="17"/>
        <v>2217586</v>
      </c>
      <c r="J118" s="32">
        <f t="shared" si="32"/>
        <v>2612241.75</v>
      </c>
      <c r="K118" s="32">
        <f t="shared" si="25"/>
        <v>423966.83602500003</v>
      </c>
      <c r="L118" s="32"/>
      <c r="M118" s="32"/>
      <c r="N118" s="54">
        <v>0</v>
      </c>
      <c r="O118" s="32">
        <f t="shared" si="22"/>
        <v>423966.83602500003</v>
      </c>
      <c r="P118" s="54">
        <v>2760296.06</v>
      </c>
      <c r="R118" s="32">
        <f t="shared" si="18"/>
        <v>2760296.06</v>
      </c>
      <c r="S118" s="32">
        <f t="shared" si="33"/>
        <v>3391047.0333333332</v>
      </c>
      <c r="T118" s="29">
        <f t="shared" si="24"/>
        <v>0.12407965154057812</v>
      </c>
    </row>
    <row r="119" spans="3:29" hidden="1" x14ac:dyDescent="0.2">
      <c r="C119" s="15">
        <v>41183</v>
      </c>
      <c r="D119" s="51">
        <v>0.1757</v>
      </c>
      <c r="E119" s="52">
        <v>0</v>
      </c>
      <c r="F119" s="25">
        <f t="shared" si="21"/>
        <v>0.1757</v>
      </c>
      <c r="G119" s="53">
        <v>2342637</v>
      </c>
      <c r="I119" s="32">
        <f t="shared" si="17"/>
        <v>2342637</v>
      </c>
      <c r="J119" s="32">
        <f t="shared" si="32"/>
        <v>2612369.3333333335</v>
      </c>
      <c r="K119" s="32">
        <f t="shared" si="25"/>
        <v>458993.2918666667</v>
      </c>
      <c r="L119" s="32"/>
      <c r="M119" s="32"/>
      <c r="N119" s="54">
        <v>0</v>
      </c>
      <c r="O119" s="32">
        <f t="shared" si="22"/>
        <v>458993.2918666667</v>
      </c>
      <c r="P119" s="54">
        <v>2893661.89</v>
      </c>
      <c r="R119" s="32">
        <f t="shared" si="18"/>
        <v>2893661.89</v>
      </c>
      <c r="S119" s="32">
        <f t="shared" si="33"/>
        <v>3396871.4408333334</v>
      </c>
      <c r="T119" s="29">
        <f t="shared" si="24"/>
        <v>0.13535444579649053</v>
      </c>
    </row>
    <row r="120" spans="3:29" hidden="1" x14ac:dyDescent="0.2">
      <c r="C120" s="15">
        <v>41214</v>
      </c>
      <c r="D120" s="51">
        <v>0.18229999999999999</v>
      </c>
      <c r="E120" s="52">
        <v>0</v>
      </c>
      <c r="F120" s="25">
        <f t="shared" si="21"/>
        <v>0.18229999999999999</v>
      </c>
      <c r="G120" s="53">
        <v>2951708</v>
      </c>
      <c r="I120" s="32">
        <f t="shared" si="17"/>
        <v>2951708</v>
      </c>
      <c r="J120" s="32">
        <f t="shared" si="32"/>
        <v>2625371.6666666665</v>
      </c>
      <c r="K120" s="32">
        <f t="shared" si="25"/>
        <v>478605.25483333325</v>
      </c>
      <c r="L120" s="32"/>
      <c r="M120" s="32"/>
      <c r="N120" s="54">
        <v>0</v>
      </c>
      <c r="O120" s="32">
        <f t="shared" si="22"/>
        <v>478605.25483333325</v>
      </c>
      <c r="P120" s="54">
        <v>3724856.25</v>
      </c>
      <c r="R120" s="32">
        <f t="shared" si="18"/>
        <v>3724856.25</v>
      </c>
      <c r="S120" s="32">
        <f t="shared" si="33"/>
        <v>3413006.8375000004</v>
      </c>
      <c r="T120" s="29">
        <f t="shared" si="24"/>
        <v>0.14089589882033332</v>
      </c>
    </row>
    <row r="121" spans="3:29" hidden="1" x14ac:dyDescent="0.2">
      <c r="C121" s="15">
        <v>41244</v>
      </c>
      <c r="D121" s="51">
        <v>0.14610000000000001</v>
      </c>
      <c r="E121" s="52">
        <v>0</v>
      </c>
      <c r="F121" s="25">
        <f t="shared" si="21"/>
        <v>0.14610000000000001</v>
      </c>
      <c r="G121" s="53">
        <v>3071075</v>
      </c>
      <c r="I121" s="32">
        <f t="shared" si="17"/>
        <v>3071075</v>
      </c>
      <c r="J121" s="32">
        <f t="shared" si="32"/>
        <v>2616819.1666666665</v>
      </c>
      <c r="K121" s="32">
        <f t="shared" si="25"/>
        <v>382317.28025000001</v>
      </c>
      <c r="L121" s="32"/>
      <c r="M121" s="32"/>
      <c r="N121" s="54">
        <v>0</v>
      </c>
      <c r="O121" s="32">
        <f t="shared" si="22"/>
        <v>382317.28025000001</v>
      </c>
      <c r="P121" s="54">
        <v>3595070.66</v>
      </c>
      <c r="R121" s="32">
        <f t="shared" si="18"/>
        <v>3595070.66</v>
      </c>
      <c r="S121" s="32">
        <f t="shared" si="33"/>
        <v>3368792.1949999989</v>
      </c>
      <c r="T121" s="29">
        <f t="shared" si="24"/>
        <v>0.112017730538754</v>
      </c>
    </row>
    <row r="122" spans="3:29" hidden="1" x14ac:dyDescent="0.2">
      <c r="C122" s="15">
        <v>41275</v>
      </c>
      <c r="D122" s="51">
        <v>0.13489999999999999</v>
      </c>
      <c r="E122" s="52">
        <v>0</v>
      </c>
      <c r="F122" s="25">
        <f t="shared" si="21"/>
        <v>0.13489999999999999</v>
      </c>
      <c r="G122" s="53">
        <v>3226392</v>
      </c>
      <c r="I122" s="32">
        <f t="shared" si="17"/>
        <v>3226392</v>
      </c>
      <c r="J122" s="32">
        <f t="shared" si="32"/>
        <v>2608325.3333333335</v>
      </c>
      <c r="K122" s="32">
        <f t="shared" si="25"/>
        <v>351863.08746666665</v>
      </c>
      <c r="L122" s="32"/>
      <c r="M122" s="32"/>
      <c r="N122" s="54">
        <v>0</v>
      </c>
      <c r="O122" s="32">
        <f t="shared" si="22"/>
        <v>351863.08746666665</v>
      </c>
      <c r="P122" s="54">
        <v>4642246.79</v>
      </c>
      <c r="R122" s="32">
        <f t="shared" si="18"/>
        <v>4642246.79</v>
      </c>
      <c r="S122" s="32">
        <f t="shared" si="33"/>
        <v>3391523.4924999997</v>
      </c>
      <c r="T122" s="29">
        <f t="shared" si="24"/>
        <v>0.10444784572610503</v>
      </c>
    </row>
    <row r="123" spans="3:29" hidden="1" x14ac:dyDescent="0.2">
      <c r="C123" s="15">
        <v>41306</v>
      </c>
      <c r="D123" s="51">
        <v>0.12609999999999999</v>
      </c>
      <c r="E123" s="52">
        <v>0</v>
      </c>
      <c r="F123" s="25">
        <f t="shared" si="21"/>
        <v>0.12609999999999999</v>
      </c>
      <c r="G123" s="53">
        <v>2916221</v>
      </c>
      <c r="I123" s="33">
        <f t="shared" si="17"/>
        <v>2916221</v>
      </c>
      <c r="J123" s="33">
        <f t="shared" si="32"/>
        <v>2598923.0833333335</v>
      </c>
      <c r="K123" s="33">
        <f t="shared" si="25"/>
        <v>327724.20080833335</v>
      </c>
      <c r="L123" s="33"/>
      <c r="M123" s="33"/>
      <c r="N123" s="54">
        <v>0</v>
      </c>
      <c r="O123" s="33">
        <f t="shared" si="22"/>
        <v>327724.20080833335</v>
      </c>
      <c r="P123" s="54">
        <v>3893707.6</v>
      </c>
      <c r="R123" s="32">
        <f t="shared" si="18"/>
        <v>3893707.6</v>
      </c>
      <c r="S123" s="32">
        <f t="shared" si="33"/>
        <v>3356326.5741666667</v>
      </c>
      <c r="T123" s="29">
        <f t="shared" si="24"/>
        <v>9.6630379100442976E-2</v>
      </c>
    </row>
    <row r="124" spans="3:29" hidden="1" x14ac:dyDescent="0.2">
      <c r="C124" s="15">
        <v>41334</v>
      </c>
      <c r="D124" s="51">
        <v>0.14369999999999999</v>
      </c>
      <c r="E124" s="52">
        <v>0</v>
      </c>
      <c r="F124" s="25">
        <f t="shared" si="21"/>
        <v>0.14369999999999999</v>
      </c>
      <c r="G124" s="53">
        <v>3064072</v>
      </c>
      <c r="I124" s="33">
        <f t="shared" si="17"/>
        <v>3064072</v>
      </c>
      <c r="J124" s="33">
        <f t="shared" si="32"/>
        <v>2653217.0833333335</v>
      </c>
      <c r="K124" s="33">
        <f t="shared" si="25"/>
        <v>381267.29487500002</v>
      </c>
      <c r="L124" s="33"/>
      <c r="M124" s="33"/>
      <c r="N124" s="54">
        <v>0</v>
      </c>
      <c r="O124" s="33">
        <f t="shared" si="22"/>
        <v>381267.29487500002</v>
      </c>
      <c r="P124" s="54">
        <v>3770404.61</v>
      </c>
      <c r="R124" s="32">
        <f t="shared" si="18"/>
        <v>3770404.61</v>
      </c>
      <c r="S124" s="32">
        <f t="shared" si="33"/>
        <v>3423102.7983333333</v>
      </c>
      <c r="T124" s="29">
        <f t="shared" si="24"/>
        <v>0.11359660225246819</v>
      </c>
    </row>
    <row r="125" spans="3:29" hidden="1" x14ac:dyDescent="0.2">
      <c r="C125" s="15">
        <v>41365</v>
      </c>
      <c r="D125" s="51">
        <v>0.14269999999999999</v>
      </c>
      <c r="E125" s="52">
        <v>0</v>
      </c>
      <c r="F125" s="25">
        <f t="shared" si="21"/>
        <v>0.14269999999999999</v>
      </c>
      <c r="G125" s="53">
        <v>2250724</v>
      </c>
      <c r="I125" s="33">
        <f t="shared" si="17"/>
        <v>2250724</v>
      </c>
      <c r="J125" s="33">
        <f t="shared" si="32"/>
        <v>2666722.9166666665</v>
      </c>
      <c r="K125" s="33">
        <f t="shared" si="25"/>
        <v>380541.3602083333</v>
      </c>
      <c r="L125" s="33"/>
      <c r="M125" s="33"/>
      <c r="N125" s="54">
        <v>0</v>
      </c>
      <c r="O125" s="33">
        <f t="shared" si="22"/>
        <v>380541.3602083333</v>
      </c>
      <c r="P125" s="54">
        <v>3085729.56</v>
      </c>
      <c r="R125" s="32">
        <f t="shared" si="18"/>
        <v>3085729.56</v>
      </c>
      <c r="S125" s="32">
        <f t="shared" si="33"/>
        <v>3446873.0716666668</v>
      </c>
      <c r="T125" s="29">
        <f t="shared" si="24"/>
        <v>0.11116854579816131</v>
      </c>
    </row>
    <row r="126" spans="3:29" hidden="1" x14ac:dyDescent="0.2">
      <c r="C126" s="15">
        <v>41395</v>
      </c>
      <c r="D126" s="51">
        <v>0.1797</v>
      </c>
      <c r="E126" s="52">
        <v>0</v>
      </c>
      <c r="F126" s="25">
        <f t="shared" si="21"/>
        <v>0.1797</v>
      </c>
      <c r="G126" s="53">
        <v>2239113</v>
      </c>
      <c r="I126" s="33">
        <f t="shared" si="17"/>
        <v>2239113</v>
      </c>
      <c r="J126" s="33">
        <f t="shared" si="32"/>
        <v>2663856.1666666665</v>
      </c>
      <c r="K126" s="33">
        <f t="shared" si="25"/>
        <v>478694.95314999996</v>
      </c>
      <c r="L126" s="33"/>
      <c r="M126" s="33"/>
      <c r="N126" s="54">
        <v>0</v>
      </c>
      <c r="O126" s="33">
        <f t="shared" si="22"/>
        <v>478694.95314999996</v>
      </c>
      <c r="P126" s="54">
        <v>2800324.79</v>
      </c>
      <c r="R126" s="32">
        <f t="shared" si="18"/>
        <v>2800324.79</v>
      </c>
      <c r="S126" s="32">
        <f t="shared" si="33"/>
        <v>3426808.9675000007</v>
      </c>
      <c r="T126" s="29">
        <f t="shared" si="24"/>
        <v>0.13887803327742979</v>
      </c>
    </row>
    <row r="127" spans="3:29" hidden="1" x14ac:dyDescent="0.2">
      <c r="C127" s="15">
        <v>41426</v>
      </c>
      <c r="D127" s="51">
        <v>0.1709</v>
      </c>
      <c r="E127" s="52">
        <v>0</v>
      </c>
      <c r="F127" s="52">
        <f t="shared" si="21"/>
        <v>0.1709</v>
      </c>
      <c r="G127" s="53">
        <v>2432452</v>
      </c>
      <c r="H127" s="38"/>
      <c r="I127" s="54">
        <f t="shared" si="17"/>
        <v>2432452</v>
      </c>
      <c r="J127" s="54">
        <f t="shared" si="32"/>
        <v>2661176.6666666665</v>
      </c>
      <c r="K127" s="54">
        <f t="shared" si="25"/>
        <v>454795.09233333328</v>
      </c>
      <c r="L127" s="54"/>
      <c r="M127" s="54"/>
      <c r="N127" s="54">
        <v>0</v>
      </c>
      <c r="O127" s="54">
        <f t="shared" si="22"/>
        <v>454795.09233333328</v>
      </c>
      <c r="P127" s="54">
        <v>3151321.31</v>
      </c>
      <c r="R127" s="32">
        <f t="shared" si="18"/>
        <v>3151321.31</v>
      </c>
      <c r="S127" s="32">
        <f t="shared" si="33"/>
        <v>3457634.3441666667</v>
      </c>
      <c r="T127" s="29">
        <f t="shared" si="24"/>
        <v>0.13271679181612658</v>
      </c>
      <c r="V127" s="55"/>
      <c r="W127" s="55"/>
      <c r="X127" s="55"/>
    </row>
    <row r="128" spans="3:29" hidden="1" x14ac:dyDescent="0.2">
      <c r="C128" s="15">
        <v>41456</v>
      </c>
      <c r="D128" s="51">
        <v>0.15770000000000001</v>
      </c>
      <c r="E128" s="52">
        <v>0</v>
      </c>
      <c r="F128" s="52">
        <f t="shared" si="21"/>
        <v>0.15770000000000001</v>
      </c>
      <c r="G128" s="53">
        <v>2434308</v>
      </c>
      <c r="H128" s="38"/>
      <c r="I128" s="54">
        <f t="shared" si="17"/>
        <v>2434308</v>
      </c>
      <c r="J128" s="54">
        <f t="shared" si="32"/>
        <v>2638527.9166666665</v>
      </c>
      <c r="K128" s="54">
        <f t="shared" si="25"/>
        <v>416095.85245833331</v>
      </c>
      <c r="L128" s="54"/>
      <c r="M128" s="54"/>
      <c r="N128" s="54">
        <v>-86631</v>
      </c>
      <c r="O128" s="54">
        <f t="shared" si="22"/>
        <v>329464.85245833331</v>
      </c>
      <c r="P128" s="54">
        <v>3144887.97</v>
      </c>
      <c r="R128" s="32">
        <f t="shared" si="18"/>
        <v>3144887.97</v>
      </c>
      <c r="S128" s="32">
        <f t="shared" si="33"/>
        <v>3421787.8975000004</v>
      </c>
      <c r="T128" s="29">
        <f t="shared" si="24"/>
        <v>9.528620428420069E-2</v>
      </c>
      <c r="V128" s="58">
        <v>-86631</v>
      </c>
      <c r="W128" s="58">
        <v>0</v>
      </c>
      <c r="X128" s="59">
        <f t="shared" ref="X128:X134" si="34">SUM(V128:W128)</f>
        <v>-86631</v>
      </c>
      <c r="Y128" s="60" t="s">
        <v>68</v>
      </c>
      <c r="Z128" s="61"/>
      <c r="AA128" s="61"/>
      <c r="AB128" s="61"/>
      <c r="AC128" s="62"/>
    </row>
    <row r="129" spans="3:29" hidden="1" x14ac:dyDescent="0.2">
      <c r="C129" s="15">
        <v>41487</v>
      </c>
      <c r="D129" s="51">
        <v>0.15490000000000001</v>
      </c>
      <c r="E129" s="52">
        <v>0</v>
      </c>
      <c r="F129" s="52">
        <f t="shared" si="21"/>
        <v>0.15490000000000001</v>
      </c>
      <c r="G129" s="53">
        <v>2428129</v>
      </c>
      <c r="H129" s="38"/>
      <c r="I129" s="54">
        <f t="shared" si="17"/>
        <v>2428129</v>
      </c>
      <c r="J129" s="54">
        <f t="shared" si="32"/>
        <v>2631201.4166666665</v>
      </c>
      <c r="K129" s="54">
        <f t="shared" si="25"/>
        <v>407573.09944166668</v>
      </c>
      <c r="L129" s="54"/>
      <c r="M129" s="54"/>
      <c r="N129" s="54">
        <v>-72539</v>
      </c>
      <c r="O129" s="54">
        <f t="shared" si="22"/>
        <v>335034.09944166668</v>
      </c>
      <c r="P129" s="54">
        <v>3137473.57</v>
      </c>
      <c r="R129" s="32">
        <f t="shared" si="18"/>
        <v>3137473.57</v>
      </c>
      <c r="S129" s="32">
        <f t="shared" si="33"/>
        <v>3383331.7549999994</v>
      </c>
      <c r="T129" s="29">
        <f t="shared" si="24"/>
        <v>9.7912000824611795E-2</v>
      </c>
      <c r="V129" s="58">
        <v>-86631</v>
      </c>
      <c r="W129" s="58">
        <v>14092</v>
      </c>
      <c r="X129" s="59">
        <f t="shared" si="34"/>
        <v>-72539</v>
      </c>
      <c r="Y129" s="60" t="s">
        <v>69</v>
      </c>
      <c r="Z129" s="61"/>
      <c r="AA129" s="61"/>
      <c r="AB129" s="61"/>
      <c r="AC129" s="62"/>
    </row>
    <row r="130" spans="3:29" hidden="1" x14ac:dyDescent="0.2">
      <c r="C130" s="15">
        <v>41518</v>
      </c>
      <c r="D130" s="51">
        <v>0.14929999999999999</v>
      </c>
      <c r="E130" s="52">
        <v>0</v>
      </c>
      <c r="F130" s="52">
        <f t="shared" si="21"/>
        <v>0.14929999999999999</v>
      </c>
      <c r="G130" s="53">
        <v>2130317</v>
      </c>
      <c r="H130" s="38"/>
      <c r="I130" s="54">
        <f t="shared" si="17"/>
        <v>2130317</v>
      </c>
      <c r="J130" s="54">
        <f t="shared" si="32"/>
        <v>2623929</v>
      </c>
      <c r="K130" s="54">
        <f t="shared" si="25"/>
        <v>391752.59969999996</v>
      </c>
      <c r="L130" s="54"/>
      <c r="M130" s="54"/>
      <c r="N130" s="54">
        <v>-72539</v>
      </c>
      <c r="O130" s="54">
        <f t="shared" si="22"/>
        <v>319213.59969999996</v>
      </c>
      <c r="P130" s="54">
        <v>2896034.94</v>
      </c>
      <c r="R130" s="32">
        <f t="shared" si="18"/>
        <v>2896034.94</v>
      </c>
      <c r="S130" s="32">
        <f t="shared" si="33"/>
        <v>3394643.3283333331</v>
      </c>
      <c r="T130" s="29">
        <f t="shared" si="24"/>
        <v>9.4348891215960587E-2</v>
      </c>
      <c r="V130" s="58">
        <v>-86631</v>
      </c>
      <c r="W130" s="58">
        <v>14092</v>
      </c>
      <c r="X130" s="59">
        <f t="shared" si="34"/>
        <v>-72539</v>
      </c>
      <c r="Y130" s="60" t="s">
        <v>69</v>
      </c>
      <c r="Z130" s="61"/>
      <c r="AA130" s="61"/>
      <c r="AB130" s="61"/>
      <c r="AC130" s="62"/>
    </row>
    <row r="131" spans="3:29" hidden="1" x14ac:dyDescent="0.2">
      <c r="C131" s="15">
        <v>41548</v>
      </c>
      <c r="D131" s="51">
        <v>0.16689999999999999</v>
      </c>
      <c r="E131" s="52">
        <v>0</v>
      </c>
      <c r="F131" s="52">
        <f t="shared" si="21"/>
        <v>0.16689999999999999</v>
      </c>
      <c r="G131" s="53">
        <v>2065805</v>
      </c>
      <c r="H131" s="38"/>
      <c r="I131" s="54">
        <f t="shared" si="17"/>
        <v>2065805</v>
      </c>
      <c r="J131" s="54">
        <f t="shared" si="32"/>
        <v>2600859.6666666665</v>
      </c>
      <c r="K131" s="54">
        <f t="shared" si="25"/>
        <v>434083.47836666665</v>
      </c>
      <c r="L131" s="54"/>
      <c r="M131" s="54"/>
      <c r="N131" s="54">
        <v>-72539</v>
      </c>
      <c r="O131" s="54">
        <f t="shared" si="22"/>
        <v>361544.47836666665</v>
      </c>
      <c r="P131" s="54">
        <v>2683024.75</v>
      </c>
      <c r="R131" s="32">
        <f t="shared" si="18"/>
        <v>2683024.75</v>
      </c>
      <c r="S131" s="32">
        <f t="shared" si="33"/>
        <v>3377090.2333333325</v>
      </c>
      <c r="T131" s="29">
        <f t="shared" si="24"/>
        <v>0.10650440809172551</v>
      </c>
      <c r="V131" s="58">
        <v>-86631</v>
      </c>
      <c r="W131" s="58">
        <v>14092</v>
      </c>
      <c r="X131" s="59">
        <f t="shared" si="34"/>
        <v>-72539</v>
      </c>
      <c r="Y131" s="60" t="s">
        <v>69</v>
      </c>
      <c r="Z131" s="61"/>
      <c r="AA131" s="61"/>
      <c r="AB131" s="61"/>
      <c r="AC131" s="62"/>
    </row>
    <row r="132" spans="3:29" hidden="1" x14ac:dyDescent="0.2">
      <c r="C132" s="15">
        <v>41579</v>
      </c>
      <c r="D132" s="51">
        <v>0.17430000000000001</v>
      </c>
      <c r="E132" s="52">
        <v>0</v>
      </c>
      <c r="F132" s="52">
        <f t="shared" si="21"/>
        <v>0.17430000000000001</v>
      </c>
      <c r="G132" s="53">
        <v>2694276</v>
      </c>
      <c r="H132" s="38"/>
      <c r="I132" s="54">
        <f t="shared" si="17"/>
        <v>2694276</v>
      </c>
      <c r="J132" s="54">
        <f t="shared" si="32"/>
        <v>2579407</v>
      </c>
      <c r="K132" s="54">
        <f t="shared" si="25"/>
        <v>449590.64010000002</v>
      </c>
      <c r="L132" s="54"/>
      <c r="M132" s="54"/>
      <c r="N132" s="54">
        <v>-72539</v>
      </c>
      <c r="O132" s="54">
        <f t="shared" si="22"/>
        <v>377051.64010000002</v>
      </c>
      <c r="P132" s="54">
        <v>3151600.96</v>
      </c>
      <c r="R132" s="32">
        <f t="shared" si="18"/>
        <v>3151600.96</v>
      </c>
      <c r="S132" s="32">
        <f t="shared" si="33"/>
        <v>3329318.9591666665</v>
      </c>
      <c r="T132" s="29">
        <f t="shared" si="24"/>
        <v>0.1116498565476096</v>
      </c>
      <c r="V132" s="58">
        <v>-86631</v>
      </c>
      <c r="W132" s="58">
        <v>14092</v>
      </c>
      <c r="X132" s="59">
        <f t="shared" si="34"/>
        <v>-72539</v>
      </c>
      <c r="Y132" s="60" t="s">
        <v>69</v>
      </c>
      <c r="Z132" s="61"/>
      <c r="AA132" s="61"/>
      <c r="AB132" s="61"/>
      <c r="AC132" s="62"/>
    </row>
    <row r="133" spans="3:29" hidden="1" x14ac:dyDescent="0.2">
      <c r="C133" s="15">
        <v>41609</v>
      </c>
      <c r="D133" s="51">
        <v>0.1454</v>
      </c>
      <c r="E133" s="52">
        <v>0</v>
      </c>
      <c r="F133" s="52">
        <f t="shared" si="21"/>
        <v>0.1454</v>
      </c>
      <c r="G133" s="53">
        <v>3126509</v>
      </c>
      <c r="H133" s="38"/>
      <c r="I133" s="54">
        <f t="shared" si="17"/>
        <v>3126509</v>
      </c>
      <c r="J133" s="54">
        <f t="shared" si="32"/>
        <v>2584026.5</v>
      </c>
      <c r="K133" s="54">
        <f t="shared" si="25"/>
        <v>375717.45309999998</v>
      </c>
      <c r="L133" s="54"/>
      <c r="M133" s="54"/>
      <c r="N133" s="54">
        <v>-72539</v>
      </c>
      <c r="O133" s="54">
        <f t="shared" si="22"/>
        <v>303178.45309999998</v>
      </c>
      <c r="P133" s="54">
        <v>4087433.87</v>
      </c>
      <c r="R133" s="32">
        <f t="shared" si="18"/>
        <v>4087433.87</v>
      </c>
      <c r="S133" s="32">
        <f t="shared" si="33"/>
        <v>3370349.2266666666</v>
      </c>
      <c r="T133" s="29">
        <f t="shared" si="24"/>
        <v>9.1063204462658628E-2</v>
      </c>
      <c r="V133" s="58">
        <v>-86631</v>
      </c>
      <c r="W133" s="58">
        <v>14092</v>
      </c>
      <c r="X133" s="59">
        <f t="shared" si="34"/>
        <v>-72539</v>
      </c>
      <c r="Y133" s="60" t="s">
        <v>69</v>
      </c>
      <c r="Z133" s="61"/>
      <c r="AA133" s="61"/>
      <c r="AB133" s="61"/>
      <c r="AC133" s="62"/>
    </row>
    <row r="134" spans="3:29" hidden="1" x14ac:dyDescent="0.2">
      <c r="C134" s="15">
        <v>41640</v>
      </c>
      <c r="D134" s="51">
        <v>0.10920000000000001</v>
      </c>
      <c r="E134" s="52">
        <v>0</v>
      </c>
      <c r="F134" s="52">
        <f t="shared" si="21"/>
        <v>0.10920000000000001</v>
      </c>
      <c r="G134" s="53">
        <v>4015375</v>
      </c>
      <c r="H134" s="38"/>
      <c r="I134" s="54">
        <f t="shared" si="17"/>
        <v>4015375</v>
      </c>
      <c r="J134" s="54">
        <f t="shared" si="32"/>
        <v>2649775.0833333335</v>
      </c>
      <c r="K134" s="54">
        <f t="shared" si="25"/>
        <v>289355.43910000002</v>
      </c>
      <c r="L134" s="54"/>
      <c r="M134" s="54"/>
      <c r="N134" s="54">
        <v>14092</v>
      </c>
      <c r="O134" s="54">
        <f t="shared" si="22"/>
        <v>303447.43910000002</v>
      </c>
      <c r="P134" s="54">
        <v>5132307.5999999996</v>
      </c>
      <c r="R134" s="32">
        <f t="shared" si="18"/>
        <v>5132307.5999999996</v>
      </c>
      <c r="S134" s="32">
        <f t="shared" si="33"/>
        <v>3411187.6274999999</v>
      </c>
      <c r="T134" s="29">
        <f t="shared" si="24"/>
        <v>9.0034420379669314E-2</v>
      </c>
      <c r="V134" s="58">
        <v>0</v>
      </c>
      <c r="W134" s="58">
        <v>14092</v>
      </c>
      <c r="X134" s="59">
        <f t="shared" si="34"/>
        <v>14092</v>
      </c>
      <c r="Y134" s="60" t="s">
        <v>70</v>
      </c>
      <c r="Z134" s="61"/>
      <c r="AA134" s="61"/>
      <c r="AB134" s="61"/>
      <c r="AC134" s="62"/>
    </row>
    <row r="135" spans="3:29" hidden="1" x14ac:dyDescent="0.2">
      <c r="C135" s="15">
        <v>41671</v>
      </c>
      <c r="D135" s="51">
        <v>5.4399999999999997E-2</v>
      </c>
      <c r="E135" s="52">
        <v>0</v>
      </c>
      <c r="F135" s="52">
        <f t="shared" si="21"/>
        <v>5.4399999999999997E-2</v>
      </c>
      <c r="G135" s="53">
        <v>3131762</v>
      </c>
      <c r="H135" s="38"/>
      <c r="I135" s="54">
        <f t="shared" si="17"/>
        <v>3131762</v>
      </c>
      <c r="J135" s="54">
        <f t="shared" si="32"/>
        <v>2667736.8333333335</v>
      </c>
      <c r="K135" s="54">
        <f t="shared" si="25"/>
        <v>145124.88373333332</v>
      </c>
      <c r="L135" s="54"/>
      <c r="M135" s="54"/>
      <c r="N135" s="54">
        <v>0</v>
      </c>
      <c r="O135" s="54">
        <f t="shared" si="22"/>
        <v>145124.88373333332</v>
      </c>
      <c r="P135" s="54">
        <v>4369861.9800000004</v>
      </c>
      <c r="R135" s="32">
        <f t="shared" si="18"/>
        <v>4369861.9800000004</v>
      </c>
      <c r="S135" s="32">
        <f t="shared" si="33"/>
        <v>3450867.1591666676</v>
      </c>
      <c r="T135" s="29">
        <f t="shared" si="24"/>
        <v>4.2543799867054755E-2</v>
      </c>
      <c r="V135" s="56"/>
      <c r="W135" s="56"/>
      <c r="X135" s="57"/>
    </row>
    <row r="136" spans="3:29" hidden="1" x14ac:dyDescent="0.2">
      <c r="C136" s="15">
        <v>41699</v>
      </c>
      <c r="D136" s="51">
        <v>0.1162</v>
      </c>
      <c r="E136" s="52">
        <v>0</v>
      </c>
      <c r="F136" s="52">
        <f t="shared" si="21"/>
        <v>0.1162</v>
      </c>
      <c r="G136" s="53">
        <v>2986840</v>
      </c>
      <c r="H136" s="38"/>
      <c r="I136" s="54">
        <f t="shared" si="17"/>
        <v>2986840</v>
      </c>
      <c r="J136" s="54">
        <f t="shared" si="32"/>
        <v>2661300.8333333335</v>
      </c>
      <c r="K136" s="54">
        <f t="shared" si="25"/>
        <v>309243.15683333337</v>
      </c>
      <c r="L136" s="54"/>
      <c r="M136" s="54"/>
      <c r="N136" s="54">
        <v>-19814</v>
      </c>
      <c r="O136" s="54">
        <f t="shared" si="22"/>
        <v>289429.15683333337</v>
      </c>
      <c r="P136" s="54">
        <v>3828196.19</v>
      </c>
      <c r="R136" s="32">
        <f t="shared" si="18"/>
        <v>3828196.19</v>
      </c>
      <c r="S136" s="32">
        <f t="shared" si="33"/>
        <v>3455683.1241666661</v>
      </c>
      <c r="T136" s="29">
        <f t="shared" si="24"/>
        <v>8.3871428103081819E-2</v>
      </c>
      <c r="V136" s="58">
        <v>-19814</v>
      </c>
      <c r="W136" s="58">
        <v>0</v>
      </c>
      <c r="X136" s="59">
        <f t="shared" ref="X136:X141" si="35">SUM(V136:W136)</f>
        <v>-19814</v>
      </c>
      <c r="Y136" s="60" t="s">
        <v>71</v>
      </c>
      <c r="Z136" s="61"/>
      <c r="AA136" s="61"/>
      <c r="AB136" s="61"/>
      <c r="AC136" s="62"/>
    </row>
    <row r="137" spans="3:29" hidden="1" x14ac:dyDescent="0.2">
      <c r="C137" s="15">
        <v>41730</v>
      </c>
      <c r="D137" s="51">
        <v>0.13469999999999999</v>
      </c>
      <c r="E137" s="52">
        <v>0</v>
      </c>
      <c r="F137" s="52">
        <f t="shared" si="21"/>
        <v>0.13469999999999999</v>
      </c>
      <c r="G137" s="53">
        <v>2216294</v>
      </c>
      <c r="H137" s="38"/>
      <c r="I137" s="54">
        <f t="shared" si="17"/>
        <v>2216294</v>
      </c>
      <c r="J137" s="54">
        <f t="shared" si="32"/>
        <v>2658431.6666666665</v>
      </c>
      <c r="K137" s="54">
        <f t="shared" si="25"/>
        <v>358090.74549999996</v>
      </c>
      <c r="L137" s="54"/>
      <c r="M137" s="54"/>
      <c r="N137" s="54">
        <v>-19814</v>
      </c>
      <c r="O137" s="54">
        <f t="shared" si="22"/>
        <v>338276.74549999996</v>
      </c>
      <c r="P137" s="54">
        <v>2887592.37</v>
      </c>
      <c r="R137" s="32">
        <f t="shared" si="18"/>
        <v>2887592.37</v>
      </c>
      <c r="S137" s="32">
        <f t="shared" si="33"/>
        <v>3439171.691666666</v>
      </c>
      <c r="T137" s="29">
        <f t="shared" si="24"/>
        <v>9.7889978144791556E-2</v>
      </c>
      <c r="V137" s="58">
        <v>-19814</v>
      </c>
      <c r="W137" s="58">
        <v>0</v>
      </c>
      <c r="X137" s="59">
        <f t="shared" si="35"/>
        <v>-19814</v>
      </c>
      <c r="Y137" s="60" t="s">
        <v>71</v>
      </c>
      <c r="Z137" s="61"/>
      <c r="AA137" s="61"/>
      <c r="AB137" s="61"/>
      <c r="AC137" s="62"/>
    </row>
    <row r="138" spans="3:29" hidden="1" x14ac:dyDescent="0.2">
      <c r="C138" s="15">
        <v>41760</v>
      </c>
      <c r="D138" s="51">
        <v>0.15840000000000001</v>
      </c>
      <c r="E138" s="52">
        <v>0</v>
      </c>
      <c r="F138" s="52">
        <f t="shared" si="21"/>
        <v>0.15840000000000001</v>
      </c>
      <c r="G138" s="53">
        <v>2198009</v>
      </c>
      <c r="H138" s="38"/>
      <c r="I138" s="54">
        <f t="shared" si="17"/>
        <v>2198009</v>
      </c>
      <c r="J138" s="54">
        <f t="shared" si="32"/>
        <v>2655006.3333333335</v>
      </c>
      <c r="K138" s="54">
        <f t="shared" si="25"/>
        <v>420553.00320000004</v>
      </c>
      <c r="L138" s="54"/>
      <c r="M138" s="54"/>
      <c r="N138" s="54">
        <v>-19814</v>
      </c>
      <c r="O138" s="54">
        <f t="shared" si="22"/>
        <v>400739.00320000004</v>
      </c>
      <c r="P138" s="54">
        <v>2941166.01</v>
      </c>
      <c r="R138" s="32">
        <f t="shared" si="18"/>
        <v>2941166.01</v>
      </c>
      <c r="S138" s="32">
        <f t="shared" si="33"/>
        <v>3450908.4599999995</v>
      </c>
      <c r="T138" s="29">
        <f t="shared" si="24"/>
        <v>0.11652195328631496</v>
      </c>
      <c r="V138" s="58">
        <v>-19814</v>
      </c>
      <c r="W138" s="58">
        <v>0</v>
      </c>
      <c r="X138" s="59">
        <f t="shared" si="35"/>
        <v>-19814</v>
      </c>
      <c r="Y138" s="60" t="s">
        <v>71</v>
      </c>
      <c r="Z138" s="61"/>
      <c r="AA138" s="61"/>
      <c r="AB138" s="61"/>
      <c r="AC138" s="62"/>
    </row>
    <row r="139" spans="3:29" hidden="1" x14ac:dyDescent="0.2">
      <c r="C139" s="15">
        <v>41791</v>
      </c>
      <c r="D139" s="51">
        <v>0.15670000000000001</v>
      </c>
      <c r="E139" s="52">
        <v>0</v>
      </c>
      <c r="F139" s="52">
        <f t="shared" si="21"/>
        <v>0.15670000000000001</v>
      </c>
      <c r="G139" s="53">
        <v>2516965</v>
      </c>
      <c r="H139" s="38"/>
      <c r="I139" s="54">
        <f t="shared" si="17"/>
        <v>2516965</v>
      </c>
      <c r="J139" s="54">
        <f t="shared" si="32"/>
        <v>2662049.0833333335</v>
      </c>
      <c r="K139" s="54">
        <f t="shared" si="25"/>
        <v>417143.09135833336</v>
      </c>
      <c r="L139" s="54"/>
      <c r="M139" s="54"/>
      <c r="N139" s="54">
        <v>-19814</v>
      </c>
      <c r="O139" s="54">
        <f t="shared" si="22"/>
        <v>397329.09135833336</v>
      </c>
      <c r="P139" s="54">
        <v>3104725.45</v>
      </c>
      <c r="R139" s="32">
        <f t="shared" si="18"/>
        <v>3104725.45</v>
      </c>
      <c r="S139" s="32">
        <f t="shared" si="33"/>
        <v>3447025.4716666671</v>
      </c>
      <c r="T139" s="29">
        <f t="shared" si="24"/>
        <v>0.11513753435184816</v>
      </c>
      <c r="V139" s="58">
        <v>-19814</v>
      </c>
      <c r="W139" s="58">
        <v>0</v>
      </c>
      <c r="X139" s="59">
        <f t="shared" si="35"/>
        <v>-19814</v>
      </c>
      <c r="Y139" s="60" t="s">
        <v>71</v>
      </c>
      <c r="Z139" s="61"/>
      <c r="AA139" s="61"/>
      <c r="AB139" s="61"/>
      <c r="AC139" s="62"/>
    </row>
    <row r="140" spans="3:29" hidden="1" x14ac:dyDescent="0.2">
      <c r="C140" s="15">
        <v>41821</v>
      </c>
      <c r="D140" s="51">
        <v>0.14380000000000001</v>
      </c>
      <c r="E140" s="52">
        <v>0</v>
      </c>
      <c r="F140" s="52">
        <f t="shared" si="21"/>
        <v>0.14380000000000001</v>
      </c>
      <c r="G140" s="53">
        <v>2544514</v>
      </c>
      <c r="H140" s="38"/>
      <c r="I140" s="54">
        <f t="shared" si="17"/>
        <v>2544514</v>
      </c>
      <c r="J140" s="54">
        <f t="shared" si="32"/>
        <v>2671232.9166666665</v>
      </c>
      <c r="K140" s="54">
        <f t="shared" si="25"/>
        <v>384123.29341666668</v>
      </c>
      <c r="L140" s="54"/>
      <c r="M140" s="54"/>
      <c r="N140" s="54">
        <v>-19814</v>
      </c>
      <c r="O140" s="54">
        <f t="shared" si="22"/>
        <v>364309.29341666668</v>
      </c>
      <c r="P140" s="54">
        <v>3310341.6</v>
      </c>
      <c r="R140" s="32">
        <f t="shared" si="18"/>
        <v>3310341.6</v>
      </c>
      <c r="S140" s="32">
        <f t="shared" si="33"/>
        <v>3460813.2741666674</v>
      </c>
      <c r="T140" s="29">
        <f t="shared" si="24"/>
        <v>0.10568801896335275</v>
      </c>
      <c r="V140" s="58">
        <v>-19814</v>
      </c>
      <c r="W140" s="58">
        <v>0</v>
      </c>
      <c r="X140" s="59">
        <f t="shared" si="35"/>
        <v>-19814</v>
      </c>
      <c r="Y140" s="60" t="s">
        <v>71</v>
      </c>
      <c r="Z140" s="61"/>
      <c r="AA140" s="61"/>
      <c r="AB140" s="61"/>
      <c r="AC140" s="62"/>
    </row>
    <row r="141" spans="3:29" hidden="1" x14ac:dyDescent="0.2">
      <c r="C141" s="15">
        <v>41852</v>
      </c>
      <c r="D141" s="51">
        <v>0.12620000000000001</v>
      </c>
      <c r="E141" s="52">
        <v>0</v>
      </c>
      <c r="F141" s="52">
        <f t="shared" si="21"/>
        <v>0.12620000000000001</v>
      </c>
      <c r="G141" s="53">
        <v>2578655</v>
      </c>
      <c r="H141" s="38"/>
      <c r="I141" s="54">
        <f t="shared" si="17"/>
        <v>2578655</v>
      </c>
      <c r="J141" s="54">
        <f t="shared" si="32"/>
        <v>2683776.75</v>
      </c>
      <c r="K141" s="54">
        <f t="shared" si="25"/>
        <v>338692.62585000001</v>
      </c>
      <c r="L141" s="54"/>
      <c r="M141" s="54"/>
      <c r="N141" s="54">
        <v>-19814</v>
      </c>
      <c r="O141" s="54">
        <f t="shared" si="22"/>
        <v>318878.62585000001</v>
      </c>
      <c r="P141" s="54">
        <v>3327004.82</v>
      </c>
      <c r="R141" s="32">
        <f t="shared" si="18"/>
        <v>3327004.82</v>
      </c>
      <c r="S141" s="32">
        <f t="shared" si="33"/>
        <v>3476607.5450000004</v>
      </c>
      <c r="T141" s="29">
        <f t="shared" si="24"/>
        <v>9.2139795067904415E-2</v>
      </c>
      <c r="V141" s="58">
        <v>-19814</v>
      </c>
      <c r="W141" s="58">
        <v>0</v>
      </c>
      <c r="X141" s="59">
        <f t="shared" si="35"/>
        <v>-19814</v>
      </c>
      <c r="Y141" s="60" t="s">
        <v>71</v>
      </c>
      <c r="Z141" s="61"/>
      <c r="AA141" s="61"/>
      <c r="AB141" s="61"/>
      <c r="AC141" s="62"/>
    </row>
    <row r="142" spans="3:29" hidden="1" x14ac:dyDescent="0.2">
      <c r="C142" s="15">
        <v>41883</v>
      </c>
      <c r="D142" s="51">
        <v>0.1353</v>
      </c>
      <c r="E142" s="52">
        <v>0</v>
      </c>
      <c r="F142" s="52">
        <f t="shared" si="21"/>
        <v>0.1353</v>
      </c>
      <c r="G142" s="53">
        <v>2169281</v>
      </c>
      <c r="H142" s="38"/>
      <c r="I142" s="54">
        <f t="shared" si="17"/>
        <v>2169281</v>
      </c>
      <c r="J142" s="54">
        <f t="shared" si="32"/>
        <v>2687023.75</v>
      </c>
      <c r="K142" s="54">
        <f t="shared" si="25"/>
        <v>363554.31337500003</v>
      </c>
      <c r="L142" s="54"/>
      <c r="M142" s="54"/>
      <c r="N142" s="54">
        <v>0</v>
      </c>
      <c r="O142" s="54">
        <f t="shared" si="22"/>
        <v>363554.31337500003</v>
      </c>
      <c r="P142" s="54">
        <v>2880760.56</v>
      </c>
      <c r="R142" s="32">
        <f t="shared" si="18"/>
        <v>2880760.56</v>
      </c>
      <c r="S142" s="32">
        <f t="shared" si="33"/>
        <v>3475334.68</v>
      </c>
      <c r="T142" s="29">
        <f t="shared" si="24"/>
        <v>0.10457157118520836</v>
      </c>
      <c r="V142" s="63"/>
      <c r="W142" s="63"/>
      <c r="X142" s="57"/>
      <c r="Y142" s="64"/>
    </row>
    <row r="143" spans="3:29" hidden="1" x14ac:dyDescent="0.2">
      <c r="C143" s="15">
        <v>41913</v>
      </c>
      <c r="D143" s="51">
        <v>0.15570000000000001</v>
      </c>
      <c r="E143" s="52">
        <v>0</v>
      </c>
      <c r="F143" s="52">
        <f t="shared" si="21"/>
        <v>0.15570000000000001</v>
      </c>
      <c r="G143" s="53">
        <v>1986486</v>
      </c>
      <c r="H143" s="38"/>
      <c r="I143" s="54">
        <f t="shared" si="17"/>
        <v>1986486</v>
      </c>
      <c r="J143" s="54">
        <f t="shared" si="32"/>
        <v>2680413.8333333335</v>
      </c>
      <c r="K143" s="54">
        <f t="shared" si="25"/>
        <v>417340.43385000003</v>
      </c>
      <c r="L143" s="54"/>
      <c r="M143" s="54"/>
      <c r="N143" s="54">
        <v>0</v>
      </c>
      <c r="O143" s="54">
        <f t="shared" si="22"/>
        <v>417340.43385000003</v>
      </c>
      <c r="P143" s="54">
        <v>2856333.15</v>
      </c>
      <c r="R143" s="32">
        <f t="shared" si="18"/>
        <v>2856333.15</v>
      </c>
      <c r="S143" s="32">
        <f t="shared" si="33"/>
        <v>3489777.0466666669</v>
      </c>
      <c r="T143" s="29">
        <f t="shared" si="24"/>
        <v>0.12008640095923079</v>
      </c>
      <c r="V143" s="63"/>
      <c r="W143" s="63"/>
      <c r="X143" s="57"/>
      <c r="Y143" s="64"/>
    </row>
    <row r="144" spans="3:29" hidden="1" x14ac:dyDescent="0.2">
      <c r="C144" s="15">
        <v>41944</v>
      </c>
      <c r="D144" s="51">
        <v>0.16950000000000001</v>
      </c>
      <c r="E144" s="52">
        <v>0</v>
      </c>
      <c r="F144" s="52">
        <f t="shared" si="21"/>
        <v>0.16950000000000001</v>
      </c>
      <c r="G144" s="53">
        <v>2875985</v>
      </c>
      <c r="H144" s="38"/>
      <c r="I144" s="54">
        <f t="shared" si="17"/>
        <v>2875985</v>
      </c>
      <c r="J144" s="54">
        <f t="shared" si="32"/>
        <v>2695556.25</v>
      </c>
      <c r="K144" s="54">
        <f t="shared" si="25"/>
        <v>456896.78437500005</v>
      </c>
      <c r="L144" s="54"/>
      <c r="M144" s="54"/>
      <c r="N144" s="54">
        <v>0</v>
      </c>
      <c r="O144" s="54">
        <f t="shared" si="22"/>
        <v>456896.78437500005</v>
      </c>
      <c r="P144" s="54">
        <v>3814308.02</v>
      </c>
      <c r="R144" s="32">
        <f t="shared" si="18"/>
        <v>3814308.02</v>
      </c>
      <c r="S144" s="32">
        <f t="shared" si="33"/>
        <v>3545002.6350000002</v>
      </c>
      <c r="T144" s="29">
        <f t="shared" si="24"/>
        <v>0.13092434796412411</v>
      </c>
      <c r="V144" s="63"/>
      <c r="W144" s="63"/>
      <c r="X144" s="57"/>
      <c r="Y144" s="64"/>
    </row>
    <row r="145" spans="3:29" hidden="1" x14ac:dyDescent="0.2">
      <c r="C145" s="15">
        <v>41974</v>
      </c>
      <c r="D145" s="51">
        <v>0.13880000000000001</v>
      </c>
      <c r="E145" s="52">
        <v>0</v>
      </c>
      <c r="F145" s="52">
        <f t="shared" si="21"/>
        <v>0.13880000000000001</v>
      </c>
      <c r="G145" s="53">
        <v>2935469</v>
      </c>
      <c r="H145" s="38"/>
      <c r="I145" s="54">
        <f t="shared" si="17"/>
        <v>2935469</v>
      </c>
      <c r="J145" s="54">
        <f t="shared" si="32"/>
        <v>2679636.25</v>
      </c>
      <c r="K145" s="54">
        <f t="shared" si="25"/>
        <v>371933.51150000002</v>
      </c>
      <c r="L145" s="54"/>
      <c r="M145" s="54"/>
      <c r="N145" s="54">
        <v>0</v>
      </c>
      <c r="O145" s="54">
        <f t="shared" si="22"/>
        <v>371933.51150000002</v>
      </c>
      <c r="P145" s="54">
        <v>3607210.21</v>
      </c>
      <c r="R145" s="32">
        <f t="shared" si="18"/>
        <v>3607210.21</v>
      </c>
      <c r="S145" s="32">
        <f t="shared" si="33"/>
        <v>3504983.9966666666</v>
      </c>
      <c r="T145" s="29">
        <f t="shared" si="24"/>
        <v>0.10491769676780509</v>
      </c>
      <c r="V145" s="63"/>
      <c r="W145" s="63"/>
      <c r="X145" s="57"/>
      <c r="Y145" s="64"/>
    </row>
    <row r="146" spans="3:29" hidden="1" x14ac:dyDescent="0.2">
      <c r="C146" s="15">
        <v>42005</v>
      </c>
      <c r="D146" s="51">
        <v>0.13669999999999999</v>
      </c>
      <c r="E146" s="52">
        <v>0</v>
      </c>
      <c r="F146" s="52">
        <f t="shared" si="21"/>
        <v>0.13669999999999999</v>
      </c>
      <c r="G146" s="53">
        <v>3429110</v>
      </c>
      <c r="H146" s="38"/>
      <c r="I146" s="54">
        <f t="shared" si="17"/>
        <v>3429110</v>
      </c>
      <c r="J146" s="54">
        <f t="shared" si="32"/>
        <v>2630780.8333333335</v>
      </c>
      <c r="K146" s="54">
        <f t="shared" si="25"/>
        <v>359627.73991666664</v>
      </c>
      <c r="L146" s="54"/>
      <c r="M146" s="54"/>
      <c r="N146" s="54">
        <v>0</v>
      </c>
      <c r="O146" s="54">
        <f t="shared" si="22"/>
        <v>359627.73991666664</v>
      </c>
      <c r="P146" s="54">
        <v>4385055.1900000004</v>
      </c>
      <c r="R146" s="32">
        <f t="shared" si="18"/>
        <v>4385055.1900000004</v>
      </c>
      <c r="S146" s="32">
        <f t="shared" si="33"/>
        <v>3442712.9624999999</v>
      </c>
      <c r="T146" s="29">
        <f t="shared" si="24"/>
        <v>0.10260467387545343</v>
      </c>
      <c r="V146" s="63"/>
      <c r="W146" s="63"/>
      <c r="X146" s="57"/>
      <c r="Y146" s="64"/>
    </row>
    <row r="147" spans="3:29" hidden="1" x14ac:dyDescent="0.2">
      <c r="C147" s="15">
        <v>42036</v>
      </c>
      <c r="D147" s="51">
        <v>0.1149</v>
      </c>
      <c r="E147" s="52">
        <v>0</v>
      </c>
      <c r="F147" s="52">
        <f t="shared" si="21"/>
        <v>0.1149</v>
      </c>
      <c r="G147" s="53">
        <v>3593190</v>
      </c>
      <c r="H147" s="38"/>
      <c r="I147" s="54">
        <f t="shared" ref="I147:I210" si="36">+G147-H147</f>
        <v>3593190</v>
      </c>
      <c r="J147" s="54">
        <f t="shared" si="32"/>
        <v>2669233.1666666665</v>
      </c>
      <c r="K147" s="54">
        <f t="shared" si="25"/>
        <v>306694.89084999997</v>
      </c>
      <c r="L147" s="54"/>
      <c r="M147" s="54"/>
      <c r="N147" s="54">
        <v>0</v>
      </c>
      <c r="O147" s="54">
        <f t="shared" si="22"/>
        <v>306694.89084999997</v>
      </c>
      <c r="P147" s="54">
        <v>4838911.67</v>
      </c>
      <c r="R147" s="32">
        <f t="shared" ref="R147:R210" si="37">+P147-Q147</f>
        <v>4838911.67</v>
      </c>
      <c r="S147" s="32">
        <f t="shared" si="33"/>
        <v>3481800.4366666661</v>
      </c>
      <c r="T147" s="29">
        <f t="shared" si="24"/>
        <v>8.9085234287812037E-2</v>
      </c>
      <c r="V147" s="63"/>
      <c r="W147" s="63"/>
      <c r="X147" s="57"/>
      <c r="Y147" s="64"/>
    </row>
    <row r="148" spans="3:29" hidden="1" x14ac:dyDescent="0.2">
      <c r="C148" s="15">
        <v>42064</v>
      </c>
      <c r="D148" s="51">
        <v>0.109</v>
      </c>
      <c r="E148" s="52">
        <v>0</v>
      </c>
      <c r="F148" s="52">
        <f t="shared" si="21"/>
        <v>0.109</v>
      </c>
      <c r="G148" s="53">
        <v>2688858</v>
      </c>
      <c r="H148" s="38"/>
      <c r="I148" s="54">
        <f t="shared" si="36"/>
        <v>2688858</v>
      </c>
      <c r="J148" s="54">
        <f t="shared" si="32"/>
        <v>2644401.3333333335</v>
      </c>
      <c r="K148" s="54">
        <f t="shared" si="25"/>
        <v>288239.74533333333</v>
      </c>
      <c r="L148" s="54"/>
      <c r="M148" s="54"/>
      <c r="N148" s="54">
        <v>0</v>
      </c>
      <c r="O148" s="54">
        <f t="shared" si="22"/>
        <v>288239.74533333333</v>
      </c>
      <c r="P148" s="54">
        <v>3417243.24</v>
      </c>
      <c r="R148" s="32">
        <f t="shared" si="37"/>
        <v>3417243.24</v>
      </c>
      <c r="S148" s="32">
        <f t="shared" si="33"/>
        <v>3447554.3574999999</v>
      </c>
      <c r="T148" s="29">
        <f t="shared" si="24"/>
        <v>8.2784682975478724E-2</v>
      </c>
      <c r="V148" s="63"/>
      <c r="W148" s="63"/>
      <c r="X148" s="57"/>
      <c r="Y148" s="64"/>
    </row>
    <row r="149" spans="3:29" hidden="1" x14ac:dyDescent="0.2">
      <c r="C149" s="15">
        <v>42095</v>
      </c>
      <c r="D149" s="51">
        <v>0.1444</v>
      </c>
      <c r="E149" s="52">
        <v>0</v>
      </c>
      <c r="F149" s="52">
        <f t="shared" si="21"/>
        <v>0.1444</v>
      </c>
      <c r="G149" s="53">
        <v>1801957</v>
      </c>
      <c r="H149" s="38"/>
      <c r="I149" s="54">
        <f t="shared" si="36"/>
        <v>1801957</v>
      </c>
      <c r="J149" s="54">
        <f t="shared" si="32"/>
        <v>2609873.25</v>
      </c>
      <c r="K149" s="54">
        <f t="shared" si="25"/>
        <v>376865.6973</v>
      </c>
      <c r="L149" s="54"/>
      <c r="M149" s="54"/>
      <c r="N149" s="54">
        <v>0</v>
      </c>
      <c r="O149" s="54">
        <f t="shared" si="22"/>
        <v>376865.6973</v>
      </c>
      <c r="P149" s="54">
        <v>2768695.68</v>
      </c>
      <c r="R149" s="32">
        <f t="shared" si="37"/>
        <v>2768695.68</v>
      </c>
      <c r="S149" s="32">
        <f t="shared" si="33"/>
        <v>3437646.3000000003</v>
      </c>
      <c r="T149" s="29">
        <f t="shared" si="24"/>
        <v>0.10931392466086737</v>
      </c>
      <c r="V149" s="63"/>
      <c r="W149" s="63"/>
      <c r="X149" s="57"/>
      <c r="Y149" s="64"/>
    </row>
    <row r="150" spans="3:29" hidden="1" x14ac:dyDescent="0.2">
      <c r="C150" s="15">
        <v>42125</v>
      </c>
      <c r="D150" s="51">
        <v>0.18090000000000001</v>
      </c>
      <c r="E150" s="52">
        <v>0</v>
      </c>
      <c r="F150" s="52">
        <f t="shared" si="21"/>
        <v>0.18090000000000001</v>
      </c>
      <c r="G150" s="53">
        <v>1846198</v>
      </c>
      <c r="H150" s="38"/>
      <c r="I150" s="54">
        <f t="shared" si="36"/>
        <v>1846198</v>
      </c>
      <c r="J150" s="54">
        <f t="shared" si="32"/>
        <v>2580555.6666666665</v>
      </c>
      <c r="K150" s="54">
        <f t="shared" si="25"/>
        <v>466822.52009999997</v>
      </c>
      <c r="L150" s="54"/>
      <c r="M150" s="54"/>
      <c r="N150" s="54">
        <v>0</v>
      </c>
      <c r="O150" s="54">
        <f t="shared" si="22"/>
        <v>466822.52009999997</v>
      </c>
      <c r="P150" s="54">
        <v>2560101.59</v>
      </c>
      <c r="R150" s="32">
        <f t="shared" si="37"/>
        <v>2560101.59</v>
      </c>
      <c r="S150" s="32">
        <f t="shared" si="33"/>
        <v>3405890.9316666671</v>
      </c>
      <c r="T150" s="29">
        <f t="shared" si="24"/>
        <v>0.13579713541209865</v>
      </c>
      <c r="V150" s="63"/>
      <c r="W150" s="63"/>
      <c r="X150" s="57"/>
      <c r="Y150" s="64"/>
    </row>
    <row r="151" spans="3:29" hidden="1" x14ac:dyDescent="0.2">
      <c r="C151" s="15">
        <v>42156</v>
      </c>
      <c r="D151" s="51">
        <v>0.18440000000000001</v>
      </c>
      <c r="E151" s="52">
        <v>0</v>
      </c>
      <c r="F151" s="52">
        <f t="shared" si="21"/>
        <v>0.18440000000000001</v>
      </c>
      <c r="G151" s="53">
        <v>2351355</v>
      </c>
      <c r="H151" s="38"/>
      <c r="I151" s="54">
        <f t="shared" si="36"/>
        <v>2351355</v>
      </c>
      <c r="J151" s="54">
        <f t="shared" si="32"/>
        <v>2566754.8333333335</v>
      </c>
      <c r="K151" s="54">
        <f t="shared" si="25"/>
        <v>473309.59126666671</v>
      </c>
      <c r="L151" s="54"/>
      <c r="M151" s="54"/>
      <c r="N151" s="54">
        <v>0</v>
      </c>
      <c r="O151" s="54">
        <f t="shared" si="22"/>
        <v>473309.59126666671</v>
      </c>
      <c r="P151" s="54">
        <v>2904423.3</v>
      </c>
      <c r="R151" s="32">
        <f t="shared" si="37"/>
        <v>2904423.3</v>
      </c>
      <c r="S151" s="32">
        <f t="shared" si="33"/>
        <v>3389199.0858333334</v>
      </c>
      <c r="T151" s="29">
        <f t="shared" si="24"/>
        <v>0.13896792374236525</v>
      </c>
      <c r="V151" s="63"/>
      <c r="W151" s="63"/>
      <c r="X151" s="57"/>
      <c r="Y151" s="64"/>
    </row>
    <row r="152" spans="3:29" hidden="1" x14ac:dyDescent="0.2">
      <c r="C152" s="15">
        <v>42186</v>
      </c>
      <c r="D152" s="51">
        <v>0.15909999999999999</v>
      </c>
      <c r="E152" s="52">
        <v>0</v>
      </c>
      <c r="F152" s="52">
        <f t="shared" si="21"/>
        <v>0.15909999999999999</v>
      </c>
      <c r="G152" s="53">
        <v>2476143</v>
      </c>
      <c r="H152" s="38"/>
      <c r="I152" s="54">
        <f t="shared" si="36"/>
        <v>2476143</v>
      </c>
      <c r="J152" s="54">
        <f t="shared" si="32"/>
        <v>2561057.25</v>
      </c>
      <c r="K152" s="54">
        <f t="shared" si="25"/>
        <v>407464.20847499999</v>
      </c>
      <c r="L152" s="54"/>
      <c r="M152" s="54"/>
      <c r="N152" s="54">
        <v>0</v>
      </c>
      <c r="O152" s="54">
        <f t="shared" si="22"/>
        <v>407464.20847499999</v>
      </c>
      <c r="P152" s="54">
        <v>3434852.3</v>
      </c>
      <c r="R152" s="32">
        <f t="shared" si="37"/>
        <v>3434852.3</v>
      </c>
      <c r="S152" s="32">
        <f t="shared" si="33"/>
        <v>3399574.9774999991</v>
      </c>
      <c r="T152" s="29">
        <f t="shared" si="24"/>
        <v>0.12022433564855428</v>
      </c>
      <c r="V152" s="63"/>
      <c r="W152" s="63"/>
      <c r="X152" s="57"/>
      <c r="Y152" s="64"/>
    </row>
    <row r="153" spans="3:29" hidden="1" x14ac:dyDescent="0.2">
      <c r="C153" s="15">
        <v>42217</v>
      </c>
      <c r="D153" s="51">
        <v>0.16250000000000001</v>
      </c>
      <c r="E153" s="52">
        <v>0</v>
      </c>
      <c r="F153" s="52">
        <f t="shared" si="21"/>
        <v>0.16250000000000001</v>
      </c>
      <c r="G153" s="53">
        <v>2286077</v>
      </c>
      <c r="H153" s="38"/>
      <c r="I153" s="54">
        <f t="shared" si="36"/>
        <v>2286077</v>
      </c>
      <c r="J153" s="54">
        <f t="shared" si="32"/>
        <v>2536675.75</v>
      </c>
      <c r="K153" s="54">
        <f t="shared" si="25"/>
        <v>412209.80937500001</v>
      </c>
      <c r="L153" s="54"/>
      <c r="M153" s="54"/>
      <c r="N153" s="54">
        <v>51284</v>
      </c>
      <c r="O153" s="54">
        <f t="shared" si="22"/>
        <v>463493.80937500001</v>
      </c>
      <c r="P153" s="54">
        <v>3098157.15</v>
      </c>
      <c r="R153" s="32">
        <f t="shared" si="37"/>
        <v>3098157.15</v>
      </c>
      <c r="S153" s="32">
        <f t="shared" si="33"/>
        <v>3380504.3383333334</v>
      </c>
      <c r="T153" s="29">
        <f t="shared" si="24"/>
        <v>0.13633875188593339</v>
      </c>
      <c r="V153" s="58">
        <v>51284</v>
      </c>
      <c r="W153" s="58">
        <v>0</v>
      </c>
      <c r="X153" s="59">
        <f t="shared" ref="X153:X158" si="38">SUM(V153:W153)</f>
        <v>51284</v>
      </c>
      <c r="Y153" s="60" t="s">
        <v>72</v>
      </c>
      <c r="Z153" s="61"/>
      <c r="AA153" s="61"/>
      <c r="AB153" s="61"/>
      <c r="AC153" s="62"/>
    </row>
    <row r="154" spans="3:29" hidden="1" x14ac:dyDescent="0.2">
      <c r="C154" s="15">
        <v>42248</v>
      </c>
      <c r="D154" s="51">
        <v>0.17069999999999999</v>
      </c>
      <c r="E154" s="52">
        <v>0</v>
      </c>
      <c r="F154" s="52">
        <f t="shared" si="21"/>
        <v>0.17069999999999999</v>
      </c>
      <c r="G154" s="53">
        <v>2035131</v>
      </c>
      <c r="H154" s="38"/>
      <c r="I154" s="54">
        <f t="shared" si="36"/>
        <v>2035131</v>
      </c>
      <c r="J154" s="54">
        <f t="shared" si="32"/>
        <v>2525496.5833333335</v>
      </c>
      <c r="K154" s="54">
        <f t="shared" si="25"/>
        <v>431102.26677500003</v>
      </c>
      <c r="L154" s="54"/>
      <c r="M154" s="54"/>
      <c r="N154" s="54">
        <v>51284</v>
      </c>
      <c r="O154" s="54">
        <f t="shared" si="22"/>
        <v>482386.26677500003</v>
      </c>
      <c r="P154" s="54">
        <v>2748815.04</v>
      </c>
      <c r="R154" s="32">
        <f t="shared" si="37"/>
        <v>2748815.04</v>
      </c>
      <c r="S154" s="32">
        <f t="shared" si="33"/>
        <v>3369508.8783333334</v>
      </c>
      <c r="T154" s="29">
        <f t="shared" si="24"/>
        <v>0.14269653829606607</v>
      </c>
      <c r="V154" s="58">
        <v>51284</v>
      </c>
      <c r="W154" s="58">
        <v>0</v>
      </c>
      <c r="X154" s="59">
        <f t="shared" si="38"/>
        <v>51284</v>
      </c>
      <c r="Y154" s="60" t="s">
        <v>72</v>
      </c>
      <c r="Z154" s="61"/>
      <c r="AA154" s="61"/>
      <c r="AB154" s="61"/>
      <c r="AC154" s="62"/>
    </row>
    <row r="155" spans="3:29" hidden="1" x14ac:dyDescent="0.2">
      <c r="C155" s="15">
        <v>42278</v>
      </c>
      <c r="D155" s="51">
        <v>0.18509999999999999</v>
      </c>
      <c r="E155" s="52">
        <v>0</v>
      </c>
      <c r="F155" s="52">
        <f t="shared" si="21"/>
        <v>0.18509999999999999</v>
      </c>
      <c r="G155" s="53">
        <v>1903972</v>
      </c>
      <c r="H155" s="38"/>
      <c r="I155" s="54">
        <f t="shared" si="36"/>
        <v>1903972</v>
      </c>
      <c r="J155" s="54">
        <f t="shared" si="32"/>
        <v>2518620.4166666665</v>
      </c>
      <c r="K155" s="54">
        <f t="shared" si="25"/>
        <v>466196.63912499993</v>
      </c>
      <c r="L155" s="54"/>
      <c r="M155" s="54"/>
      <c r="N155" s="54">
        <v>51284</v>
      </c>
      <c r="O155" s="54">
        <f t="shared" si="22"/>
        <v>517480.63912499993</v>
      </c>
      <c r="P155" s="54">
        <v>2658191.59</v>
      </c>
      <c r="R155" s="32">
        <f t="shared" si="37"/>
        <v>2658191.59</v>
      </c>
      <c r="S155" s="32">
        <f t="shared" si="33"/>
        <v>3352997.081666667</v>
      </c>
      <c r="T155" s="29">
        <f t="shared" si="24"/>
        <v>0.15357746716517404</v>
      </c>
      <c r="V155" s="58">
        <v>51284</v>
      </c>
      <c r="W155" s="58">
        <v>0</v>
      </c>
      <c r="X155" s="59">
        <f t="shared" si="38"/>
        <v>51284</v>
      </c>
      <c r="Y155" s="60" t="s">
        <v>72</v>
      </c>
      <c r="Z155" s="61"/>
      <c r="AA155" s="61"/>
      <c r="AB155" s="61"/>
      <c r="AC155" s="62"/>
    </row>
    <row r="156" spans="3:29" hidden="1" x14ac:dyDescent="0.2">
      <c r="C156" s="15">
        <v>42309</v>
      </c>
      <c r="D156" s="51">
        <v>0.18809999999999999</v>
      </c>
      <c r="E156" s="52">
        <v>0</v>
      </c>
      <c r="F156" s="52">
        <f t="shared" si="21"/>
        <v>0.18809999999999999</v>
      </c>
      <c r="G156" s="53">
        <v>2217995</v>
      </c>
      <c r="H156" s="38"/>
      <c r="I156" s="54">
        <f t="shared" si="36"/>
        <v>2217995</v>
      </c>
      <c r="J156" s="54">
        <f t="shared" si="32"/>
        <v>2463787.9166666665</v>
      </c>
      <c r="K156" s="54">
        <f t="shared" si="25"/>
        <v>463438.50712499995</v>
      </c>
      <c r="L156" s="54"/>
      <c r="M156" s="54"/>
      <c r="N156" s="54">
        <v>51284</v>
      </c>
      <c r="O156" s="54">
        <f t="shared" si="22"/>
        <v>514722.50712499995</v>
      </c>
      <c r="P156" s="54">
        <v>2946592.7</v>
      </c>
      <c r="R156" s="32">
        <f t="shared" si="37"/>
        <v>2946592.7</v>
      </c>
      <c r="S156" s="32">
        <f t="shared" si="33"/>
        <v>3280687.4716666676</v>
      </c>
      <c r="T156" s="29">
        <f t="shared" si="24"/>
        <v>0.15351117062981395</v>
      </c>
      <c r="V156" s="58">
        <v>51284</v>
      </c>
      <c r="W156" s="58">
        <v>0</v>
      </c>
      <c r="X156" s="59">
        <f t="shared" si="38"/>
        <v>51284</v>
      </c>
      <c r="Y156" s="60" t="s">
        <v>72</v>
      </c>
      <c r="Z156" s="61"/>
      <c r="AA156" s="61"/>
      <c r="AB156" s="61"/>
      <c r="AC156" s="62"/>
    </row>
    <row r="157" spans="3:29" hidden="1" x14ac:dyDescent="0.2">
      <c r="C157" s="15">
        <v>42339</v>
      </c>
      <c r="D157" s="51">
        <v>0.184</v>
      </c>
      <c r="E157" s="52">
        <v>0</v>
      </c>
      <c r="F157" s="52">
        <f t="shared" si="21"/>
        <v>0.184</v>
      </c>
      <c r="G157" s="53">
        <v>2338046</v>
      </c>
      <c r="H157" s="38"/>
      <c r="I157" s="54">
        <f t="shared" si="36"/>
        <v>2338046</v>
      </c>
      <c r="J157" s="54">
        <f t="shared" si="32"/>
        <v>2414002.6666666665</v>
      </c>
      <c r="K157" s="54">
        <f t="shared" si="25"/>
        <v>444176.49066666665</v>
      </c>
      <c r="L157" s="54"/>
      <c r="M157" s="54"/>
      <c r="N157" s="54">
        <v>51284</v>
      </c>
      <c r="O157" s="54">
        <f t="shared" si="22"/>
        <v>495460.49066666665</v>
      </c>
      <c r="P157" s="54">
        <v>3054138.31</v>
      </c>
      <c r="R157" s="32">
        <f t="shared" si="37"/>
        <v>3054138.31</v>
      </c>
      <c r="S157" s="32">
        <f t="shared" si="33"/>
        <v>3234598.1466666665</v>
      </c>
      <c r="T157" s="29">
        <f t="shared" si="24"/>
        <v>0.15102337389515524</v>
      </c>
      <c r="V157" s="58">
        <v>51284</v>
      </c>
      <c r="W157" s="58">
        <v>0</v>
      </c>
      <c r="X157" s="59">
        <f t="shared" si="38"/>
        <v>51284</v>
      </c>
      <c r="Y157" s="60" t="s">
        <v>72</v>
      </c>
      <c r="Z157" s="61"/>
      <c r="AA157" s="61"/>
      <c r="AB157" s="61"/>
      <c r="AC157" s="62"/>
    </row>
    <row r="158" spans="3:29" hidden="1" x14ac:dyDescent="0.2">
      <c r="C158" s="15">
        <v>42370</v>
      </c>
      <c r="D158" s="51">
        <v>0.16</v>
      </c>
      <c r="E158" s="52">
        <v>0</v>
      </c>
      <c r="F158" s="52">
        <f t="shared" si="21"/>
        <v>0.16</v>
      </c>
      <c r="G158" s="53">
        <v>3205061</v>
      </c>
      <c r="H158" s="38"/>
      <c r="I158" s="54">
        <f t="shared" si="36"/>
        <v>3205061</v>
      </c>
      <c r="J158" s="54">
        <f t="shared" si="32"/>
        <v>2395331.9166666665</v>
      </c>
      <c r="K158" s="54">
        <f t="shared" si="25"/>
        <v>383253.10666666663</v>
      </c>
      <c r="L158" s="54"/>
      <c r="M158" s="54"/>
      <c r="N158" s="54">
        <v>51284</v>
      </c>
      <c r="O158" s="54">
        <f t="shared" si="22"/>
        <v>434537.10666666663</v>
      </c>
      <c r="P158" s="54">
        <v>4266702.24</v>
      </c>
      <c r="R158" s="32">
        <f t="shared" si="37"/>
        <v>4266702.24</v>
      </c>
      <c r="S158" s="32">
        <f t="shared" si="33"/>
        <v>3224735.4008333334</v>
      </c>
      <c r="T158" s="29">
        <f t="shared" si="24"/>
        <v>0.13434036840541316</v>
      </c>
      <c r="V158" s="58">
        <v>51284</v>
      </c>
      <c r="W158" s="58">
        <v>0</v>
      </c>
      <c r="X158" s="59">
        <f t="shared" si="38"/>
        <v>51284</v>
      </c>
      <c r="Y158" s="60" t="s">
        <v>72</v>
      </c>
      <c r="Z158" s="61"/>
      <c r="AA158" s="61"/>
      <c r="AB158" s="61"/>
      <c r="AC158" s="62"/>
    </row>
    <row r="159" spans="3:29" hidden="1" x14ac:dyDescent="0.2">
      <c r="C159" s="15">
        <v>42401</v>
      </c>
      <c r="D159" s="51">
        <v>0.10920000000000001</v>
      </c>
      <c r="E159" s="52">
        <v>0</v>
      </c>
      <c r="F159" s="52">
        <f t="shared" ref="F159:F222" si="39">+D159-E159</f>
        <v>0.10920000000000001</v>
      </c>
      <c r="G159" s="53">
        <v>2725508</v>
      </c>
      <c r="H159" s="38"/>
      <c r="I159" s="54">
        <f t="shared" si="36"/>
        <v>2725508</v>
      </c>
      <c r="J159" s="54">
        <f t="shared" si="32"/>
        <v>2323025.0833333335</v>
      </c>
      <c r="K159" s="54">
        <f t="shared" si="25"/>
        <v>253674.33910000004</v>
      </c>
      <c r="L159" s="54"/>
      <c r="M159" s="54"/>
      <c r="N159" s="54">
        <v>0</v>
      </c>
      <c r="O159" s="54">
        <f t="shared" ref="O159:O208" si="40">+K159+N159</f>
        <v>253674.33910000004</v>
      </c>
      <c r="P159" s="54">
        <v>3759897.79</v>
      </c>
      <c r="R159" s="32">
        <f t="shared" si="37"/>
        <v>3759897.79</v>
      </c>
      <c r="S159" s="32">
        <f t="shared" si="33"/>
        <v>3134817.5774999992</v>
      </c>
      <c r="T159" s="29">
        <f t="shared" si="24"/>
        <v>7.8665163980413941E-2</v>
      </c>
      <c r="V159" s="63"/>
      <c r="W159" s="63"/>
      <c r="X159" s="57"/>
      <c r="Y159" s="64"/>
    </row>
    <row r="160" spans="3:29" hidden="1" x14ac:dyDescent="0.2">
      <c r="C160" s="15">
        <v>42430</v>
      </c>
      <c r="D160" s="51">
        <v>0.14299999999999999</v>
      </c>
      <c r="E160" s="52">
        <v>0</v>
      </c>
      <c r="F160" s="52">
        <f t="shared" si="39"/>
        <v>0.14299999999999999</v>
      </c>
      <c r="G160" s="53">
        <v>2071720</v>
      </c>
      <c r="H160" s="38"/>
      <c r="I160" s="54">
        <f t="shared" si="36"/>
        <v>2071720</v>
      </c>
      <c r="J160" s="54">
        <f t="shared" si="32"/>
        <v>2271596.9166666665</v>
      </c>
      <c r="K160" s="54">
        <f t="shared" si="25"/>
        <v>324838.35908333329</v>
      </c>
      <c r="L160" s="54"/>
      <c r="M160" s="54"/>
      <c r="N160" s="54">
        <v>15822</v>
      </c>
      <c r="O160" s="54">
        <f t="shared" si="40"/>
        <v>340660.35908333329</v>
      </c>
      <c r="P160" s="54">
        <v>3070380.91</v>
      </c>
      <c r="R160" s="32">
        <f t="shared" si="37"/>
        <v>3070380.91</v>
      </c>
      <c r="S160" s="32">
        <f t="shared" si="33"/>
        <v>3105912.3833333328</v>
      </c>
      <c r="T160" s="29">
        <f t="shared" si="24"/>
        <v>0.1086699148072942</v>
      </c>
      <c r="V160" s="58">
        <v>15822</v>
      </c>
      <c r="W160" s="58">
        <v>0</v>
      </c>
      <c r="X160" s="59">
        <f t="shared" ref="X160:X169" si="41">SUM(V160:W160)</f>
        <v>15822</v>
      </c>
      <c r="Y160" s="60" t="s">
        <v>73</v>
      </c>
      <c r="Z160" s="61"/>
      <c r="AA160" s="61"/>
      <c r="AB160" s="61"/>
      <c r="AC160" s="62"/>
    </row>
    <row r="161" spans="3:29" hidden="1" x14ac:dyDescent="0.2">
      <c r="C161" s="15">
        <v>42461</v>
      </c>
      <c r="D161" s="51">
        <v>0.1759</v>
      </c>
      <c r="E161" s="52">
        <v>0</v>
      </c>
      <c r="F161" s="52">
        <f t="shared" si="39"/>
        <v>0.1759</v>
      </c>
      <c r="G161" s="53">
        <v>1747929</v>
      </c>
      <c r="H161" s="38"/>
      <c r="I161" s="54">
        <f t="shared" si="36"/>
        <v>1747929</v>
      </c>
      <c r="J161" s="54">
        <f t="shared" si="32"/>
        <v>2267094.5833333335</v>
      </c>
      <c r="K161" s="54">
        <f t="shared" si="25"/>
        <v>398781.93720833334</v>
      </c>
      <c r="L161" s="54"/>
      <c r="M161" s="54"/>
      <c r="N161" s="54">
        <v>15822</v>
      </c>
      <c r="O161" s="54">
        <f t="shared" si="40"/>
        <v>414603.93720833334</v>
      </c>
      <c r="P161" s="54">
        <v>2585986.5299999998</v>
      </c>
      <c r="R161" s="32">
        <f t="shared" si="37"/>
        <v>2585986.5299999998</v>
      </c>
      <c r="S161" s="32">
        <f t="shared" si="33"/>
        <v>3090686.6208333336</v>
      </c>
      <c r="T161" s="29">
        <f t="shared" ref="T161:T224" si="42">+O161/S160</f>
        <v>0.13348861334052553</v>
      </c>
      <c r="V161" s="58">
        <v>15822</v>
      </c>
      <c r="W161" s="58">
        <v>0</v>
      </c>
      <c r="X161" s="59">
        <f t="shared" si="41"/>
        <v>15822</v>
      </c>
      <c r="Y161" s="60" t="s">
        <v>73</v>
      </c>
      <c r="Z161" s="61"/>
      <c r="AA161" s="61"/>
      <c r="AB161" s="61"/>
      <c r="AC161" s="62"/>
    </row>
    <row r="162" spans="3:29" hidden="1" x14ac:dyDescent="0.2">
      <c r="C162" s="15">
        <v>42491</v>
      </c>
      <c r="D162" s="51">
        <v>0.18990000000000001</v>
      </c>
      <c r="E162" s="52">
        <v>0</v>
      </c>
      <c r="F162" s="52">
        <f t="shared" si="39"/>
        <v>0.18990000000000001</v>
      </c>
      <c r="G162" s="53">
        <v>1821160</v>
      </c>
      <c r="H162" s="38"/>
      <c r="I162" s="54">
        <f t="shared" si="36"/>
        <v>1821160</v>
      </c>
      <c r="J162" s="54">
        <f t="shared" si="32"/>
        <v>2265008.0833333335</v>
      </c>
      <c r="K162" s="54">
        <f t="shared" ref="K162:K225" si="43">+F162*J162</f>
        <v>430125.03502500005</v>
      </c>
      <c r="L162" s="54"/>
      <c r="M162" s="54"/>
      <c r="N162" s="54">
        <v>15822</v>
      </c>
      <c r="O162" s="54">
        <f t="shared" si="40"/>
        <v>445947.03502500005</v>
      </c>
      <c r="P162" s="54">
        <v>2270828.41</v>
      </c>
      <c r="R162" s="32">
        <f t="shared" si="37"/>
        <v>2270828.41</v>
      </c>
      <c r="S162" s="32">
        <f t="shared" si="33"/>
        <v>3066580.5224999995</v>
      </c>
      <c r="T162" s="29">
        <f t="shared" si="42"/>
        <v>0.14428736709151074</v>
      </c>
      <c r="V162" s="58">
        <v>15822</v>
      </c>
      <c r="W162" s="58">
        <v>0</v>
      </c>
      <c r="X162" s="59">
        <f t="shared" si="41"/>
        <v>15822</v>
      </c>
      <c r="Y162" s="60" t="s">
        <v>73</v>
      </c>
      <c r="Z162" s="61"/>
      <c r="AA162" s="61"/>
      <c r="AB162" s="61"/>
      <c r="AC162" s="62"/>
    </row>
    <row r="163" spans="3:29" hidden="1" x14ac:dyDescent="0.2">
      <c r="C163" s="15">
        <v>42522</v>
      </c>
      <c r="D163" s="51">
        <v>0.19600000000000001</v>
      </c>
      <c r="E163" s="52">
        <v>0</v>
      </c>
      <c r="F163" s="52">
        <f t="shared" si="39"/>
        <v>0.19600000000000001</v>
      </c>
      <c r="G163" s="53">
        <v>2147958</v>
      </c>
      <c r="H163" s="38"/>
      <c r="I163" s="54">
        <f t="shared" si="36"/>
        <v>2147958</v>
      </c>
      <c r="J163" s="54">
        <f t="shared" si="32"/>
        <v>2248058.3333333335</v>
      </c>
      <c r="K163" s="54">
        <f t="shared" si="43"/>
        <v>440619.43333333341</v>
      </c>
      <c r="L163" s="54"/>
      <c r="M163" s="54"/>
      <c r="N163" s="54">
        <v>15822</v>
      </c>
      <c r="O163" s="54">
        <f t="shared" si="40"/>
        <v>456441.43333333341</v>
      </c>
      <c r="P163" s="54">
        <v>2961179.02</v>
      </c>
      <c r="R163" s="32">
        <f t="shared" si="37"/>
        <v>2961179.02</v>
      </c>
      <c r="S163" s="32">
        <f t="shared" si="33"/>
        <v>3071310.1658333335</v>
      </c>
      <c r="T163" s="29">
        <f t="shared" si="42"/>
        <v>0.14884377892064091</v>
      </c>
      <c r="V163" s="58">
        <v>15822</v>
      </c>
      <c r="W163" s="58">
        <v>0</v>
      </c>
      <c r="X163" s="59">
        <f t="shared" si="41"/>
        <v>15822</v>
      </c>
      <c r="Y163" s="60" t="s">
        <v>73</v>
      </c>
      <c r="Z163" s="61"/>
      <c r="AA163" s="61"/>
      <c r="AB163" s="61"/>
      <c r="AC163" s="62"/>
    </row>
    <row r="164" spans="3:29" hidden="1" x14ac:dyDescent="0.2">
      <c r="C164" s="15">
        <v>42552</v>
      </c>
      <c r="D164" s="51">
        <v>0.16500000000000001</v>
      </c>
      <c r="E164" s="52">
        <v>0</v>
      </c>
      <c r="F164" s="52">
        <f t="shared" si="39"/>
        <v>0.16500000000000001</v>
      </c>
      <c r="G164" s="53">
        <v>2403724</v>
      </c>
      <c r="H164" s="38"/>
      <c r="I164" s="54">
        <f t="shared" si="36"/>
        <v>2403724</v>
      </c>
      <c r="J164" s="54">
        <f t="shared" si="32"/>
        <v>2242023.4166666665</v>
      </c>
      <c r="K164" s="54">
        <f t="shared" si="43"/>
        <v>369933.86375000002</v>
      </c>
      <c r="L164" s="54"/>
      <c r="M164" s="54"/>
      <c r="N164" s="54">
        <v>15822</v>
      </c>
      <c r="O164" s="54">
        <f t="shared" si="40"/>
        <v>385755.86375000002</v>
      </c>
      <c r="P164" s="54">
        <v>3309279.19</v>
      </c>
      <c r="R164" s="32">
        <f t="shared" si="37"/>
        <v>3309279.19</v>
      </c>
      <c r="S164" s="32">
        <f t="shared" si="33"/>
        <v>3060845.74</v>
      </c>
      <c r="T164" s="29">
        <f t="shared" si="42"/>
        <v>0.12559977433778119</v>
      </c>
      <c r="V164" s="58">
        <v>15822</v>
      </c>
      <c r="W164" s="58">
        <v>0</v>
      </c>
      <c r="X164" s="59">
        <f t="shared" si="41"/>
        <v>15822</v>
      </c>
      <c r="Y164" s="60" t="s">
        <v>73</v>
      </c>
      <c r="Z164" s="61"/>
      <c r="AA164" s="61"/>
      <c r="AB164" s="61"/>
      <c r="AC164" s="62"/>
    </row>
    <row r="165" spans="3:29" hidden="1" x14ac:dyDescent="0.2">
      <c r="C165" s="15">
        <v>42583</v>
      </c>
      <c r="D165" s="51">
        <v>0.1429</v>
      </c>
      <c r="E165" s="52">
        <v>0</v>
      </c>
      <c r="F165" s="52">
        <f t="shared" si="39"/>
        <v>0.1429</v>
      </c>
      <c r="G165" s="53">
        <v>2453561</v>
      </c>
      <c r="H165" s="38"/>
      <c r="I165" s="54">
        <f t="shared" si="36"/>
        <v>2453561</v>
      </c>
      <c r="J165" s="54">
        <f t="shared" si="32"/>
        <v>2255980.4166666665</v>
      </c>
      <c r="K165" s="54">
        <f t="shared" si="43"/>
        <v>322379.60154166666</v>
      </c>
      <c r="L165" s="54"/>
      <c r="M165" s="54"/>
      <c r="N165" s="54">
        <v>15948</v>
      </c>
      <c r="O165" s="54">
        <f t="shared" si="40"/>
        <v>338327.60154166666</v>
      </c>
      <c r="P165" s="54">
        <v>3218955.27</v>
      </c>
      <c r="R165" s="32">
        <f t="shared" si="37"/>
        <v>3218955.27</v>
      </c>
      <c r="S165" s="32">
        <f t="shared" si="33"/>
        <v>3070912.2500000005</v>
      </c>
      <c r="T165" s="29">
        <f t="shared" si="42"/>
        <v>0.11053402565189928</v>
      </c>
      <c r="V165" s="58">
        <v>15822</v>
      </c>
      <c r="W165" s="58">
        <v>126</v>
      </c>
      <c r="X165" s="59">
        <f t="shared" si="41"/>
        <v>15948</v>
      </c>
      <c r="Y165" s="60" t="s">
        <v>74</v>
      </c>
      <c r="Z165" s="61"/>
      <c r="AA165" s="61"/>
      <c r="AB165" s="61"/>
      <c r="AC165" s="62"/>
    </row>
    <row r="166" spans="3:29" hidden="1" x14ac:dyDescent="0.2">
      <c r="C166" s="15">
        <v>42614</v>
      </c>
      <c r="D166" s="51">
        <v>0.14760000000000001</v>
      </c>
      <c r="E166" s="52">
        <v>0</v>
      </c>
      <c r="F166" s="52">
        <f t="shared" si="39"/>
        <v>0.14760000000000001</v>
      </c>
      <c r="G166" s="53">
        <v>2083941</v>
      </c>
      <c r="H166" s="38"/>
      <c r="I166" s="54">
        <f t="shared" si="36"/>
        <v>2083941</v>
      </c>
      <c r="J166" s="54">
        <f t="shared" si="32"/>
        <v>2260047.9166666665</v>
      </c>
      <c r="K166" s="54">
        <f t="shared" si="43"/>
        <v>333583.07250000001</v>
      </c>
      <c r="L166" s="54"/>
      <c r="M166" s="54"/>
      <c r="N166" s="54">
        <v>126</v>
      </c>
      <c r="O166" s="54">
        <f t="shared" si="40"/>
        <v>333709.07250000001</v>
      </c>
      <c r="P166" s="54">
        <v>3225324.78</v>
      </c>
      <c r="R166" s="32">
        <f t="shared" si="37"/>
        <v>3225324.78</v>
      </c>
      <c r="S166" s="32">
        <f t="shared" si="33"/>
        <v>3110621.395</v>
      </c>
      <c r="T166" s="29">
        <f t="shared" si="42"/>
        <v>0.10866773301646765</v>
      </c>
      <c r="V166" s="58">
        <v>0</v>
      </c>
      <c r="W166" s="58">
        <v>126</v>
      </c>
      <c r="X166" s="59">
        <f t="shared" si="41"/>
        <v>126</v>
      </c>
      <c r="Y166" s="60" t="s">
        <v>75</v>
      </c>
      <c r="Z166" s="61"/>
      <c r="AA166" s="61"/>
      <c r="AB166" s="61"/>
      <c r="AC166" s="62"/>
    </row>
    <row r="167" spans="3:29" hidden="1" x14ac:dyDescent="0.2">
      <c r="C167" s="15">
        <v>42644</v>
      </c>
      <c r="D167" s="51">
        <v>0.17169999999999999</v>
      </c>
      <c r="E167" s="52">
        <v>0</v>
      </c>
      <c r="F167" s="52">
        <f t="shared" si="39"/>
        <v>0.17169999999999999</v>
      </c>
      <c r="G167" s="53">
        <v>1703731</v>
      </c>
      <c r="H167" s="38"/>
      <c r="I167" s="54">
        <f t="shared" si="36"/>
        <v>1703731</v>
      </c>
      <c r="J167" s="54">
        <f t="shared" si="32"/>
        <v>2243361.1666666665</v>
      </c>
      <c r="K167" s="54">
        <f t="shared" si="43"/>
        <v>385185.11231666664</v>
      </c>
      <c r="L167" s="54"/>
      <c r="M167" s="54"/>
      <c r="N167" s="54">
        <v>126</v>
      </c>
      <c r="O167" s="54">
        <f t="shared" si="40"/>
        <v>385311.11231666664</v>
      </c>
      <c r="P167" s="54">
        <v>2300792.0099999998</v>
      </c>
      <c r="R167" s="32">
        <f t="shared" si="37"/>
        <v>2300792.0099999998</v>
      </c>
      <c r="S167" s="32">
        <f t="shared" si="33"/>
        <v>3080838.0966666662</v>
      </c>
      <c r="T167" s="29">
        <f t="shared" si="42"/>
        <v>0.12386949853042679</v>
      </c>
      <c r="V167" s="58">
        <v>0</v>
      </c>
      <c r="W167" s="58">
        <v>126</v>
      </c>
      <c r="X167" s="59">
        <f t="shared" si="41"/>
        <v>126</v>
      </c>
      <c r="Y167" s="60" t="s">
        <v>75</v>
      </c>
      <c r="Z167" s="61"/>
      <c r="AA167" s="61"/>
      <c r="AB167" s="61"/>
      <c r="AC167" s="62"/>
    </row>
    <row r="168" spans="3:29" hidden="1" x14ac:dyDescent="0.2">
      <c r="C168" s="15">
        <v>42675</v>
      </c>
      <c r="D168" s="51">
        <v>0.19950000000000001</v>
      </c>
      <c r="E168" s="52">
        <v>0</v>
      </c>
      <c r="F168" s="52">
        <f t="shared" si="39"/>
        <v>0.19950000000000001</v>
      </c>
      <c r="G168" s="53">
        <v>2143385</v>
      </c>
      <c r="H168" s="38"/>
      <c r="I168" s="54">
        <f t="shared" si="36"/>
        <v>2143385</v>
      </c>
      <c r="J168" s="54">
        <f t="shared" si="32"/>
        <v>2237143.6666666665</v>
      </c>
      <c r="K168" s="54">
        <f t="shared" si="43"/>
        <v>446310.16149999999</v>
      </c>
      <c r="L168" s="54"/>
      <c r="M168" s="54"/>
      <c r="N168" s="54">
        <v>126</v>
      </c>
      <c r="O168" s="54">
        <f t="shared" si="40"/>
        <v>446436.16149999999</v>
      </c>
      <c r="P168" s="54">
        <v>2946674.76</v>
      </c>
      <c r="R168" s="32">
        <f t="shared" si="37"/>
        <v>2946674.76</v>
      </c>
      <c r="S168" s="32">
        <f t="shared" si="33"/>
        <v>3080844.9350000001</v>
      </c>
      <c r="T168" s="29">
        <f t="shared" si="42"/>
        <v>0.1449073750363658</v>
      </c>
      <c r="V168" s="58">
        <v>0</v>
      </c>
      <c r="W168" s="58">
        <v>126</v>
      </c>
      <c r="X168" s="59">
        <f t="shared" si="41"/>
        <v>126</v>
      </c>
      <c r="Y168" s="60" t="s">
        <v>75</v>
      </c>
      <c r="Z168" s="61"/>
      <c r="AA168" s="61"/>
      <c r="AB168" s="61"/>
      <c r="AC168" s="62"/>
    </row>
    <row r="169" spans="3:29" hidden="1" x14ac:dyDescent="0.2">
      <c r="C169" s="15">
        <v>42705</v>
      </c>
      <c r="D169" s="51">
        <v>0.16919999999999999</v>
      </c>
      <c r="E169" s="52">
        <v>0</v>
      </c>
      <c r="F169" s="52">
        <f t="shared" si="39"/>
        <v>0.16919999999999999</v>
      </c>
      <c r="G169" s="53">
        <v>2726467</v>
      </c>
      <c r="H169" s="38"/>
      <c r="I169" s="54">
        <f t="shared" si="36"/>
        <v>2726467</v>
      </c>
      <c r="J169" s="54">
        <f t="shared" ref="J169:J170" si="44">SUM(I158:I169)/12</f>
        <v>2269512.0833333335</v>
      </c>
      <c r="K169" s="54">
        <f t="shared" si="43"/>
        <v>384001.44449999998</v>
      </c>
      <c r="L169" s="54"/>
      <c r="M169" s="54"/>
      <c r="N169" s="54">
        <v>126</v>
      </c>
      <c r="O169" s="54">
        <f t="shared" si="40"/>
        <v>384127.44449999998</v>
      </c>
      <c r="P169" s="54">
        <v>3617479.06</v>
      </c>
      <c r="R169" s="32">
        <f t="shared" si="37"/>
        <v>3617479.06</v>
      </c>
      <c r="S169" s="32">
        <f t="shared" ref="S169:S170" si="45">SUM(R158:R169)/12</f>
        <v>3127789.9975000005</v>
      </c>
      <c r="T169" s="29">
        <f t="shared" si="42"/>
        <v>0.12468249866655493</v>
      </c>
      <c r="V169" s="58">
        <v>0</v>
      </c>
      <c r="W169" s="58">
        <v>126</v>
      </c>
      <c r="X169" s="59">
        <f t="shared" si="41"/>
        <v>126</v>
      </c>
      <c r="Y169" s="60" t="s">
        <v>75</v>
      </c>
      <c r="Z169" s="61"/>
      <c r="AA169" s="61"/>
      <c r="AB169" s="61"/>
      <c r="AC169" s="62"/>
    </row>
    <row r="170" spans="3:29" hidden="1" x14ac:dyDescent="0.2">
      <c r="C170" s="15">
        <v>42736</v>
      </c>
      <c r="D170" s="51">
        <v>0.11210000000000001</v>
      </c>
      <c r="E170" s="52">
        <v>0</v>
      </c>
      <c r="F170" s="52">
        <f t="shared" si="39"/>
        <v>0.11210000000000001</v>
      </c>
      <c r="G170" s="53">
        <v>2698236</v>
      </c>
      <c r="H170" s="38"/>
      <c r="I170" s="54">
        <f t="shared" si="36"/>
        <v>2698236</v>
      </c>
      <c r="J170" s="54">
        <f t="shared" si="44"/>
        <v>2227276.6666666665</v>
      </c>
      <c r="K170" s="54">
        <f t="shared" si="43"/>
        <v>249677.71433333334</v>
      </c>
      <c r="L170" s="54"/>
      <c r="M170" s="54"/>
      <c r="N170" s="54">
        <v>125</v>
      </c>
      <c r="O170" s="54">
        <f t="shared" si="40"/>
        <v>249802.71433333334</v>
      </c>
      <c r="P170" s="54">
        <v>3434081.9</v>
      </c>
      <c r="R170" s="32">
        <f t="shared" si="37"/>
        <v>3434081.9</v>
      </c>
      <c r="S170" s="32">
        <f t="shared" si="45"/>
        <v>3058404.9691666667</v>
      </c>
      <c r="T170" s="29">
        <f t="shared" si="42"/>
        <v>7.9865564674417786E-2</v>
      </c>
      <c r="V170" s="58">
        <v>0</v>
      </c>
      <c r="W170" s="65">
        <f>755-SUM(W165:W169)</f>
        <v>125</v>
      </c>
      <c r="X170" s="59">
        <f t="shared" ref="X170" si="46">SUM(V170:W170)</f>
        <v>125</v>
      </c>
      <c r="Y170" s="60" t="s">
        <v>75</v>
      </c>
      <c r="Z170" s="61"/>
      <c r="AA170" s="61"/>
      <c r="AB170" s="61"/>
      <c r="AC170" s="62"/>
    </row>
    <row r="171" spans="3:29" hidden="1" x14ac:dyDescent="0.2">
      <c r="C171" s="15">
        <v>42767</v>
      </c>
      <c r="D171" s="51">
        <v>0.1226</v>
      </c>
      <c r="E171" s="52">
        <v>0</v>
      </c>
      <c r="F171" s="52">
        <f t="shared" si="39"/>
        <v>0.1226</v>
      </c>
      <c r="G171" s="53">
        <v>2287998</v>
      </c>
      <c r="H171" s="38"/>
      <c r="I171" s="54">
        <f t="shared" si="36"/>
        <v>2287998</v>
      </c>
      <c r="J171" s="54">
        <f t="shared" ref="J171" si="47">SUM(I160:I171)/12</f>
        <v>2190817.5</v>
      </c>
      <c r="K171" s="54">
        <f t="shared" si="43"/>
        <v>268594.2255</v>
      </c>
      <c r="L171" s="54"/>
      <c r="M171" s="54"/>
      <c r="N171" s="54">
        <v>0</v>
      </c>
      <c r="O171" s="54">
        <f t="shared" si="40"/>
        <v>268594.2255</v>
      </c>
      <c r="P171" s="54">
        <v>3372094.99</v>
      </c>
      <c r="R171" s="32">
        <f t="shared" si="37"/>
        <v>3372094.99</v>
      </c>
      <c r="S171" s="32">
        <f t="shared" ref="S171" si="48">SUM(R160:R171)/12</f>
        <v>3026088.0691666659</v>
      </c>
      <c r="T171" s="29">
        <f t="shared" si="42"/>
        <v>8.782166789808242E-2</v>
      </c>
      <c r="V171" s="63"/>
      <c r="W171" s="66"/>
      <c r="X171" s="57"/>
      <c r="Y171" s="64"/>
    </row>
    <row r="172" spans="3:29" hidden="1" x14ac:dyDescent="0.2">
      <c r="C172" s="15">
        <v>42795</v>
      </c>
      <c r="D172" s="51">
        <v>0.1573</v>
      </c>
      <c r="E172" s="52">
        <v>0</v>
      </c>
      <c r="F172" s="52">
        <f t="shared" si="39"/>
        <v>0.1573</v>
      </c>
      <c r="G172" s="53">
        <v>2281888</v>
      </c>
      <c r="H172" s="38"/>
      <c r="I172" s="54">
        <f t="shared" si="36"/>
        <v>2281888</v>
      </c>
      <c r="J172" s="54">
        <f t="shared" ref="J172:J178" si="49">SUM(I161:I172)/12</f>
        <v>2208331.5</v>
      </c>
      <c r="K172" s="54">
        <f t="shared" si="43"/>
        <v>347370.54495000001</v>
      </c>
      <c r="L172" s="54"/>
      <c r="M172" s="54"/>
      <c r="N172" s="54">
        <v>0</v>
      </c>
      <c r="O172" s="54">
        <f t="shared" si="40"/>
        <v>347370.54495000001</v>
      </c>
      <c r="P172" s="54">
        <v>3375058.81</v>
      </c>
      <c r="R172" s="32">
        <f t="shared" si="37"/>
        <v>3375058.81</v>
      </c>
      <c r="S172" s="32">
        <f t="shared" ref="S172:S178" si="50">SUM(R161:R172)/12</f>
        <v>3051477.8941666665</v>
      </c>
      <c r="T172" s="29">
        <f t="shared" si="42"/>
        <v>0.11479194822167223</v>
      </c>
      <c r="V172" s="63"/>
      <c r="W172" s="66"/>
      <c r="X172" s="57"/>
      <c r="Y172" s="64"/>
    </row>
    <row r="173" spans="3:29" hidden="1" x14ac:dyDescent="0.2">
      <c r="C173" s="15">
        <v>42826</v>
      </c>
      <c r="D173" s="51">
        <v>0.154</v>
      </c>
      <c r="E173" s="52">
        <v>0</v>
      </c>
      <c r="F173" s="52">
        <f t="shared" si="39"/>
        <v>0.154</v>
      </c>
      <c r="G173" s="53">
        <v>1692443</v>
      </c>
      <c r="H173" s="38"/>
      <c r="I173" s="54">
        <f t="shared" si="36"/>
        <v>1692443</v>
      </c>
      <c r="J173" s="54">
        <f t="shared" si="49"/>
        <v>2203707.6666666665</v>
      </c>
      <c r="K173" s="54">
        <f t="shared" si="43"/>
        <v>339370.98066666664</v>
      </c>
      <c r="L173" s="54"/>
      <c r="M173" s="54"/>
      <c r="N173" s="54">
        <v>-10771</v>
      </c>
      <c r="O173" s="54">
        <f t="shared" si="40"/>
        <v>328599.98066666664</v>
      </c>
      <c r="P173" s="54">
        <v>2448410.67</v>
      </c>
      <c r="R173" s="32">
        <f t="shared" si="37"/>
        <v>2448410.67</v>
      </c>
      <c r="S173" s="32">
        <f t="shared" si="50"/>
        <v>3040013.2391666663</v>
      </c>
      <c r="T173" s="29">
        <f t="shared" si="42"/>
        <v>0.10768551897257135</v>
      </c>
      <c r="V173" s="58">
        <v>-10771</v>
      </c>
      <c r="W173" s="58">
        <v>0</v>
      </c>
      <c r="X173" s="59">
        <f t="shared" ref="X173:X177" si="51">SUM(V173:W173)</f>
        <v>-10771</v>
      </c>
      <c r="Y173" s="60" t="s">
        <v>76</v>
      </c>
      <c r="Z173" s="61"/>
      <c r="AA173" s="61"/>
      <c r="AB173" s="61"/>
      <c r="AC173" s="62"/>
    </row>
    <row r="174" spans="3:29" hidden="1" x14ac:dyDescent="0.2">
      <c r="C174" s="15">
        <v>42856</v>
      </c>
      <c r="D174" s="51">
        <v>0.1986</v>
      </c>
      <c r="E174" s="52">
        <v>0</v>
      </c>
      <c r="F174" s="52">
        <f t="shared" si="39"/>
        <v>0.1986</v>
      </c>
      <c r="G174" s="53">
        <v>1822894</v>
      </c>
      <c r="H174" s="38"/>
      <c r="I174" s="54">
        <f t="shared" si="36"/>
        <v>1822894</v>
      </c>
      <c r="J174" s="54">
        <f t="shared" si="49"/>
        <v>2203852.1666666665</v>
      </c>
      <c r="K174" s="54">
        <f t="shared" si="43"/>
        <v>437685.04029999999</v>
      </c>
      <c r="L174" s="54"/>
      <c r="M174" s="54"/>
      <c r="N174" s="54">
        <v>-10771</v>
      </c>
      <c r="O174" s="54">
        <f t="shared" si="40"/>
        <v>426914.04029999999</v>
      </c>
      <c r="P174" s="54">
        <v>2612967.84</v>
      </c>
      <c r="R174" s="32">
        <f t="shared" si="37"/>
        <v>2612967.84</v>
      </c>
      <c r="S174" s="32">
        <f t="shared" si="50"/>
        <v>3068524.8583333329</v>
      </c>
      <c r="T174" s="29">
        <f t="shared" si="42"/>
        <v>0.1404316385204383</v>
      </c>
      <c r="V174" s="58">
        <v>-10771</v>
      </c>
      <c r="W174" s="58">
        <v>0</v>
      </c>
      <c r="X174" s="59">
        <f t="shared" si="51"/>
        <v>-10771</v>
      </c>
      <c r="Y174" s="60" t="s">
        <v>76</v>
      </c>
      <c r="Z174" s="61"/>
      <c r="AA174" s="61"/>
      <c r="AB174" s="61"/>
      <c r="AC174" s="62"/>
    </row>
    <row r="175" spans="3:29" hidden="1" x14ac:dyDescent="0.2">
      <c r="C175" s="15">
        <v>42887</v>
      </c>
      <c r="D175" s="51">
        <v>0.18129999999999999</v>
      </c>
      <c r="E175" s="52">
        <v>0</v>
      </c>
      <c r="F175" s="52">
        <f t="shared" si="39"/>
        <v>0.18129999999999999</v>
      </c>
      <c r="G175" s="53">
        <v>1915811</v>
      </c>
      <c r="H175" s="38"/>
      <c r="I175" s="54">
        <f t="shared" si="36"/>
        <v>1915811</v>
      </c>
      <c r="J175" s="54">
        <f t="shared" si="49"/>
        <v>2184506.5833333335</v>
      </c>
      <c r="K175" s="54">
        <f t="shared" si="43"/>
        <v>396051.04355833336</v>
      </c>
      <c r="L175" s="54"/>
      <c r="M175" s="54"/>
      <c r="N175" s="54">
        <v>-8009</v>
      </c>
      <c r="O175" s="54">
        <f t="shared" si="40"/>
        <v>388042.04355833336</v>
      </c>
      <c r="P175" s="54">
        <v>2898340.77</v>
      </c>
      <c r="R175" s="32">
        <f t="shared" si="37"/>
        <v>2898340.77</v>
      </c>
      <c r="S175" s="32">
        <f t="shared" si="50"/>
        <v>3063288.3375000004</v>
      </c>
      <c r="T175" s="29">
        <f t="shared" si="42"/>
        <v>0.12645882353030638</v>
      </c>
      <c r="V175" s="58">
        <v>-10771</v>
      </c>
      <c r="W175" s="58">
        <v>2762</v>
      </c>
      <c r="X175" s="59">
        <f t="shared" si="51"/>
        <v>-8009</v>
      </c>
      <c r="Y175" s="60" t="s">
        <v>77</v>
      </c>
      <c r="Z175" s="61"/>
      <c r="AA175" s="61"/>
      <c r="AB175" s="61"/>
      <c r="AC175" s="62"/>
    </row>
    <row r="176" spans="3:29" hidden="1" x14ac:dyDescent="0.2">
      <c r="C176" s="15">
        <v>42917</v>
      </c>
      <c r="D176" s="51">
        <v>0.17749999999999999</v>
      </c>
      <c r="E176" s="52">
        <v>0</v>
      </c>
      <c r="F176" s="52">
        <f t="shared" si="39"/>
        <v>0.17749999999999999</v>
      </c>
      <c r="G176" s="53">
        <v>2257537</v>
      </c>
      <c r="H176" s="38"/>
      <c r="I176" s="54">
        <f t="shared" si="36"/>
        <v>2257537</v>
      </c>
      <c r="J176" s="54">
        <f t="shared" si="49"/>
        <v>2172324.3333333335</v>
      </c>
      <c r="K176" s="54">
        <f t="shared" si="43"/>
        <v>385587.56916666665</v>
      </c>
      <c r="L176" s="54"/>
      <c r="M176" s="54"/>
      <c r="N176" s="54">
        <v>-8009</v>
      </c>
      <c r="O176" s="54">
        <f t="shared" si="40"/>
        <v>377578.56916666665</v>
      </c>
      <c r="P176" s="54">
        <v>3154287.17</v>
      </c>
      <c r="R176" s="32">
        <f t="shared" si="37"/>
        <v>3154287.17</v>
      </c>
      <c r="S176" s="32">
        <f t="shared" si="50"/>
        <v>3050372.335833333</v>
      </c>
      <c r="T176" s="29">
        <f t="shared" si="42"/>
        <v>0.12325923242172322</v>
      </c>
      <c r="V176" s="58">
        <v>-10771</v>
      </c>
      <c r="W176" s="58">
        <v>2762</v>
      </c>
      <c r="X176" s="59">
        <f t="shared" si="51"/>
        <v>-8009</v>
      </c>
      <c r="Y176" s="60" t="s">
        <v>77</v>
      </c>
      <c r="Z176" s="61"/>
      <c r="AA176" s="61"/>
      <c r="AB176" s="61"/>
      <c r="AC176" s="62"/>
    </row>
    <row r="177" spans="3:29" hidden="1" x14ac:dyDescent="0.2">
      <c r="C177" s="15">
        <v>42948</v>
      </c>
      <c r="D177" s="51">
        <v>0.15890000000000001</v>
      </c>
      <c r="E177" s="52">
        <v>0</v>
      </c>
      <c r="F177" s="52">
        <f t="shared" si="39"/>
        <v>0.15890000000000001</v>
      </c>
      <c r="G177" s="53">
        <v>2128958</v>
      </c>
      <c r="H177" s="38"/>
      <c r="I177" s="54">
        <f t="shared" si="36"/>
        <v>2128958</v>
      </c>
      <c r="J177" s="54">
        <f t="shared" si="49"/>
        <v>2145274.0833333335</v>
      </c>
      <c r="K177" s="54">
        <f t="shared" si="43"/>
        <v>340884.05184166675</v>
      </c>
      <c r="L177" s="54"/>
      <c r="M177" s="54"/>
      <c r="N177" s="54">
        <v>-8009</v>
      </c>
      <c r="O177" s="54">
        <f t="shared" si="40"/>
        <v>332875.05184166675</v>
      </c>
      <c r="P177" s="54">
        <v>3123648.72</v>
      </c>
      <c r="R177" s="32">
        <f t="shared" si="37"/>
        <v>3123648.72</v>
      </c>
      <c r="S177" s="32">
        <f t="shared" si="50"/>
        <v>3042430.1233333331</v>
      </c>
      <c r="T177" s="29">
        <f t="shared" si="42"/>
        <v>0.10912603944486286</v>
      </c>
      <c r="V177" s="58">
        <v>-10771</v>
      </c>
      <c r="W177" s="58">
        <v>2762</v>
      </c>
      <c r="X177" s="59">
        <f t="shared" si="51"/>
        <v>-8009</v>
      </c>
      <c r="Y177" s="60" t="s">
        <v>77</v>
      </c>
      <c r="Z177" s="61"/>
      <c r="AA177" s="61"/>
      <c r="AB177" s="61"/>
      <c r="AC177" s="62"/>
    </row>
    <row r="178" spans="3:29" hidden="1" x14ac:dyDescent="0.2">
      <c r="C178" s="15">
        <v>42979</v>
      </c>
      <c r="D178" s="51">
        <v>0.17530000000000001</v>
      </c>
      <c r="E178" s="52">
        <v>0</v>
      </c>
      <c r="F178" s="52">
        <f t="shared" si="39"/>
        <v>0.17530000000000001</v>
      </c>
      <c r="G178" s="53">
        <v>1667687</v>
      </c>
      <c r="H178" s="38"/>
      <c r="I178" s="54">
        <f t="shared" si="36"/>
        <v>1667687</v>
      </c>
      <c r="J178" s="54">
        <f t="shared" si="49"/>
        <v>2110586.25</v>
      </c>
      <c r="K178" s="54">
        <f t="shared" si="43"/>
        <v>369985.76962500002</v>
      </c>
      <c r="L178" s="54"/>
      <c r="M178" s="54"/>
      <c r="N178" s="54">
        <v>-8008</v>
      </c>
      <c r="O178" s="54">
        <f t="shared" si="40"/>
        <v>361977.76962500002</v>
      </c>
      <c r="P178" s="54">
        <v>2620037.7999999998</v>
      </c>
      <c r="R178" s="32">
        <f t="shared" si="37"/>
        <v>2620037.7999999998</v>
      </c>
      <c r="S178" s="32">
        <f t="shared" si="50"/>
        <v>2991989.5416666665</v>
      </c>
      <c r="T178" s="29">
        <f t="shared" si="42"/>
        <v>0.11897652697062164</v>
      </c>
      <c r="V178" s="65">
        <f>-64625-SUM(V173:V177)</f>
        <v>-10770</v>
      </c>
      <c r="W178" s="58">
        <v>2762</v>
      </c>
      <c r="X178" s="59">
        <f t="shared" ref="X178" si="52">SUM(V178:W178)</f>
        <v>-8008</v>
      </c>
      <c r="Y178" s="60" t="s">
        <v>77</v>
      </c>
      <c r="Z178" s="61"/>
      <c r="AA178" s="61"/>
      <c r="AB178" s="61"/>
      <c r="AC178" s="62"/>
    </row>
    <row r="179" spans="3:29" hidden="1" x14ac:dyDescent="0.2">
      <c r="C179" s="15">
        <v>43009</v>
      </c>
      <c r="D179" s="51">
        <v>0.2051</v>
      </c>
      <c r="E179" s="52">
        <v>0</v>
      </c>
      <c r="F179" s="52">
        <f t="shared" si="39"/>
        <v>0.2051</v>
      </c>
      <c r="G179" s="53">
        <v>1921094</v>
      </c>
      <c r="H179" s="38"/>
      <c r="I179" s="54">
        <f t="shared" si="36"/>
        <v>1921094</v>
      </c>
      <c r="J179" s="54">
        <f t="shared" ref="J179" si="53">SUM(I168:I179)/12</f>
        <v>2128699.8333333335</v>
      </c>
      <c r="K179" s="54">
        <f t="shared" si="43"/>
        <v>436596.33581666672</v>
      </c>
      <c r="L179" s="54"/>
      <c r="M179" s="54"/>
      <c r="N179" s="54">
        <v>2762</v>
      </c>
      <c r="O179" s="54">
        <f t="shared" si="40"/>
        <v>439358.33581666672</v>
      </c>
      <c r="P179" s="54">
        <v>2324849.77</v>
      </c>
      <c r="R179" s="32">
        <f t="shared" si="37"/>
        <v>2324849.77</v>
      </c>
      <c r="S179" s="32">
        <f t="shared" ref="S179" si="54">SUM(R168:R179)/12</f>
        <v>2993994.355</v>
      </c>
      <c r="T179" s="29">
        <f t="shared" si="42"/>
        <v>0.14684487686140951</v>
      </c>
      <c r="V179" s="65">
        <v>0</v>
      </c>
      <c r="W179" s="58">
        <v>2762</v>
      </c>
      <c r="X179" s="59">
        <f t="shared" ref="X179" si="55">SUM(V179:W179)</f>
        <v>2762</v>
      </c>
      <c r="Y179" s="60" t="s">
        <v>77</v>
      </c>
      <c r="Z179" s="61"/>
      <c r="AA179" s="61"/>
      <c r="AB179" s="61"/>
      <c r="AC179" s="62"/>
    </row>
    <row r="180" spans="3:29" hidden="1" x14ac:dyDescent="0.2">
      <c r="C180" s="15">
        <v>43040</v>
      </c>
      <c r="D180" s="51">
        <v>0.1787</v>
      </c>
      <c r="E180" s="52">
        <v>0</v>
      </c>
      <c r="F180" s="52">
        <f t="shared" si="39"/>
        <v>0.1787</v>
      </c>
      <c r="G180" s="53">
        <v>2195719</v>
      </c>
      <c r="H180" s="38"/>
      <c r="I180" s="54">
        <f t="shared" si="36"/>
        <v>2195719</v>
      </c>
      <c r="J180" s="54">
        <f t="shared" ref="J180" si="56">SUM(I169:I180)/12</f>
        <v>2133061</v>
      </c>
      <c r="K180" s="54">
        <f t="shared" si="43"/>
        <v>381178.00069999998</v>
      </c>
      <c r="L180" s="54"/>
      <c r="M180" s="54"/>
      <c r="N180" s="54">
        <v>2760</v>
      </c>
      <c r="O180" s="54">
        <f t="shared" si="40"/>
        <v>383938.00069999998</v>
      </c>
      <c r="P180" s="54">
        <v>3215243.33</v>
      </c>
      <c r="R180" s="32">
        <f t="shared" si="37"/>
        <v>3215243.33</v>
      </c>
      <c r="S180" s="32">
        <f t="shared" ref="S180" si="57">SUM(R169:R180)/12</f>
        <v>3016375.0691666664</v>
      </c>
      <c r="T180" s="29">
        <f t="shared" si="42"/>
        <v>0.12823604695807783</v>
      </c>
      <c r="V180" s="65">
        <v>0</v>
      </c>
      <c r="W180" s="65">
        <f>16570-SUM(W175:W179)</f>
        <v>2760</v>
      </c>
      <c r="X180" s="59">
        <f t="shared" ref="X180" si="58">SUM(V180:W180)</f>
        <v>2760</v>
      </c>
      <c r="Y180" s="60" t="s">
        <v>77</v>
      </c>
      <c r="Z180" s="61"/>
      <c r="AA180" s="61"/>
      <c r="AB180" s="61"/>
      <c r="AC180" s="62"/>
    </row>
    <row r="181" spans="3:29" hidden="1" x14ac:dyDescent="0.2">
      <c r="C181" s="15">
        <v>43070</v>
      </c>
      <c r="D181" s="51">
        <v>0.16389999999999999</v>
      </c>
      <c r="E181" s="52">
        <v>0</v>
      </c>
      <c r="F181" s="52">
        <f t="shared" si="39"/>
        <v>0.16389999999999999</v>
      </c>
      <c r="G181" s="53">
        <v>2903405</v>
      </c>
      <c r="H181" s="38"/>
      <c r="I181" s="54">
        <f t="shared" si="36"/>
        <v>2903405</v>
      </c>
      <c r="J181" s="54">
        <f t="shared" ref="J181" si="59">SUM(I170:I181)/12</f>
        <v>2147805.8333333335</v>
      </c>
      <c r="K181" s="54">
        <f t="shared" si="43"/>
        <v>352025.37608333334</v>
      </c>
      <c r="L181" s="54"/>
      <c r="M181" s="54"/>
      <c r="N181" s="54">
        <v>-17505</v>
      </c>
      <c r="O181" s="54">
        <f t="shared" si="40"/>
        <v>334520.37608333334</v>
      </c>
      <c r="P181" s="54">
        <v>4003876.18</v>
      </c>
      <c r="R181" s="32">
        <f t="shared" si="37"/>
        <v>4003876.18</v>
      </c>
      <c r="S181" s="32">
        <f t="shared" ref="S181" si="60">SUM(R170:R181)/12</f>
        <v>3048574.8291666661</v>
      </c>
      <c r="T181" s="29">
        <f t="shared" si="42"/>
        <v>0.11090145237666059</v>
      </c>
      <c r="V181" s="67">
        <v>-17505</v>
      </c>
      <c r="W181" s="65">
        <v>0</v>
      </c>
      <c r="X181" s="59">
        <f t="shared" ref="X181:X185" si="61">SUM(V181:W181)</f>
        <v>-17505</v>
      </c>
      <c r="Y181" s="60" t="s">
        <v>78</v>
      </c>
      <c r="Z181" s="61"/>
      <c r="AA181" s="61"/>
      <c r="AB181" s="61"/>
      <c r="AC181" s="62"/>
    </row>
    <row r="182" spans="3:29" hidden="1" x14ac:dyDescent="0.2">
      <c r="C182" s="15">
        <v>43101</v>
      </c>
      <c r="D182" s="51">
        <v>0.1079</v>
      </c>
      <c r="E182" s="52">
        <v>0</v>
      </c>
      <c r="F182" s="52">
        <f t="shared" si="39"/>
        <v>0.1079</v>
      </c>
      <c r="G182" s="53">
        <v>3555791</v>
      </c>
      <c r="H182" s="38"/>
      <c r="I182" s="54">
        <f t="shared" si="36"/>
        <v>3555791</v>
      </c>
      <c r="J182" s="54">
        <f t="shared" ref="J182:J186" si="62">SUM(I171:I182)/12</f>
        <v>2219268.75</v>
      </c>
      <c r="K182" s="54">
        <f t="shared" si="43"/>
        <v>239459.09812499999</v>
      </c>
      <c r="L182" s="54"/>
      <c r="M182" s="54"/>
      <c r="N182" s="54">
        <v>-17505</v>
      </c>
      <c r="O182" s="54">
        <f t="shared" si="40"/>
        <v>221954.09812499999</v>
      </c>
      <c r="P182" s="54">
        <v>4655531.28</v>
      </c>
      <c r="R182" s="32">
        <f t="shared" si="37"/>
        <v>4655531.28</v>
      </c>
      <c r="S182" s="32">
        <f t="shared" ref="S182:S186" si="63">SUM(R171:R182)/12</f>
        <v>3150362.2774999999</v>
      </c>
      <c r="T182" s="29">
        <f t="shared" si="42"/>
        <v>7.2805855379207335E-2</v>
      </c>
      <c r="V182" s="67">
        <v>-17505</v>
      </c>
      <c r="W182" s="65">
        <v>0</v>
      </c>
      <c r="X182" s="59">
        <f t="shared" si="61"/>
        <v>-17505</v>
      </c>
      <c r="Y182" s="60" t="s">
        <v>78</v>
      </c>
      <c r="Z182" s="61"/>
      <c r="AA182" s="61"/>
      <c r="AB182" s="61"/>
      <c r="AC182" s="62"/>
    </row>
    <row r="183" spans="3:29" hidden="1" x14ac:dyDescent="0.2">
      <c r="C183" s="15">
        <v>43132</v>
      </c>
      <c r="D183" s="51">
        <v>7.2900000000000006E-2</v>
      </c>
      <c r="E183" s="52">
        <v>0</v>
      </c>
      <c r="F183" s="52">
        <f t="shared" si="39"/>
        <v>7.2900000000000006E-2</v>
      </c>
      <c r="G183" s="53">
        <v>2498609</v>
      </c>
      <c r="H183" s="38"/>
      <c r="I183" s="54">
        <f t="shared" si="36"/>
        <v>2498609</v>
      </c>
      <c r="J183" s="54">
        <f t="shared" si="62"/>
        <v>2236819.6666666665</v>
      </c>
      <c r="K183" s="54">
        <f t="shared" si="43"/>
        <v>163064.1537</v>
      </c>
      <c r="L183" s="54"/>
      <c r="M183" s="54"/>
      <c r="N183" s="54">
        <v>-17505</v>
      </c>
      <c r="O183" s="54">
        <f t="shared" si="40"/>
        <v>145559.1537</v>
      </c>
      <c r="P183" s="54">
        <v>3753560.27</v>
      </c>
      <c r="R183" s="32">
        <f t="shared" si="37"/>
        <v>3753560.27</v>
      </c>
      <c r="S183" s="32">
        <f t="shared" si="63"/>
        <v>3182151.0508333337</v>
      </c>
      <c r="T183" s="29">
        <f t="shared" si="42"/>
        <v>4.6203941286241487E-2</v>
      </c>
      <c r="V183" s="67">
        <v>-17505</v>
      </c>
      <c r="W183" s="65">
        <v>0</v>
      </c>
      <c r="X183" s="59">
        <f t="shared" si="61"/>
        <v>-17505</v>
      </c>
      <c r="Y183" s="60" t="s">
        <v>78</v>
      </c>
      <c r="Z183" s="61"/>
      <c r="AA183" s="61"/>
      <c r="AB183" s="61"/>
      <c r="AC183" s="62"/>
    </row>
    <row r="184" spans="3:29" hidden="1" x14ac:dyDescent="0.2">
      <c r="C184" s="15">
        <v>43160</v>
      </c>
      <c r="D184" s="51">
        <v>0.13519999999999999</v>
      </c>
      <c r="E184" s="52">
        <v>0</v>
      </c>
      <c r="F184" s="52">
        <f t="shared" si="39"/>
        <v>0.13519999999999999</v>
      </c>
      <c r="G184" s="53">
        <v>2405016</v>
      </c>
      <c r="H184" s="38"/>
      <c r="I184" s="54">
        <f t="shared" si="36"/>
        <v>2405016</v>
      </c>
      <c r="J184" s="54">
        <f t="shared" si="62"/>
        <v>2247080.3333333335</v>
      </c>
      <c r="K184" s="54">
        <f t="shared" si="43"/>
        <v>303805.26106666663</v>
      </c>
      <c r="L184" s="54"/>
      <c r="M184" s="54"/>
      <c r="N184" s="54">
        <v>-17505</v>
      </c>
      <c r="O184" s="54">
        <f t="shared" si="40"/>
        <v>286300.26106666663</v>
      </c>
      <c r="P184" s="54">
        <v>3598700.73</v>
      </c>
      <c r="R184" s="32">
        <f t="shared" si="37"/>
        <v>3598700.73</v>
      </c>
      <c r="S184" s="32">
        <f t="shared" si="63"/>
        <v>3200787.8774999999</v>
      </c>
      <c r="T184" s="29">
        <f t="shared" si="42"/>
        <v>8.9970669680086698E-2</v>
      </c>
      <c r="V184" s="67">
        <v>-17505</v>
      </c>
      <c r="W184" s="65">
        <v>0</v>
      </c>
      <c r="X184" s="59">
        <f t="shared" si="61"/>
        <v>-17505</v>
      </c>
      <c r="Y184" s="60" t="s">
        <v>78</v>
      </c>
      <c r="Z184" s="61"/>
      <c r="AA184" s="61"/>
      <c r="AB184" s="61"/>
      <c r="AC184" s="62"/>
    </row>
    <row r="185" spans="3:29" hidden="1" x14ac:dyDescent="0.2">
      <c r="C185" s="15">
        <v>43191</v>
      </c>
      <c r="D185" s="51">
        <v>0.1449</v>
      </c>
      <c r="E185" s="52">
        <v>0</v>
      </c>
      <c r="F185" s="52">
        <f t="shared" si="39"/>
        <v>0.1449</v>
      </c>
      <c r="G185" s="53">
        <v>2013088</v>
      </c>
      <c r="H185" s="38"/>
      <c r="I185" s="54">
        <f t="shared" si="36"/>
        <v>2013088</v>
      </c>
      <c r="J185" s="54">
        <f t="shared" si="62"/>
        <v>2273800.75</v>
      </c>
      <c r="K185" s="54">
        <f t="shared" si="43"/>
        <v>329473.72867500002</v>
      </c>
      <c r="L185" s="54"/>
      <c r="M185" s="54"/>
      <c r="N185" s="54">
        <v>-17505</v>
      </c>
      <c r="O185" s="54">
        <f t="shared" si="40"/>
        <v>311968.72867500002</v>
      </c>
      <c r="P185" s="54">
        <v>2965540.58</v>
      </c>
      <c r="R185" s="32">
        <f t="shared" si="37"/>
        <v>2965540.58</v>
      </c>
      <c r="S185" s="32">
        <f t="shared" si="63"/>
        <v>3243882.0366666666</v>
      </c>
      <c r="T185" s="29">
        <f t="shared" si="42"/>
        <v>9.7466230382834862E-2</v>
      </c>
      <c r="V185" s="67">
        <v>-17505</v>
      </c>
      <c r="W185" s="65">
        <v>0</v>
      </c>
      <c r="X185" s="59">
        <f t="shared" si="61"/>
        <v>-17505</v>
      </c>
      <c r="Y185" s="60" t="s">
        <v>78</v>
      </c>
      <c r="Z185" s="61"/>
      <c r="AA185" s="61"/>
      <c r="AB185" s="61"/>
      <c r="AC185" s="62"/>
    </row>
    <row r="186" spans="3:29" hidden="1" x14ac:dyDescent="0.2">
      <c r="C186" s="15">
        <v>43221</v>
      </c>
      <c r="D186" s="51">
        <v>0.15840000000000001</v>
      </c>
      <c r="E186" s="52">
        <v>0</v>
      </c>
      <c r="F186" s="52">
        <f t="shared" si="39"/>
        <v>0.15840000000000001</v>
      </c>
      <c r="G186" s="53">
        <v>2003562</v>
      </c>
      <c r="H186" s="38"/>
      <c r="I186" s="54">
        <f t="shared" si="36"/>
        <v>2003562</v>
      </c>
      <c r="J186" s="54">
        <f t="shared" si="62"/>
        <v>2288856.4166666665</v>
      </c>
      <c r="K186" s="54">
        <f t="shared" si="43"/>
        <v>362554.85639999999</v>
      </c>
      <c r="L186" s="54"/>
      <c r="M186" s="54"/>
      <c r="N186" s="54">
        <v>-17505</v>
      </c>
      <c r="O186" s="54">
        <f t="shared" si="40"/>
        <v>345049.85639999999</v>
      </c>
      <c r="P186" s="54">
        <v>2923066.6</v>
      </c>
      <c r="R186" s="32">
        <f t="shared" si="37"/>
        <v>2923066.6</v>
      </c>
      <c r="S186" s="32">
        <f t="shared" si="63"/>
        <v>3269723.6</v>
      </c>
      <c r="T186" s="29">
        <f t="shared" si="42"/>
        <v>0.1063694217298249</v>
      </c>
      <c r="V186" s="65">
        <f>-105030-SUM(V181:V185)</f>
        <v>-17505</v>
      </c>
      <c r="W186" s="65">
        <v>0</v>
      </c>
      <c r="X186" s="59">
        <f t="shared" ref="X186" si="64">SUM(V186:W186)</f>
        <v>-17505</v>
      </c>
      <c r="Y186" s="60" t="s">
        <v>78</v>
      </c>
      <c r="Z186" s="61"/>
      <c r="AA186" s="61"/>
      <c r="AB186" s="61"/>
      <c r="AC186" s="62"/>
    </row>
    <row r="187" spans="3:29" hidden="1" x14ac:dyDescent="0.2">
      <c r="C187" s="15">
        <v>43252</v>
      </c>
      <c r="D187" s="51">
        <v>0.15590000000000001</v>
      </c>
      <c r="E187" s="52">
        <v>0</v>
      </c>
      <c r="F187" s="52">
        <f t="shared" si="39"/>
        <v>0.15590000000000001</v>
      </c>
      <c r="G187" s="53">
        <v>2250206</v>
      </c>
      <c r="H187" s="38"/>
      <c r="I187" s="54">
        <f t="shared" si="36"/>
        <v>2250206</v>
      </c>
      <c r="J187" s="54">
        <f t="shared" ref="J187" si="65">SUM(I176:I187)/12</f>
        <v>2316722.6666666665</v>
      </c>
      <c r="K187" s="54">
        <f t="shared" si="43"/>
        <v>361177.06373333331</v>
      </c>
      <c r="L187" s="54"/>
      <c r="M187" s="54"/>
      <c r="N187" s="54">
        <v>0</v>
      </c>
      <c r="O187" s="54">
        <f t="shared" si="40"/>
        <v>361177.06373333331</v>
      </c>
      <c r="P187" s="54">
        <v>3078201.63</v>
      </c>
      <c r="R187" s="32">
        <f t="shared" si="37"/>
        <v>3078201.63</v>
      </c>
      <c r="S187" s="32">
        <f t="shared" ref="S187" si="66">SUM(R176:R187)/12</f>
        <v>3284712.0050000008</v>
      </c>
      <c r="T187" s="29">
        <f t="shared" si="42"/>
        <v>0.1104610382765483</v>
      </c>
      <c r="V187" s="66"/>
      <c r="W187" s="66"/>
      <c r="X187" s="57"/>
      <c r="Y187" s="64"/>
    </row>
    <row r="188" spans="3:29" hidden="1" x14ac:dyDescent="0.2">
      <c r="C188" s="15">
        <v>43282</v>
      </c>
      <c r="D188" s="51">
        <v>0.14169999999999999</v>
      </c>
      <c r="E188" s="52">
        <v>0</v>
      </c>
      <c r="F188" s="52">
        <f t="shared" si="39"/>
        <v>0.14169999999999999</v>
      </c>
      <c r="G188" s="53">
        <v>2182828</v>
      </c>
      <c r="H188" s="38"/>
      <c r="I188" s="54">
        <f t="shared" si="36"/>
        <v>2182828</v>
      </c>
      <c r="J188" s="54">
        <f t="shared" ref="J188:J193" si="67">SUM(I177:I188)/12</f>
        <v>2310496.9166666665</v>
      </c>
      <c r="K188" s="54">
        <f t="shared" si="43"/>
        <v>327397.41309166665</v>
      </c>
      <c r="L188" s="54"/>
      <c r="M188" s="54"/>
      <c r="N188" s="54">
        <v>-11180</v>
      </c>
      <c r="O188" s="54">
        <f t="shared" si="40"/>
        <v>316217.41309166665</v>
      </c>
      <c r="P188" s="54">
        <v>3370944.08</v>
      </c>
      <c r="R188" s="32">
        <f t="shared" si="37"/>
        <v>3370944.08</v>
      </c>
      <c r="S188" s="32">
        <f t="shared" ref="S188:S193" si="68">SUM(R177:R188)/12</f>
        <v>3302766.7475000001</v>
      </c>
      <c r="T188" s="29">
        <f t="shared" si="42"/>
        <v>9.6269448466203222E-2</v>
      </c>
      <c r="V188" s="67">
        <v>-11180</v>
      </c>
      <c r="W188" s="65">
        <v>0</v>
      </c>
      <c r="X188" s="59">
        <f t="shared" ref="X188:X192" si="69">SUM(V188:W188)</f>
        <v>-11180</v>
      </c>
      <c r="Y188" s="60" t="s">
        <v>79</v>
      </c>
      <c r="Z188" s="61"/>
      <c r="AA188" s="61"/>
      <c r="AB188" s="61"/>
      <c r="AC188" s="62"/>
    </row>
    <row r="189" spans="3:29" hidden="1" x14ac:dyDescent="0.2">
      <c r="C189" s="15">
        <v>43313</v>
      </c>
      <c r="D189" s="51">
        <v>0.15190000000000001</v>
      </c>
      <c r="E189" s="52">
        <v>0</v>
      </c>
      <c r="F189" s="52">
        <f t="shared" si="39"/>
        <v>0.15190000000000001</v>
      </c>
      <c r="G189" s="53">
        <v>2082314</v>
      </c>
      <c r="H189" s="38"/>
      <c r="I189" s="54">
        <f t="shared" si="36"/>
        <v>2082314</v>
      </c>
      <c r="J189" s="54">
        <f t="shared" si="67"/>
        <v>2306609.9166666665</v>
      </c>
      <c r="K189" s="54">
        <f t="shared" si="43"/>
        <v>350374.04634166666</v>
      </c>
      <c r="L189" s="54"/>
      <c r="M189" s="54"/>
      <c r="N189" s="54">
        <v>-11180</v>
      </c>
      <c r="O189" s="54">
        <f t="shared" si="40"/>
        <v>339194.04634166666</v>
      </c>
      <c r="P189" s="54">
        <v>3017503.04</v>
      </c>
      <c r="R189" s="32">
        <f t="shared" si="37"/>
        <v>3017503.04</v>
      </c>
      <c r="S189" s="32">
        <f t="shared" si="68"/>
        <v>3293921.2741666664</v>
      </c>
      <c r="T189" s="29">
        <f t="shared" si="42"/>
        <v>0.10269997013819294</v>
      </c>
      <c r="V189" s="67">
        <v>-11180</v>
      </c>
      <c r="W189" s="65">
        <v>0</v>
      </c>
      <c r="X189" s="59">
        <f t="shared" si="69"/>
        <v>-11180</v>
      </c>
      <c r="Y189" s="60" t="s">
        <v>79</v>
      </c>
      <c r="Z189" s="61"/>
      <c r="AA189" s="61"/>
      <c r="AB189" s="61"/>
      <c r="AC189" s="62"/>
    </row>
    <row r="190" spans="3:29" hidden="1" x14ac:dyDescent="0.2">
      <c r="C190" s="15">
        <v>43344</v>
      </c>
      <c r="D190" s="51">
        <v>0.1542</v>
      </c>
      <c r="E190" s="52">
        <v>0</v>
      </c>
      <c r="F190" s="52">
        <f t="shared" si="39"/>
        <v>0.1542</v>
      </c>
      <c r="G190" s="53">
        <v>1985405</v>
      </c>
      <c r="H190" s="38"/>
      <c r="I190" s="54">
        <f t="shared" si="36"/>
        <v>1985405</v>
      </c>
      <c r="J190" s="54">
        <f t="shared" si="67"/>
        <v>2333086.4166666665</v>
      </c>
      <c r="K190" s="54">
        <f t="shared" si="43"/>
        <v>359761.92544999998</v>
      </c>
      <c r="L190" s="54"/>
      <c r="M190" s="54"/>
      <c r="N190" s="54">
        <v>-11180</v>
      </c>
      <c r="O190" s="54">
        <f t="shared" si="40"/>
        <v>348581.92544999998</v>
      </c>
      <c r="P190" s="54">
        <v>3010637.9</v>
      </c>
      <c r="R190" s="32">
        <f t="shared" si="37"/>
        <v>3010637.9</v>
      </c>
      <c r="S190" s="32">
        <f t="shared" si="68"/>
        <v>3326471.2825000002</v>
      </c>
      <c r="T190" s="29">
        <f t="shared" si="42"/>
        <v>0.10582582169884683</v>
      </c>
      <c r="V190" s="67">
        <v>-11180</v>
      </c>
      <c r="W190" s="65">
        <v>0</v>
      </c>
      <c r="X190" s="59">
        <f t="shared" si="69"/>
        <v>-11180</v>
      </c>
      <c r="Y190" s="60" t="s">
        <v>79</v>
      </c>
      <c r="Z190" s="61"/>
      <c r="AA190" s="61"/>
      <c r="AB190" s="61"/>
      <c r="AC190" s="62"/>
    </row>
    <row r="191" spans="3:29" hidden="1" x14ac:dyDescent="0.2">
      <c r="C191" s="15">
        <v>43374</v>
      </c>
      <c r="D191" s="51">
        <v>0.16159999999999999</v>
      </c>
      <c r="E191" s="52">
        <v>0</v>
      </c>
      <c r="F191" s="52">
        <f t="shared" si="39"/>
        <v>0.16159999999999999</v>
      </c>
      <c r="G191" s="53">
        <v>1867801</v>
      </c>
      <c r="H191" s="38"/>
      <c r="I191" s="54">
        <f t="shared" si="36"/>
        <v>1867801</v>
      </c>
      <c r="J191" s="54">
        <f t="shared" si="67"/>
        <v>2328645.3333333335</v>
      </c>
      <c r="K191" s="54">
        <f t="shared" si="43"/>
        <v>376309.08586666669</v>
      </c>
      <c r="L191" s="54"/>
      <c r="M191" s="54"/>
      <c r="N191" s="54">
        <v>-11180</v>
      </c>
      <c r="O191" s="54">
        <f t="shared" si="40"/>
        <v>365129.08586666669</v>
      </c>
      <c r="P191" s="54">
        <v>2561325.7999999998</v>
      </c>
      <c r="R191" s="32">
        <f t="shared" si="37"/>
        <v>2561325.7999999998</v>
      </c>
      <c r="S191" s="32">
        <f t="shared" si="68"/>
        <v>3346177.6183333327</v>
      </c>
      <c r="T191" s="29">
        <f t="shared" si="42"/>
        <v>0.1097646890227337</v>
      </c>
      <c r="V191" s="67">
        <v>-11180</v>
      </c>
      <c r="W191" s="65">
        <v>0</v>
      </c>
      <c r="X191" s="59">
        <f t="shared" si="69"/>
        <v>-11180</v>
      </c>
      <c r="Y191" s="60" t="s">
        <v>79</v>
      </c>
      <c r="Z191" s="61"/>
      <c r="AA191" s="61"/>
      <c r="AB191" s="61"/>
      <c r="AC191" s="62"/>
    </row>
    <row r="192" spans="3:29" hidden="1" x14ac:dyDescent="0.2">
      <c r="C192" s="15">
        <v>43405</v>
      </c>
      <c r="D192" s="51">
        <v>0.16830000000000001</v>
      </c>
      <c r="E192" s="52">
        <v>0</v>
      </c>
      <c r="F192" s="52">
        <f t="shared" si="39"/>
        <v>0.16830000000000001</v>
      </c>
      <c r="G192" s="53">
        <v>2365934</v>
      </c>
      <c r="H192" s="38"/>
      <c r="I192" s="54">
        <f t="shared" si="36"/>
        <v>2365934</v>
      </c>
      <c r="J192" s="54">
        <f t="shared" si="67"/>
        <v>2342829.9166666665</v>
      </c>
      <c r="K192" s="54">
        <f t="shared" si="43"/>
        <v>394298.27497500001</v>
      </c>
      <c r="L192" s="54"/>
      <c r="M192" s="54"/>
      <c r="N192" s="54">
        <v>-11180</v>
      </c>
      <c r="O192" s="54">
        <f t="shared" si="40"/>
        <v>383118.27497500001</v>
      </c>
      <c r="P192" s="54">
        <v>3304794.87</v>
      </c>
      <c r="R192" s="32">
        <f t="shared" si="37"/>
        <v>3304794.87</v>
      </c>
      <c r="S192" s="32">
        <f t="shared" si="68"/>
        <v>3353640.2466666661</v>
      </c>
      <c r="T192" s="29">
        <f t="shared" si="42"/>
        <v>0.11449430325393901</v>
      </c>
      <c r="V192" s="67">
        <v>-11180</v>
      </c>
      <c r="W192" s="65">
        <v>0</v>
      </c>
      <c r="X192" s="59">
        <f t="shared" si="69"/>
        <v>-11180</v>
      </c>
      <c r="Y192" s="60" t="s">
        <v>79</v>
      </c>
      <c r="Z192" s="61"/>
      <c r="AA192" s="61"/>
      <c r="AB192" s="61"/>
      <c r="AC192" s="62"/>
    </row>
    <row r="193" spans="3:29" hidden="1" x14ac:dyDescent="0.2">
      <c r="C193" s="15">
        <v>43435</v>
      </c>
      <c r="D193" s="51">
        <v>0.14680000000000001</v>
      </c>
      <c r="E193" s="52">
        <v>0</v>
      </c>
      <c r="F193" s="52">
        <f t="shared" si="39"/>
        <v>0.14680000000000001</v>
      </c>
      <c r="G193" s="53">
        <v>2735582</v>
      </c>
      <c r="H193" s="38"/>
      <c r="I193" s="54">
        <f t="shared" si="36"/>
        <v>2735582</v>
      </c>
      <c r="J193" s="54">
        <f t="shared" si="67"/>
        <v>2328844.6666666665</v>
      </c>
      <c r="K193" s="54">
        <f t="shared" si="43"/>
        <v>341874.39706666669</v>
      </c>
      <c r="L193" s="54"/>
      <c r="M193" s="54"/>
      <c r="N193" s="54">
        <v>-11178</v>
      </c>
      <c r="O193" s="54">
        <f t="shared" si="40"/>
        <v>330696.39706666669</v>
      </c>
      <c r="P193" s="54">
        <v>3845732.64</v>
      </c>
      <c r="R193" s="32">
        <f t="shared" si="37"/>
        <v>3845732.64</v>
      </c>
      <c r="S193" s="32">
        <f t="shared" si="68"/>
        <v>3340461.6183333336</v>
      </c>
      <c r="T193" s="29">
        <f t="shared" si="42"/>
        <v>9.860819072509662E-2</v>
      </c>
      <c r="V193" s="65">
        <f>-67078-SUM(V188:V192)</f>
        <v>-11178</v>
      </c>
      <c r="W193" s="65">
        <v>0</v>
      </c>
      <c r="X193" s="59">
        <f t="shared" ref="X193" si="70">SUM(V193:W193)</f>
        <v>-11178</v>
      </c>
      <c r="Y193" s="60" t="s">
        <v>79</v>
      </c>
      <c r="Z193" s="61"/>
      <c r="AA193" s="61"/>
      <c r="AB193" s="61"/>
      <c r="AC193" s="62"/>
    </row>
    <row r="194" spans="3:29" hidden="1" x14ac:dyDescent="0.2">
      <c r="C194" s="15">
        <v>43466</v>
      </c>
      <c r="D194" s="51">
        <v>0.1216</v>
      </c>
      <c r="E194" s="52">
        <v>0</v>
      </c>
      <c r="F194" s="52">
        <f t="shared" si="39"/>
        <v>0.1216</v>
      </c>
      <c r="G194" s="53">
        <v>2782654</v>
      </c>
      <c r="H194" s="38"/>
      <c r="I194" s="54">
        <f t="shared" si="36"/>
        <v>2782654</v>
      </c>
      <c r="J194" s="54">
        <f t="shared" ref="J194" si="71">SUM(I183:I194)/12</f>
        <v>2264416.5833333335</v>
      </c>
      <c r="K194" s="54">
        <f t="shared" si="43"/>
        <v>275353.05653333338</v>
      </c>
      <c r="L194" s="54"/>
      <c r="M194" s="54"/>
      <c r="N194" s="54">
        <v>-18903</v>
      </c>
      <c r="O194" s="54">
        <f t="shared" si="40"/>
        <v>256450.05653333338</v>
      </c>
      <c r="P194" s="54">
        <v>4008691.35</v>
      </c>
      <c r="R194" s="32">
        <f t="shared" si="37"/>
        <v>4008691.35</v>
      </c>
      <c r="S194" s="32">
        <f t="shared" ref="S194" si="72">SUM(R183:R194)/12</f>
        <v>3286558.2908333335</v>
      </c>
      <c r="T194" s="29">
        <f t="shared" si="42"/>
        <v>7.6770843624087134E-2</v>
      </c>
      <c r="V194" s="67">
        <v>-18903</v>
      </c>
      <c r="W194" s="65">
        <v>0</v>
      </c>
      <c r="X194" s="59">
        <f t="shared" ref="X194:X198" si="73">SUM(V194:W194)</f>
        <v>-18903</v>
      </c>
      <c r="Y194" s="60" t="s">
        <v>80</v>
      </c>
      <c r="Z194" s="61"/>
      <c r="AA194" s="61"/>
      <c r="AB194" s="61"/>
      <c r="AC194" s="62"/>
    </row>
    <row r="195" spans="3:29" hidden="1" x14ac:dyDescent="0.2">
      <c r="C195" s="15">
        <v>43497</v>
      </c>
      <c r="D195" s="51">
        <v>0.121</v>
      </c>
      <c r="E195" s="52">
        <v>0</v>
      </c>
      <c r="F195" s="52">
        <f t="shared" si="39"/>
        <v>0.121</v>
      </c>
      <c r="G195" s="53">
        <v>2196675</v>
      </c>
      <c r="H195" s="38"/>
      <c r="I195" s="54">
        <f t="shared" si="36"/>
        <v>2196675</v>
      </c>
      <c r="J195" s="54">
        <f t="shared" ref="J195:J199" si="74">SUM(I184:I195)/12</f>
        <v>2239255.4166666665</v>
      </c>
      <c r="K195" s="54">
        <f t="shared" si="43"/>
        <v>270949.90541666665</v>
      </c>
      <c r="L195" s="54"/>
      <c r="M195" s="54"/>
      <c r="N195" s="54">
        <v>-18903</v>
      </c>
      <c r="O195" s="54">
        <f t="shared" si="40"/>
        <v>252046.90541666665</v>
      </c>
      <c r="P195" s="54">
        <v>3594685.96</v>
      </c>
      <c r="R195" s="32">
        <f t="shared" si="37"/>
        <v>3594685.96</v>
      </c>
      <c r="S195" s="32">
        <f t="shared" ref="S195:S199" si="75">SUM(R184:R195)/12</f>
        <v>3273318.7650000001</v>
      </c>
      <c r="T195" s="29">
        <f t="shared" si="42"/>
        <v>7.6690228230444107E-2</v>
      </c>
      <c r="V195" s="67">
        <v>-18903</v>
      </c>
      <c r="W195" s="65">
        <v>0</v>
      </c>
      <c r="X195" s="59">
        <f t="shared" si="73"/>
        <v>-18903</v>
      </c>
      <c r="Y195" s="60" t="s">
        <v>80</v>
      </c>
      <c r="Z195" s="61"/>
      <c r="AA195" s="61"/>
      <c r="AB195" s="61"/>
      <c r="AC195" s="62"/>
    </row>
    <row r="196" spans="3:29" hidden="1" x14ac:dyDescent="0.2">
      <c r="C196" s="15">
        <v>43525</v>
      </c>
      <c r="D196" s="51">
        <v>0.15229999999999999</v>
      </c>
      <c r="E196" s="52">
        <v>0</v>
      </c>
      <c r="F196" s="52">
        <f t="shared" si="39"/>
        <v>0.15229999999999999</v>
      </c>
      <c r="G196" s="53">
        <v>2368041</v>
      </c>
      <c r="H196" s="38"/>
      <c r="I196" s="54">
        <f t="shared" si="36"/>
        <v>2368041</v>
      </c>
      <c r="J196" s="54">
        <f t="shared" si="74"/>
        <v>2236174.1666666665</v>
      </c>
      <c r="K196" s="54">
        <f t="shared" si="43"/>
        <v>340569.32558333327</v>
      </c>
      <c r="L196" s="54"/>
      <c r="M196" s="54"/>
      <c r="N196" s="54">
        <v>-18903</v>
      </c>
      <c r="O196" s="54">
        <f t="shared" si="40"/>
        <v>321666.32558333327</v>
      </c>
      <c r="P196" s="54">
        <v>3323415.37</v>
      </c>
      <c r="R196" s="32">
        <f t="shared" si="37"/>
        <v>3323415.37</v>
      </c>
      <c r="S196" s="32">
        <f t="shared" si="75"/>
        <v>3250378.3183333334</v>
      </c>
      <c r="T196" s="29">
        <f t="shared" si="42"/>
        <v>9.8269172261117463E-2</v>
      </c>
      <c r="V196" s="67">
        <v>-18903</v>
      </c>
      <c r="W196" s="65">
        <v>0</v>
      </c>
      <c r="X196" s="59">
        <f t="shared" si="73"/>
        <v>-18903</v>
      </c>
      <c r="Y196" s="60" t="s">
        <v>80</v>
      </c>
      <c r="Z196" s="61"/>
      <c r="AA196" s="61"/>
      <c r="AB196" s="61"/>
      <c r="AC196" s="62"/>
    </row>
    <row r="197" spans="3:29" hidden="1" x14ac:dyDescent="0.2">
      <c r="C197" s="15">
        <v>43556</v>
      </c>
      <c r="D197" s="51">
        <v>0.15770000000000001</v>
      </c>
      <c r="E197" s="52">
        <v>0</v>
      </c>
      <c r="F197" s="52">
        <f t="shared" si="39"/>
        <v>0.15770000000000001</v>
      </c>
      <c r="G197" s="53">
        <v>1814358</v>
      </c>
      <c r="H197" s="38"/>
      <c r="I197" s="54">
        <f t="shared" si="36"/>
        <v>1814358</v>
      </c>
      <c r="J197" s="54">
        <f t="shared" si="74"/>
        <v>2219613.3333333335</v>
      </c>
      <c r="K197" s="54">
        <f t="shared" si="43"/>
        <v>350033.02266666671</v>
      </c>
      <c r="L197" s="54"/>
      <c r="M197" s="54"/>
      <c r="N197" s="54">
        <v>-18903</v>
      </c>
      <c r="O197" s="54">
        <f t="shared" si="40"/>
        <v>331130.02266666671</v>
      </c>
      <c r="P197" s="54">
        <v>2560276.86</v>
      </c>
      <c r="R197" s="32">
        <f t="shared" si="37"/>
        <v>2560276.86</v>
      </c>
      <c r="S197" s="32">
        <f t="shared" si="75"/>
        <v>3216606.3416666668</v>
      </c>
      <c r="T197" s="29">
        <f t="shared" si="42"/>
        <v>0.10187430207707551</v>
      </c>
      <c r="V197" s="67">
        <v>-18903</v>
      </c>
      <c r="W197" s="65">
        <v>0</v>
      </c>
      <c r="X197" s="59">
        <f t="shared" si="73"/>
        <v>-18903</v>
      </c>
      <c r="Y197" s="60" t="s">
        <v>80</v>
      </c>
      <c r="Z197" s="61"/>
      <c r="AA197" s="61"/>
      <c r="AB197" s="61"/>
      <c r="AC197" s="62"/>
    </row>
    <row r="198" spans="3:29" hidden="1" x14ac:dyDescent="0.2">
      <c r="C198" s="15">
        <v>43586</v>
      </c>
      <c r="D198" s="51">
        <v>0.18940000000000001</v>
      </c>
      <c r="E198" s="52">
        <v>0</v>
      </c>
      <c r="F198" s="52">
        <f t="shared" si="39"/>
        <v>0.18940000000000001</v>
      </c>
      <c r="G198" s="53">
        <v>1897284</v>
      </c>
      <c r="H198" s="38"/>
      <c r="I198" s="54">
        <f t="shared" si="36"/>
        <v>1897284</v>
      </c>
      <c r="J198" s="54">
        <f t="shared" si="74"/>
        <v>2210756.8333333335</v>
      </c>
      <c r="K198" s="54">
        <f t="shared" si="43"/>
        <v>418717.34423333337</v>
      </c>
      <c r="L198" s="54"/>
      <c r="M198" s="54"/>
      <c r="N198" s="54">
        <v>-18903</v>
      </c>
      <c r="O198" s="54">
        <f t="shared" si="40"/>
        <v>399814.34423333337</v>
      </c>
      <c r="P198" s="54">
        <v>2686982.34</v>
      </c>
      <c r="R198" s="32">
        <f t="shared" si="37"/>
        <v>2686982.34</v>
      </c>
      <c r="S198" s="32">
        <f t="shared" si="75"/>
        <v>3196932.6533333338</v>
      </c>
      <c r="T198" s="29">
        <f t="shared" si="42"/>
        <v>0.12429694583831846</v>
      </c>
      <c r="V198" s="67">
        <v>-18903</v>
      </c>
      <c r="W198" s="65">
        <v>0</v>
      </c>
      <c r="X198" s="59">
        <f t="shared" si="73"/>
        <v>-18903</v>
      </c>
      <c r="Y198" s="60" t="s">
        <v>80</v>
      </c>
      <c r="Z198" s="61"/>
      <c r="AA198" s="61"/>
      <c r="AB198" s="61"/>
      <c r="AC198" s="62"/>
    </row>
    <row r="199" spans="3:29" hidden="1" x14ac:dyDescent="0.2">
      <c r="C199" s="15">
        <v>43617</v>
      </c>
      <c r="D199" s="51">
        <v>0.1862</v>
      </c>
      <c r="E199" s="52">
        <v>0</v>
      </c>
      <c r="F199" s="52">
        <f t="shared" si="39"/>
        <v>0.1862</v>
      </c>
      <c r="G199" s="53">
        <v>1929561</v>
      </c>
      <c r="H199" s="38"/>
      <c r="I199" s="54">
        <f t="shared" si="36"/>
        <v>1929561</v>
      </c>
      <c r="J199" s="54">
        <f t="shared" si="74"/>
        <v>2184036.4166666665</v>
      </c>
      <c r="K199" s="54">
        <f t="shared" si="43"/>
        <v>406667.58078333334</v>
      </c>
      <c r="L199" s="54"/>
      <c r="M199" s="54"/>
      <c r="N199" s="54">
        <v>-18901</v>
      </c>
      <c r="O199" s="54">
        <f t="shared" si="40"/>
        <v>387766.58078333334</v>
      </c>
      <c r="P199" s="54">
        <v>2793697.12</v>
      </c>
      <c r="R199" s="32">
        <f t="shared" si="37"/>
        <v>2793697.12</v>
      </c>
      <c r="S199" s="32">
        <f t="shared" si="75"/>
        <v>3173223.9441666673</v>
      </c>
      <c r="T199" s="29">
        <f t="shared" si="42"/>
        <v>0.12129332170292115</v>
      </c>
      <c r="V199" s="65">
        <f>-113416-SUM(V194:V198)</f>
        <v>-18901</v>
      </c>
      <c r="W199" s="65">
        <v>0</v>
      </c>
      <c r="X199" s="59">
        <f t="shared" ref="X199" si="76">SUM(V199:W199)</f>
        <v>-18901</v>
      </c>
      <c r="Y199" s="60" t="s">
        <v>80</v>
      </c>
      <c r="Z199" s="61"/>
      <c r="AA199" s="61"/>
      <c r="AB199" s="61"/>
      <c r="AC199" s="62"/>
    </row>
    <row r="200" spans="3:29" hidden="1" x14ac:dyDescent="0.2">
      <c r="C200" s="15">
        <v>43647</v>
      </c>
      <c r="D200" s="51">
        <v>0.18160000000000001</v>
      </c>
      <c r="E200" s="52">
        <v>0</v>
      </c>
      <c r="F200" s="52">
        <f t="shared" si="39"/>
        <v>0.18160000000000001</v>
      </c>
      <c r="G200" s="53">
        <v>2190394</v>
      </c>
      <c r="H200" s="38"/>
      <c r="I200" s="54">
        <f t="shared" si="36"/>
        <v>2190394</v>
      </c>
      <c r="J200" s="54">
        <f t="shared" ref="J200" si="77">SUM(I189:I200)/12</f>
        <v>2184666.9166666665</v>
      </c>
      <c r="K200" s="54">
        <f t="shared" si="43"/>
        <v>396735.51206666668</v>
      </c>
      <c r="L200" s="54"/>
      <c r="M200" s="54"/>
      <c r="N200" s="54">
        <v>0</v>
      </c>
      <c r="O200" s="54">
        <f t="shared" si="40"/>
        <v>396735.51206666668</v>
      </c>
      <c r="P200" s="54">
        <v>3165992.17</v>
      </c>
      <c r="R200" s="32">
        <f t="shared" si="37"/>
        <v>3165992.17</v>
      </c>
      <c r="S200" s="32">
        <f t="shared" ref="S200" si="78">SUM(R189:R200)/12</f>
        <v>3156144.6183333336</v>
      </c>
      <c r="T200" s="29">
        <f t="shared" si="42"/>
        <v>0.12502600479741902</v>
      </c>
      <c r="V200" s="67">
        <v>0</v>
      </c>
      <c r="W200" s="67">
        <v>0</v>
      </c>
      <c r="X200" s="59">
        <f t="shared" ref="X200:X205" si="79">SUM(V200:W200)</f>
        <v>0</v>
      </c>
      <c r="Y200" s="60"/>
      <c r="Z200" s="61"/>
      <c r="AA200" s="61"/>
      <c r="AB200" s="61"/>
      <c r="AC200" s="62"/>
    </row>
    <row r="201" spans="3:29" hidden="1" x14ac:dyDescent="0.2">
      <c r="C201" s="15">
        <v>43678</v>
      </c>
      <c r="D201" s="51">
        <v>0.15490000000000001</v>
      </c>
      <c r="E201" s="52">
        <v>0</v>
      </c>
      <c r="F201" s="52">
        <f t="shared" si="39"/>
        <v>0.15490000000000001</v>
      </c>
      <c r="G201" s="53">
        <v>2127788</v>
      </c>
      <c r="H201" s="38"/>
      <c r="I201" s="54">
        <f t="shared" si="36"/>
        <v>2127788</v>
      </c>
      <c r="J201" s="54">
        <f t="shared" ref="J201:J206" si="80">SUM(I190:I201)/12</f>
        <v>2188456.4166666665</v>
      </c>
      <c r="K201" s="54">
        <f t="shared" si="43"/>
        <v>338991.89894166664</v>
      </c>
      <c r="L201" s="54"/>
      <c r="M201" s="54"/>
      <c r="N201" s="54">
        <v>-1903</v>
      </c>
      <c r="O201" s="54">
        <f t="shared" si="40"/>
        <v>337088.89894166664</v>
      </c>
      <c r="P201" s="54">
        <v>3276178.47</v>
      </c>
      <c r="R201" s="32">
        <f t="shared" si="37"/>
        <v>3276178.47</v>
      </c>
      <c r="S201" s="32">
        <f t="shared" ref="S201:S206" si="81">SUM(R190:R201)/12</f>
        <v>3177700.9041666668</v>
      </c>
      <c r="T201" s="29">
        <f t="shared" si="42"/>
        <v>0.10680400922809212</v>
      </c>
      <c r="V201" s="67">
        <v>-1903</v>
      </c>
      <c r="W201" s="67">
        <v>0</v>
      </c>
      <c r="X201" s="59">
        <f t="shared" si="79"/>
        <v>-1903</v>
      </c>
      <c r="Y201" s="60" t="s">
        <v>81</v>
      </c>
      <c r="Z201" s="61"/>
      <c r="AA201" s="61"/>
      <c r="AB201" s="61"/>
      <c r="AC201" s="62"/>
    </row>
    <row r="202" spans="3:29" hidden="1" x14ac:dyDescent="0.2">
      <c r="C202" s="15">
        <v>43709</v>
      </c>
      <c r="D202" s="51">
        <v>0.16139999999999999</v>
      </c>
      <c r="E202" s="52">
        <v>0</v>
      </c>
      <c r="F202" s="52">
        <f t="shared" si="39"/>
        <v>0.16139999999999999</v>
      </c>
      <c r="G202" s="53">
        <v>1938885</v>
      </c>
      <c r="H202" s="38"/>
      <c r="I202" s="54">
        <f t="shared" si="36"/>
        <v>1938885</v>
      </c>
      <c r="J202" s="54">
        <f t="shared" si="80"/>
        <v>2184579.75</v>
      </c>
      <c r="K202" s="54">
        <f t="shared" si="43"/>
        <v>352591.17164999997</v>
      </c>
      <c r="L202" s="54"/>
      <c r="M202" s="54"/>
      <c r="N202" s="54">
        <v>-1903</v>
      </c>
      <c r="O202" s="54">
        <f t="shared" si="40"/>
        <v>350688.17164999997</v>
      </c>
      <c r="P202" s="54">
        <v>2891055.68</v>
      </c>
      <c r="R202" s="32">
        <f t="shared" si="37"/>
        <v>2891055.68</v>
      </c>
      <c r="S202" s="32">
        <f t="shared" si="81"/>
        <v>3167735.7191666667</v>
      </c>
      <c r="T202" s="29">
        <f t="shared" si="42"/>
        <v>0.11035908734839406</v>
      </c>
      <c r="V202" s="67">
        <v>-1903</v>
      </c>
      <c r="W202" s="67">
        <v>0</v>
      </c>
      <c r="X202" s="59">
        <f t="shared" si="79"/>
        <v>-1903</v>
      </c>
      <c r="Y202" s="60" t="s">
        <v>81</v>
      </c>
      <c r="Z202" s="61"/>
      <c r="AA202" s="61"/>
      <c r="AB202" s="61"/>
      <c r="AC202" s="62"/>
    </row>
    <row r="203" spans="3:29" hidden="1" x14ac:dyDescent="0.2">
      <c r="C203" s="15">
        <v>43739</v>
      </c>
      <c r="D203" s="51">
        <v>0.17599999999999999</v>
      </c>
      <c r="E203" s="52">
        <v>0</v>
      </c>
      <c r="F203" s="52">
        <f t="shared" si="39"/>
        <v>0.17599999999999999</v>
      </c>
      <c r="G203" s="53">
        <v>1709909</v>
      </c>
      <c r="H203" s="38"/>
      <c r="I203" s="54">
        <f t="shared" si="36"/>
        <v>1709909</v>
      </c>
      <c r="J203" s="54">
        <f t="shared" si="80"/>
        <v>2171422.0833333335</v>
      </c>
      <c r="K203" s="54">
        <f t="shared" si="43"/>
        <v>382170.28666666668</v>
      </c>
      <c r="L203" s="54"/>
      <c r="M203" s="54"/>
      <c r="N203" s="54">
        <v>-1903</v>
      </c>
      <c r="O203" s="54">
        <f t="shared" si="40"/>
        <v>380267.28666666668</v>
      </c>
      <c r="P203" s="54">
        <v>2587247.4</v>
      </c>
      <c r="R203" s="32">
        <f t="shared" si="37"/>
        <v>2587247.4</v>
      </c>
      <c r="S203" s="32">
        <f t="shared" si="81"/>
        <v>3169895.8524999996</v>
      </c>
      <c r="T203" s="29">
        <f t="shared" si="42"/>
        <v>0.12004388003892674</v>
      </c>
      <c r="V203" s="67">
        <v>-1903</v>
      </c>
      <c r="W203" s="67">
        <v>0</v>
      </c>
      <c r="X203" s="59">
        <f t="shared" si="79"/>
        <v>-1903</v>
      </c>
      <c r="Y203" s="60" t="s">
        <v>81</v>
      </c>
      <c r="Z203" s="61"/>
      <c r="AA203" s="61"/>
      <c r="AB203" s="61"/>
      <c r="AC203" s="62"/>
    </row>
    <row r="204" spans="3:29" hidden="1" x14ac:dyDescent="0.2">
      <c r="C204" s="15">
        <v>43770</v>
      </c>
      <c r="D204" s="51">
        <v>0.19800000000000001</v>
      </c>
      <c r="E204" s="52">
        <v>0</v>
      </c>
      <c r="F204" s="52">
        <f t="shared" si="39"/>
        <v>0.19800000000000001</v>
      </c>
      <c r="G204" s="53">
        <v>2269495</v>
      </c>
      <c r="H204" s="38"/>
      <c r="I204" s="54">
        <f t="shared" si="36"/>
        <v>2269495</v>
      </c>
      <c r="J204" s="54">
        <f t="shared" si="80"/>
        <v>2163385.5</v>
      </c>
      <c r="K204" s="54">
        <f t="shared" si="43"/>
        <v>428350.32900000003</v>
      </c>
      <c r="L204" s="54"/>
      <c r="M204" s="54"/>
      <c r="N204" s="54">
        <v>-1903</v>
      </c>
      <c r="O204" s="54">
        <f t="shared" si="40"/>
        <v>426447.32900000003</v>
      </c>
      <c r="P204" s="54">
        <v>3117063.06</v>
      </c>
      <c r="R204" s="32">
        <f t="shared" si="37"/>
        <v>3117063.06</v>
      </c>
      <c r="S204" s="32">
        <f t="shared" si="81"/>
        <v>3154251.5350000001</v>
      </c>
      <c r="T204" s="29">
        <f t="shared" si="42"/>
        <v>0.13453039116842722</v>
      </c>
      <c r="V204" s="67">
        <v>-1903</v>
      </c>
      <c r="W204" s="67">
        <v>0</v>
      </c>
      <c r="X204" s="59">
        <f t="shared" si="79"/>
        <v>-1903</v>
      </c>
      <c r="Y204" s="60" t="s">
        <v>81</v>
      </c>
      <c r="Z204" s="61"/>
      <c r="AA204" s="61"/>
      <c r="AB204" s="61"/>
      <c r="AC204" s="62"/>
    </row>
    <row r="205" spans="3:29" hidden="1" x14ac:dyDescent="0.2">
      <c r="C205" s="15">
        <v>43800</v>
      </c>
      <c r="D205" s="51">
        <v>0.1668</v>
      </c>
      <c r="E205" s="52">
        <v>0</v>
      </c>
      <c r="F205" s="52">
        <f t="shared" si="39"/>
        <v>0.1668</v>
      </c>
      <c r="G205" s="53">
        <v>2528506</v>
      </c>
      <c r="H205" s="38"/>
      <c r="I205" s="54">
        <f t="shared" si="36"/>
        <v>2528506</v>
      </c>
      <c r="J205" s="54">
        <f t="shared" si="80"/>
        <v>2146129.1666666665</v>
      </c>
      <c r="K205" s="54">
        <f t="shared" si="43"/>
        <v>357974.34499999997</v>
      </c>
      <c r="L205" s="54"/>
      <c r="M205" s="54"/>
      <c r="N205" s="54">
        <v>-1903</v>
      </c>
      <c r="O205" s="54">
        <f t="shared" si="40"/>
        <v>356071.34499999997</v>
      </c>
      <c r="P205" s="54">
        <v>3656378.43</v>
      </c>
      <c r="R205" s="32">
        <f t="shared" si="37"/>
        <v>3656378.43</v>
      </c>
      <c r="S205" s="32">
        <f t="shared" si="81"/>
        <v>3138472.0175000001</v>
      </c>
      <c r="T205" s="29">
        <f t="shared" si="42"/>
        <v>0.11288616048814888</v>
      </c>
      <c r="V205" s="67">
        <v>-1903</v>
      </c>
      <c r="W205" s="67">
        <v>0</v>
      </c>
      <c r="X205" s="59">
        <f t="shared" si="79"/>
        <v>-1903</v>
      </c>
      <c r="Y205" s="60" t="s">
        <v>81</v>
      </c>
      <c r="Z205" s="61"/>
      <c r="AA205" s="61"/>
      <c r="AB205" s="61"/>
      <c r="AC205" s="62"/>
    </row>
    <row r="206" spans="3:29" hidden="1" x14ac:dyDescent="0.2">
      <c r="C206" s="15">
        <v>43831</v>
      </c>
      <c r="D206" s="51">
        <v>0.14360000000000001</v>
      </c>
      <c r="E206" s="52">
        <v>0</v>
      </c>
      <c r="F206" s="52">
        <f t="shared" si="39"/>
        <v>0.14360000000000001</v>
      </c>
      <c r="G206" s="53">
        <v>2474743</v>
      </c>
      <c r="H206" s="38"/>
      <c r="I206" s="54">
        <f t="shared" si="36"/>
        <v>2474743</v>
      </c>
      <c r="J206" s="54">
        <f t="shared" si="80"/>
        <v>2120469.9166666665</v>
      </c>
      <c r="K206" s="54">
        <f t="shared" si="43"/>
        <v>304499.4800333333</v>
      </c>
      <c r="L206" s="54"/>
      <c r="M206" s="54"/>
      <c r="N206" s="54">
        <v>-1901</v>
      </c>
      <c r="O206" s="54">
        <f t="shared" si="40"/>
        <v>302598.4800333333</v>
      </c>
      <c r="P206" s="54">
        <v>3471380.21</v>
      </c>
      <c r="R206" s="32">
        <f t="shared" si="37"/>
        <v>3471380.21</v>
      </c>
      <c r="S206" s="32">
        <f t="shared" si="81"/>
        <v>3093696.0891666668</v>
      </c>
      <c r="T206" s="29">
        <f t="shared" si="42"/>
        <v>9.6415860439747661E-2</v>
      </c>
      <c r="V206" s="65">
        <f>-11416-SUM(V201:V205)</f>
        <v>-1901</v>
      </c>
      <c r="W206" s="67">
        <v>0</v>
      </c>
      <c r="X206" s="59">
        <f t="shared" ref="X206" si="82">SUM(V206:W206)</f>
        <v>-1901</v>
      </c>
      <c r="Y206" s="60" t="s">
        <v>81</v>
      </c>
      <c r="Z206" s="61"/>
      <c r="AA206" s="61"/>
      <c r="AB206" s="61"/>
      <c r="AC206" s="62"/>
    </row>
    <row r="207" spans="3:29" hidden="1" x14ac:dyDescent="0.2">
      <c r="C207" s="15">
        <v>43862</v>
      </c>
      <c r="D207" s="51">
        <v>0.15179999999999999</v>
      </c>
      <c r="E207" s="52">
        <v>0</v>
      </c>
      <c r="F207" s="52">
        <f t="shared" si="39"/>
        <v>0.15179999999999999</v>
      </c>
      <c r="G207" s="53">
        <v>2186370</v>
      </c>
      <c r="H207" s="38"/>
      <c r="I207" s="54">
        <f t="shared" si="36"/>
        <v>2186370</v>
      </c>
      <c r="J207" s="54">
        <f t="shared" ref="J207" si="83">SUM(I196:I207)/12</f>
        <v>2119611.1666666665</v>
      </c>
      <c r="K207" s="54">
        <f t="shared" si="43"/>
        <v>321756.97509999998</v>
      </c>
      <c r="L207" s="54"/>
      <c r="M207" s="54"/>
      <c r="N207" s="54">
        <v>0</v>
      </c>
      <c r="O207" s="54">
        <f t="shared" si="40"/>
        <v>321756.97509999998</v>
      </c>
      <c r="P207" s="54">
        <v>3279590.46</v>
      </c>
      <c r="R207" s="32">
        <f t="shared" si="37"/>
        <v>3279590.46</v>
      </c>
      <c r="S207" s="32">
        <f t="shared" ref="S207" si="84">SUM(R196:R207)/12</f>
        <v>3067438.1308333334</v>
      </c>
      <c r="T207" s="29">
        <f t="shared" si="42"/>
        <v>0.10400406692393306</v>
      </c>
      <c r="V207" s="67">
        <v>0</v>
      </c>
      <c r="W207" s="67">
        <v>0</v>
      </c>
      <c r="X207" s="59">
        <f t="shared" ref="X207:X213" si="85">SUM(V207:W207)</f>
        <v>0</v>
      </c>
      <c r="Y207" s="60"/>
      <c r="Z207" s="61"/>
      <c r="AA207" s="61"/>
      <c r="AB207" s="61"/>
      <c r="AC207" s="62"/>
    </row>
    <row r="208" spans="3:29" hidden="1" x14ac:dyDescent="0.2">
      <c r="C208" s="15">
        <v>43891</v>
      </c>
      <c r="D208" s="51">
        <v>0.1696</v>
      </c>
      <c r="E208" s="52">
        <v>0</v>
      </c>
      <c r="F208" s="52">
        <f t="shared" si="39"/>
        <v>0.1696</v>
      </c>
      <c r="G208" s="53">
        <v>1796767</v>
      </c>
      <c r="H208" s="38"/>
      <c r="I208" s="54">
        <f t="shared" si="36"/>
        <v>1796767</v>
      </c>
      <c r="J208" s="54">
        <f t="shared" ref="J208:J214" si="86">SUM(I197:I208)/12</f>
        <v>2072005</v>
      </c>
      <c r="K208" s="54">
        <f t="shared" si="43"/>
        <v>351412.04800000001</v>
      </c>
      <c r="L208" s="54"/>
      <c r="M208" s="54"/>
      <c r="N208" s="54">
        <v>0</v>
      </c>
      <c r="O208" s="54">
        <f t="shared" si="40"/>
        <v>351412.04800000001</v>
      </c>
      <c r="P208" s="54">
        <v>2833314.59</v>
      </c>
      <c r="R208" s="32">
        <f t="shared" si="37"/>
        <v>2833314.59</v>
      </c>
      <c r="S208" s="32">
        <f t="shared" ref="S208:S214" si="87">SUM(R197:R208)/12</f>
        <v>3026596.3991666664</v>
      </c>
      <c r="T208" s="29">
        <f t="shared" si="42"/>
        <v>0.11456206547987706</v>
      </c>
      <c r="V208" s="67">
        <v>0</v>
      </c>
      <c r="W208" s="67">
        <v>0</v>
      </c>
      <c r="X208" s="59">
        <f t="shared" si="85"/>
        <v>0</v>
      </c>
      <c r="Y208" s="60"/>
      <c r="Z208" s="61"/>
      <c r="AA208" s="61"/>
      <c r="AB208" s="61"/>
      <c r="AC208" s="62"/>
    </row>
    <row r="209" spans="3:29" hidden="1" x14ac:dyDescent="0.2">
      <c r="C209" s="15">
        <v>43922</v>
      </c>
      <c r="D209" s="51">
        <v>0.19980000000000001</v>
      </c>
      <c r="E209" s="52">
        <v>0</v>
      </c>
      <c r="F209" s="52">
        <f t="shared" si="39"/>
        <v>0.19980000000000001</v>
      </c>
      <c r="G209" s="53">
        <v>1453790</v>
      </c>
      <c r="H209" s="38"/>
      <c r="I209" s="54">
        <f t="shared" si="36"/>
        <v>1453790</v>
      </c>
      <c r="J209" s="54">
        <f t="shared" si="86"/>
        <v>2041957.6666666667</v>
      </c>
      <c r="K209" s="54">
        <f t="shared" si="43"/>
        <v>407983.14180000004</v>
      </c>
      <c r="L209" s="54"/>
      <c r="M209" s="54">
        <f>K209-L209</f>
        <v>407983.14180000004</v>
      </c>
      <c r="N209" s="54">
        <v>-1457</v>
      </c>
      <c r="O209" s="54">
        <f t="shared" ref="O209:O272" si="88">+M209+N209</f>
        <v>406526.14180000004</v>
      </c>
      <c r="P209" s="54">
        <v>2457685.2400000002</v>
      </c>
      <c r="R209" s="32">
        <f t="shared" si="37"/>
        <v>2457685.2400000002</v>
      </c>
      <c r="S209" s="32">
        <f t="shared" si="87"/>
        <v>3018047.0975000001</v>
      </c>
      <c r="T209" s="29">
        <f t="shared" si="42"/>
        <v>0.13431792290241662</v>
      </c>
      <c r="V209" s="67">
        <v>-1457</v>
      </c>
      <c r="W209" s="67">
        <v>0</v>
      </c>
      <c r="X209" s="59">
        <f t="shared" si="85"/>
        <v>-1457</v>
      </c>
      <c r="Y209" s="60" t="s">
        <v>82</v>
      </c>
      <c r="Z209" s="61"/>
      <c r="AA209" s="61"/>
      <c r="AB209" s="61"/>
      <c r="AC209" s="62"/>
    </row>
    <row r="210" spans="3:29" hidden="1" x14ac:dyDescent="0.2">
      <c r="C210" s="15">
        <v>43952</v>
      </c>
      <c r="D210" s="51">
        <v>0.22600000000000001</v>
      </c>
      <c r="E210" s="52">
        <v>0</v>
      </c>
      <c r="F210" s="52">
        <f t="shared" si="39"/>
        <v>0.22600000000000001</v>
      </c>
      <c r="G210" s="53">
        <v>1464224</v>
      </c>
      <c r="H210" s="38"/>
      <c r="I210" s="54">
        <f t="shared" si="36"/>
        <v>1464224</v>
      </c>
      <c r="J210" s="54">
        <f t="shared" si="86"/>
        <v>2005869.3333333333</v>
      </c>
      <c r="K210" s="54">
        <f t="shared" si="43"/>
        <v>453326.46933333331</v>
      </c>
      <c r="L210" s="54"/>
      <c r="M210" s="54">
        <f t="shared" ref="M210:M273" si="89">K210-L210</f>
        <v>453326.46933333331</v>
      </c>
      <c r="N210" s="54">
        <v>-1457</v>
      </c>
      <c r="O210" s="54">
        <f t="shared" si="88"/>
        <v>451869.46933333331</v>
      </c>
      <c r="P210" s="54">
        <v>2298911.6800000002</v>
      </c>
      <c r="R210" s="32">
        <f t="shared" si="37"/>
        <v>2298911.6800000002</v>
      </c>
      <c r="S210" s="32">
        <f t="shared" si="87"/>
        <v>2985707.875833333</v>
      </c>
      <c r="T210" s="29">
        <f t="shared" si="42"/>
        <v>0.14972247109981798</v>
      </c>
      <c r="V210" s="67">
        <v>-1457</v>
      </c>
      <c r="W210" s="67">
        <v>0</v>
      </c>
      <c r="X210" s="59">
        <f t="shared" si="85"/>
        <v>-1457</v>
      </c>
      <c r="Y210" s="60" t="s">
        <v>82</v>
      </c>
      <c r="Z210" s="61"/>
      <c r="AA210" s="61"/>
      <c r="AB210" s="61"/>
      <c r="AC210" s="62"/>
    </row>
    <row r="211" spans="3:29" hidden="1" x14ac:dyDescent="0.2">
      <c r="C211" s="15">
        <v>43983</v>
      </c>
      <c r="D211" s="51">
        <v>0.2336</v>
      </c>
      <c r="E211" s="52">
        <v>0</v>
      </c>
      <c r="F211" s="52">
        <f t="shared" si="39"/>
        <v>0.2336</v>
      </c>
      <c r="G211" s="53">
        <v>1722840</v>
      </c>
      <c r="H211" s="38"/>
      <c r="I211" s="54">
        <f t="shared" ref="I211:I273" si="90">+G211-H211</f>
        <v>1722840</v>
      </c>
      <c r="J211" s="54">
        <f t="shared" si="86"/>
        <v>1988642.5833333333</v>
      </c>
      <c r="K211" s="54">
        <f t="shared" si="43"/>
        <v>464546.90746666666</v>
      </c>
      <c r="L211" s="54"/>
      <c r="M211" s="54">
        <f t="shared" si="89"/>
        <v>464546.90746666666</v>
      </c>
      <c r="N211" s="54">
        <v>-1457</v>
      </c>
      <c r="O211" s="54">
        <f t="shared" si="88"/>
        <v>463089.90746666666</v>
      </c>
      <c r="P211" s="54">
        <v>2425452.2599999998</v>
      </c>
      <c r="R211" s="32">
        <f t="shared" ref="R211:R273" si="91">+P211-Q211</f>
        <v>2425452.2599999998</v>
      </c>
      <c r="S211" s="32">
        <f t="shared" si="87"/>
        <v>2955020.8041666667</v>
      </c>
      <c r="T211" s="29">
        <f t="shared" si="42"/>
        <v>0.15510221586477707</v>
      </c>
      <c r="V211" s="67">
        <v>-1457</v>
      </c>
      <c r="W211" s="67">
        <v>0</v>
      </c>
      <c r="X211" s="59">
        <f t="shared" si="85"/>
        <v>-1457</v>
      </c>
      <c r="Y211" s="60" t="s">
        <v>82</v>
      </c>
      <c r="Z211" s="61"/>
      <c r="AA211" s="61"/>
      <c r="AB211" s="61"/>
      <c r="AC211" s="62"/>
    </row>
    <row r="212" spans="3:29" hidden="1" x14ac:dyDescent="0.2">
      <c r="C212" s="15">
        <v>44013</v>
      </c>
      <c r="D212" s="51">
        <v>0.22370000000000001</v>
      </c>
      <c r="E212" s="52">
        <v>0</v>
      </c>
      <c r="F212" s="52">
        <f t="shared" si="39"/>
        <v>0.22370000000000001</v>
      </c>
      <c r="G212" s="53">
        <v>2174271</v>
      </c>
      <c r="H212" s="38"/>
      <c r="I212" s="54">
        <f t="shared" si="90"/>
        <v>2174271</v>
      </c>
      <c r="J212" s="54">
        <f t="shared" si="86"/>
        <v>1987299</v>
      </c>
      <c r="K212" s="54">
        <f t="shared" si="43"/>
        <v>444558.78630000004</v>
      </c>
      <c r="L212" s="54"/>
      <c r="M212" s="54">
        <f t="shared" si="89"/>
        <v>444558.78630000004</v>
      </c>
      <c r="N212" s="54">
        <v>-1457</v>
      </c>
      <c r="O212" s="54">
        <f t="shared" si="88"/>
        <v>443101.78630000004</v>
      </c>
      <c r="P212" s="54">
        <v>3184265.86</v>
      </c>
      <c r="R212" s="32">
        <f t="shared" si="91"/>
        <v>3184265.86</v>
      </c>
      <c r="S212" s="32">
        <f t="shared" si="87"/>
        <v>2956543.6116666663</v>
      </c>
      <c r="T212" s="29">
        <f t="shared" si="42"/>
        <v>0.14994878739101039</v>
      </c>
      <c r="V212" s="67">
        <v>-1457</v>
      </c>
      <c r="W212" s="67">
        <v>0</v>
      </c>
      <c r="X212" s="59">
        <f t="shared" si="85"/>
        <v>-1457</v>
      </c>
      <c r="Y212" s="60" t="s">
        <v>82</v>
      </c>
      <c r="Z212" s="61"/>
      <c r="AA212" s="61"/>
      <c r="AB212" s="61"/>
      <c r="AC212" s="62"/>
    </row>
    <row r="213" spans="3:29" hidden="1" x14ac:dyDescent="0.2">
      <c r="C213" s="15">
        <v>44044</v>
      </c>
      <c r="D213" s="51">
        <v>0.1603</v>
      </c>
      <c r="E213" s="52">
        <v>0</v>
      </c>
      <c r="F213" s="52">
        <f t="shared" si="39"/>
        <v>0.1603</v>
      </c>
      <c r="G213" s="53">
        <v>2045308</v>
      </c>
      <c r="H213" s="38"/>
      <c r="I213" s="54">
        <f t="shared" si="90"/>
        <v>2045308</v>
      </c>
      <c r="J213" s="54">
        <f t="shared" si="86"/>
        <v>1980425.6666666667</v>
      </c>
      <c r="K213" s="54">
        <f t="shared" si="43"/>
        <v>317462.2343666667</v>
      </c>
      <c r="L213" s="54"/>
      <c r="M213" s="54">
        <f t="shared" si="89"/>
        <v>317462.2343666667</v>
      </c>
      <c r="N213" s="54">
        <v>-1457</v>
      </c>
      <c r="O213" s="54">
        <f t="shared" si="88"/>
        <v>316005.2343666667</v>
      </c>
      <c r="P213" s="54">
        <v>3009973.15</v>
      </c>
      <c r="R213" s="32">
        <f t="shared" si="91"/>
        <v>3009973.15</v>
      </c>
      <c r="S213" s="32">
        <f t="shared" si="87"/>
        <v>2934359.8349999995</v>
      </c>
      <c r="T213" s="29">
        <f t="shared" si="42"/>
        <v>0.10688333265901931</v>
      </c>
      <c r="V213" s="67">
        <v>-1457</v>
      </c>
      <c r="W213" s="67">
        <v>0</v>
      </c>
      <c r="X213" s="59">
        <f t="shared" si="85"/>
        <v>-1457</v>
      </c>
      <c r="Y213" s="60" t="s">
        <v>82</v>
      </c>
      <c r="Z213" s="61"/>
      <c r="AA213" s="61"/>
      <c r="AB213" s="61"/>
      <c r="AC213" s="62"/>
    </row>
    <row r="214" spans="3:29" hidden="1" x14ac:dyDescent="0.2">
      <c r="C214" s="15">
        <v>44075</v>
      </c>
      <c r="D214" s="51">
        <v>0.17430000000000001</v>
      </c>
      <c r="E214" s="52">
        <v>0</v>
      </c>
      <c r="F214" s="52">
        <f t="shared" si="39"/>
        <v>0.17430000000000001</v>
      </c>
      <c r="G214" s="53">
        <v>1698841</v>
      </c>
      <c r="H214" s="38"/>
      <c r="I214" s="54">
        <f t="shared" si="90"/>
        <v>1698841</v>
      </c>
      <c r="J214" s="54">
        <f t="shared" si="86"/>
        <v>1960422</v>
      </c>
      <c r="K214" s="54">
        <f t="shared" si="43"/>
        <v>341701.55460000003</v>
      </c>
      <c r="L214" s="54"/>
      <c r="M214" s="54">
        <f t="shared" si="89"/>
        <v>341701.55460000003</v>
      </c>
      <c r="N214" s="54">
        <v>-1458</v>
      </c>
      <c r="O214" s="54">
        <f t="shared" si="88"/>
        <v>340243.55460000003</v>
      </c>
      <c r="P214" s="54">
        <v>2644055.77</v>
      </c>
      <c r="R214" s="32">
        <f t="shared" si="91"/>
        <v>2644055.77</v>
      </c>
      <c r="S214" s="32">
        <f t="shared" si="87"/>
        <v>2913776.5091666668</v>
      </c>
      <c r="T214" s="29">
        <f t="shared" si="42"/>
        <v>0.1159515443681092</v>
      </c>
      <c r="V214" s="65">
        <f>-8743-SUM(V209:V213)</f>
        <v>-1458</v>
      </c>
      <c r="W214" s="67">
        <v>0</v>
      </c>
      <c r="X214" s="59">
        <f t="shared" ref="X214" si="92">SUM(V214:W214)</f>
        <v>-1458</v>
      </c>
      <c r="Y214" s="60" t="s">
        <v>82</v>
      </c>
      <c r="Z214" s="61"/>
      <c r="AA214" s="61"/>
      <c r="AB214" s="61"/>
      <c r="AC214" s="62"/>
    </row>
    <row r="215" spans="3:29" hidden="1" x14ac:dyDescent="0.2">
      <c r="C215" s="15">
        <v>44105</v>
      </c>
      <c r="D215" s="51">
        <v>0.20849999999999999</v>
      </c>
      <c r="E215" s="52">
        <v>0</v>
      </c>
      <c r="F215" s="52">
        <f t="shared" si="39"/>
        <v>0.20849999999999999</v>
      </c>
      <c r="G215" s="53">
        <v>1467128</v>
      </c>
      <c r="H215" s="38"/>
      <c r="I215" s="54">
        <f t="shared" si="90"/>
        <v>1467128</v>
      </c>
      <c r="J215" s="54">
        <f t="shared" ref="J215" si="93">SUM(I204:I215)/12</f>
        <v>1940190.25</v>
      </c>
      <c r="K215" s="54">
        <f t="shared" si="43"/>
        <v>404529.66712499998</v>
      </c>
      <c r="L215" s="54"/>
      <c r="M215" s="54">
        <f t="shared" si="89"/>
        <v>404529.66712499998</v>
      </c>
      <c r="N215" s="54">
        <v>0</v>
      </c>
      <c r="O215" s="54">
        <f t="shared" si="88"/>
        <v>404529.66712499998</v>
      </c>
      <c r="P215" s="54">
        <v>2359786.2799999998</v>
      </c>
      <c r="R215" s="32">
        <f t="shared" si="91"/>
        <v>2359786.2799999998</v>
      </c>
      <c r="S215" s="32">
        <f t="shared" ref="S215" si="94">SUM(R204:R215)/12</f>
        <v>2894821.415833333</v>
      </c>
      <c r="T215" s="29">
        <f t="shared" si="42"/>
        <v>0.13883345749145823</v>
      </c>
      <c r="V215" s="67">
        <v>0</v>
      </c>
      <c r="W215" s="67">
        <v>0</v>
      </c>
      <c r="X215" s="59">
        <f t="shared" ref="X215:X260" si="95">SUM(V215:W215)</f>
        <v>0</v>
      </c>
      <c r="Y215" s="60"/>
      <c r="Z215" s="61"/>
      <c r="AA215" s="61"/>
      <c r="AB215" s="61"/>
      <c r="AC215" s="62"/>
    </row>
    <row r="216" spans="3:29" hidden="1" x14ac:dyDescent="0.2">
      <c r="C216" s="15">
        <v>44136</v>
      </c>
      <c r="D216" s="51">
        <v>0.2361</v>
      </c>
      <c r="E216" s="52">
        <v>0</v>
      </c>
      <c r="F216" s="52">
        <f t="shared" si="39"/>
        <v>0.2361</v>
      </c>
      <c r="G216" s="53">
        <v>1866536</v>
      </c>
      <c r="H216" s="38"/>
      <c r="I216" s="54">
        <f t="shared" si="90"/>
        <v>1866536</v>
      </c>
      <c r="J216" s="54">
        <f t="shared" ref="J216:J261" si="96">SUM(I205:I216)/12</f>
        <v>1906610.3333333333</v>
      </c>
      <c r="K216" s="54">
        <f t="shared" si="43"/>
        <v>450150.6997</v>
      </c>
      <c r="L216" s="54"/>
      <c r="M216" s="54">
        <f t="shared" si="89"/>
        <v>450150.6997</v>
      </c>
      <c r="N216" s="54">
        <v>0</v>
      </c>
      <c r="O216" s="54">
        <f t="shared" si="88"/>
        <v>450150.6997</v>
      </c>
      <c r="P216" s="54">
        <v>2709996.44</v>
      </c>
      <c r="R216" s="32">
        <f t="shared" si="91"/>
        <v>2709996.44</v>
      </c>
      <c r="S216" s="32">
        <f t="shared" ref="S216:S261" si="97">SUM(R205:R216)/12</f>
        <v>2860899.1975000002</v>
      </c>
      <c r="T216" s="29">
        <f t="shared" si="42"/>
        <v>0.15550206214375922</v>
      </c>
      <c r="V216" s="67">
        <v>0</v>
      </c>
      <c r="W216" s="67">
        <v>0</v>
      </c>
      <c r="X216" s="59">
        <f t="shared" si="95"/>
        <v>0</v>
      </c>
      <c r="Y216" s="60"/>
      <c r="Z216" s="61"/>
      <c r="AA216" s="61"/>
      <c r="AB216" s="61"/>
      <c r="AC216" s="62"/>
    </row>
    <row r="217" spans="3:29" hidden="1" x14ac:dyDescent="0.2">
      <c r="C217" s="15">
        <v>44166</v>
      </c>
      <c r="D217" s="51">
        <v>0.20880000000000001</v>
      </c>
      <c r="E217" s="52">
        <v>0</v>
      </c>
      <c r="F217" s="52">
        <f t="shared" si="39"/>
        <v>0.20880000000000001</v>
      </c>
      <c r="G217" s="53">
        <v>2625819</v>
      </c>
      <c r="H217" s="38"/>
      <c r="I217" s="54">
        <f t="shared" si="90"/>
        <v>2625819</v>
      </c>
      <c r="J217" s="54">
        <f t="shared" si="96"/>
        <v>1914719.75</v>
      </c>
      <c r="K217" s="54">
        <f t="shared" si="43"/>
        <v>399793.48380000005</v>
      </c>
      <c r="L217" s="54"/>
      <c r="M217" s="54">
        <f t="shared" si="89"/>
        <v>399793.48380000005</v>
      </c>
      <c r="N217" s="54">
        <v>0</v>
      </c>
      <c r="O217" s="54">
        <f t="shared" si="88"/>
        <v>399793.48380000005</v>
      </c>
      <c r="P217" s="54">
        <v>3908693.86</v>
      </c>
      <c r="R217" s="32">
        <f t="shared" si="91"/>
        <v>3908693.86</v>
      </c>
      <c r="S217" s="32">
        <f t="shared" si="97"/>
        <v>2881925.4833333339</v>
      </c>
      <c r="T217" s="29">
        <f t="shared" si="42"/>
        <v>0.13974399522687134</v>
      </c>
      <c r="V217" s="67">
        <v>0</v>
      </c>
      <c r="W217" s="67">
        <v>0</v>
      </c>
      <c r="X217" s="59">
        <f t="shared" si="95"/>
        <v>0</v>
      </c>
      <c r="Y217" s="60"/>
      <c r="Z217" s="61"/>
      <c r="AA217" s="61"/>
      <c r="AB217" s="61"/>
      <c r="AC217" s="62"/>
    </row>
    <row r="218" spans="3:29" hidden="1" x14ac:dyDescent="0.2">
      <c r="C218" s="15">
        <v>44197</v>
      </c>
      <c r="D218" s="51">
        <v>0.14000000000000001</v>
      </c>
      <c r="E218" s="52">
        <v>0</v>
      </c>
      <c r="F218" s="52">
        <f t="shared" si="39"/>
        <v>0.14000000000000001</v>
      </c>
      <c r="G218" s="53">
        <v>2665175</v>
      </c>
      <c r="H218" s="38"/>
      <c r="I218" s="54">
        <f t="shared" si="90"/>
        <v>2665175</v>
      </c>
      <c r="J218" s="54">
        <f t="shared" si="96"/>
        <v>1930589.0833333333</v>
      </c>
      <c r="K218" s="54">
        <f t="shared" si="43"/>
        <v>270282.47166666668</v>
      </c>
      <c r="L218" s="54"/>
      <c r="M218" s="54">
        <f t="shared" si="89"/>
        <v>270282.47166666668</v>
      </c>
      <c r="N218" s="54">
        <v>0</v>
      </c>
      <c r="O218" s="54">
        <f t="shared" si="88"/>
        <v>270282.47166666668</v>
      </c>
      <c r="P218" s="54">
        <v>3782773.97</v>
      </c>
      <c r="R218" s="32">
        <f t="shared" si="91"/>
        <v>3782773.97</v>
      </c>
      <c r="S218" s="32">
        <f t="shared" si="97"/>
        <v>2907874.9633333334</v>
      </c>
      <c r="T218" s="29">
        <f t="shared" si="42"/>
        <v>9.378537829300454E-2</v>
      </c>
      <c r="V218" s="67">
        <v>0</v>
      </c>
      <c r="W218" s="67">
        <v>0</v>
      </c>
      <c r="X218" s="59">
        <f t="shared" si="95"/>
        <v>0</v>
      </c>
      <c r="Y218" s="60"/>
      <c r="Z218" s="61"/>
      <c r="AA218" s="61"/>
      <c r="AB218" s="61"/>
      <c r="AC218" s="62"/>
    </row>
    <row r="219" spans="3:29" hidden="1" x14ac:dyDescent="0.2">
      <c r="C219" s="15">
        <v>44228</v>
      </c>
      <c r="D219" s="51">
        <v>0.1321</v>
      </c>
      <c r="E219" s="52">
        <v>0</v>
      </c>
      <c r="F219" s="52">
        <f t="shared" si="39"/>
        <v>0.1321</v>
      </c>
      <c r="G219" s="53">
        <v>2500483</v>
      </c>
      <c r="H219" s="38"/>
      <c r="I219" s="54">
        <f t="shared" si="90"/>
        <v>2500483</v>
      </c>
      <c r="J219" s="54">
        <f t="shared" si="96"/>
        <v>1956765.1666666667</v>
      </c>
      <c r="K219" s="54">
        <f t="shared" si="43"/>
        <v>258488.67851666667</v>
      </c>
      <c r="L219" s="54"/>
      <c r="M219" s="54">
        <f t="shared" si="89"/>
        <v>258488.67851666667</v>
      </c>
      <c r="N219" s="54">
        <v>0</v>
      </c>
      <c r="O219" s="54">
        <f t="shared" si="88"/>
        <v>258488.67851666667</v>
      </c>
      <c r="P219" s="54">
        <v>4050105.94</v>
      </c>
      <c r="R219" s="32">
        <f t="shared" si="91"/>
        <v>4050105.94</v>
      </c>
      <c r="S219" s="32">
        <f t="shared" si="97"/>
        <v>2972084.5866666664</v>
      </c>
      <c r="T219" s="29">
        <f t="shared" si="42"/>
        <v>8.8892638705605778E-2</v>
      </c>
      <c r="V219" s="67">
        <v>0</v>
      </c>
      <c r="W219" s="67">
        <v>0</v>
      </c>
      <c r="X219" s="59">
        <f t="shared" si="95"/>
        <v>0</v>
      </c>
      <c r="Y219" s="60"/>
      <c r="Z219" s="61"/>
      <c r="AA219" s="61"/>
      <c r="AB219" s="61"/>
      <c r="AC219" s="62"/>
    </row>
    <row r="220" spans="3:29" hidden="1" x14ac:dyDescent="0.2">
      <c r="C220" s="15">
        <v>44256</v>
      </c>
      <c r="D220" s="51">
        <v>0.16289999999999999</v>
      </c>
      <c r="E220" s="52">
        <v>0</v>
      </c>
      <c r="F220" s="52">
        <f t="shared" si="39"/>
        <v>0.16289999999999999</v>
      </c>
      <c r="G220" s="53">
        <v>2192879</v>
      </c>
      <c r="H220" s="38"/>
      <c r="I220" s="54">
        <f t="shared" si="90"/>
        <v>2192879</v>
      </c>
      <c r="J220" s="54">
        <f t="shared" si="96"/>
        <v>1989774.5</v>
      </c>
      <c r="K220" s="54">
        <f t="shared" si="43"/>
        <v>324134.26604999998</v>
      </c>
      <c r="L220" s="54"/>
      <c r="M220" s="54">
        <f t="shared" si="89"/>
        <v>324134.26604999998</v>
      </c>
      <c r="N220" s="54">
        <v>0</v>
      </c>
      <c r="O220" s="54">
        <f t="shared" si="88"/>
        <v>324134.26604999998</v>
      </c>
      <c r="P220" s="54">
        <v>2909152.91</v>
      </c>
      <c r="R220" s="32">
        <f t="shared" si="91"/>
        <v>2909152.91</v>
      </c>
      <c r="S220" s="32">
        <f t="shared" si="97"/>
        <v>2978404.4466666668</v>
      </c>
      <c r="T220" s="29">
        <f t="shared" si="42"/>
        <v>0.10905956967178108</v>
      </c>
      <c r="V220" s="67">
        <v>0</v>
      </c>
      <c r="W220" s="67">
        <v>0</v>
      </c>
      <c r="X220" s="59">
        <f t="shared" si="95"/>
        <v>0</v>
      </c>
      <c r="Y220" s="60"/>
      <c r="Z220" s="61"/>
      <c r="AA220" s="61"/>
      <c r="AB220" s="61"/>
      <c r="AC220" s="62"/>
    </row>
    <row r="221" spans="3:29" hidden="1" x14ac:dyDescent="0.2">
      <c r="C221" s="15">
        <v>44287</v>
      </c>
      <c r="D221" s="51">
        <v>0.17879999999999999</v>
      </c>
      <c r="E221" s="52">
        <v>0</v>
      </c>
      <c r="F221" s="52">
        <f t="shared" si="39"/>
        <v>0.17879999999999999</v>
      </c>
      <c r="G221" s="53">
        <v>1796588</v>
      </c>
      <c r="H221" s="38"/>
      <c r="I221" s="54">
        <f t="shared" si="90"/>
        <v>1796588</v>
      </c>
      <c r="J221" s="54">
        <f t="shared" si="96"/>
        <v>2018341</v>
      </c>
      <c r="K221" s="54">
        <f t="shared" si="43"/>
        <v>360879.37079999998</v>
      </c>
      <c r="L221" s="54"/>
      <c r="M221" s="54">
        <f t="shared" si="89"/>
        <v>360879.37079999998</v>
      </c>
      <c r="N221" s="54">
        <v>0</v>
      </c>
      <c r="O221" s="54">
        <f t="shared" si="88"/>
        <v>360879.37079999998</v>
      </c>
      <c r="P221" s="54">
        <v>2903395.15</v>
      </c>
      <c r="R221" s="32">
        <f t="shared" si="91"/>
        <v>2903395.15</v>
      </c>
      <c r="S221" s="32">
        <f t="shared" si="97"/>
        <v>3015546.9391666665</v>
      </c>
      <c r="T221" s="29">
        <f t="shared" si="42"/>
        <v>0.12116533441382832</v>
      </c>
      <c r="V221" s="67">
        <v>0</v>
      </c>
      <c r="W221" s="67">
        <v>0</v>
      </c>
      <c r="X221" s="59">
        <f t="shared" si="95"/>
        <v>0</v>
      </c>
      <c r="Y221" s="60"/>
      <c r="Z221" s="61"/>
      <c r="AA221" s="61"/>
      <c r="AB221" s="61"/>
      <c r="AC221" s="62"/>
    </row>
    <row r="222" spans="3:29" hidden="1" x14ac:dyDescent="0.2">
      <c r="C222" s="15">
        <v>44317</v>
      </c>
      <c r="D222" s="51">
        <v>0.25509999999999999</v>
      </c>
      <c r="E222" s="52">
        <v>0</v>
      </c>
      <c r="F222" s="52">
        <f t="shared" si="39"/>
        <v>0.25509999999999999</v>
      </c>
      <c r="G222" s="53">
        <v>1585858</v>
      </c>
      <c r="H222" s="38"/>
      <c r="I222" s="54">
        <f t="shared" si="90"/>
        <v>1585858</v>
      </c>
      <c r="J222" s="54">
        <f t="shared" si="96"/>
        <v>2028477.1666666667</v>
      </c>
      <c r="K222" s="54">
        <f t="shared" si="43"/>
        <v>517464.52521666669</v>
      </c>
      <c r="L222" s="54"/>
      <c r="M222" s="54">
        <f t="shared" si="89"/>
        <v>517464.52521666669</v>
      </c>
      <c r="N222" s="54">
        <v>0</v>
      </c>
      <c r="O222" s="54">
        <f t="shared" si="88"/>
        <v>517464.52521666669</v>
      </c>
      <c r="P222" s="54">
        <v>2435831.5099999998</v>
      </c>
      <c r="R222" s="32">
        <f t="shared" si="91"/>
        <v>2435831.5099999998</v>
      </c>
      <c r="S222" s="32">
        <f t="shared" si="97"/>
        <v>3026956.9249999993</v>
      </c>
      <c r="T222" s="29">
        <f t="shared" si="42"/>
        <v>0.17159889587381644</v>
      </c>
      <c r="V222" s="67">
        <v>0</v>
      </c>
      <c r="W222" s="67">
        <v>0</v>
      </c>
      <c r="X222" s="59">
        <f t="shared" si="95"/>
        <v>0</v>
      </c>
      <c r="Y222" s="60"/>
      <c r="Z222" s="61"/>
      <c r="AA222" s="61"/>
      <c r="AB222" s="61"/>
      <c r="AC222" s="62"/>
    </row>
    <row r="223" spans="3:29" hidden="1" x14ac:dyDescent="0.2">
      <c r="C223" s="15">
        <v>44348</v>
      </c>
      <c r="D223" s="51">
        <v>0.23019999999999999</v>
      </c>
      <c r="E223" s="52">
        <v>0</v>
      </c>
      <c r="F223" s="52">
        <f t="shared" ref="F223:F254" si="98">+D223-E223</f>
        <v>0.23019999999999999</v>
      </c>
      <c r="G223" s="53">
        <v>1935061</v>
      </c>
      <c r="H223" s="38"/>
      <c r="I223" s="54">
        <f t="shared" si="90"/>
        <v>1935061</v>
      </c>
      <c r="J223" s="54">
        <f t="shared" si="96"/>
        <v>2046162.25</v>
      </c>
      <c r="K223" s="54">
        <f t="shared" si="43"/>
        <v>471026.54994999996</v>
      </c>
      <c r="L223" s="54"/>
      <c r="M223" s="54">
        <f t="shared" si="89"/>
        <v>471026.54994999996</v>
      </c>
      <c r="N223" s="54">
        <v>0</v>
      </c>
      <c r="O223" s="54">
        <f t="shared" si="88"/>
        <v>471026.54994999996</v>
      </c>
      <c r="P223" s="54">
        <v>2789717.96</v>
      </c>
      <c r="R223" s="32">
        <f t="shared" si="91"/>
        <v>2789717.96</v>
      </c>
      <c r="S223" s="32">
        <f t="shared" si="97"/>
        <v>3057312.4</v>
      </c>
      <c r="T223" s="29">
        <f t="shared" si="42"/>
        <v>0.15561058899112021</v>
      </c>
      <c r="V223" s="67">
        <v>0</v>
      </c>
      <c r="W223" s="67">
        <v>0</v>
      </c>
      <c r="X223" s="59">
        <f t="shared" si="95"/>
        <v>0</v>
      </c>
      <c r="Y223" s="60"/>
      <c r="Z223" s="61"/>
      <c r="AA223" s="61"/>
      <c r="AB223" s="61"/>
      <c r="AC223" s="62"/>
    </row>
    <row r="224" spans="3:29" hidden="1" x14ac:dyDescent="0.2">
      <c r="C224" s="15">
        <v>44378</v>
      </c>
      <c r="D224" s="51">
        <v>0.2099</v>
      </c>
      <c r="E224" s="52">
        <v>0</v>
      </c>
      <c r="F224" s="52">
        <f t="shared" si="98"/>
        <v>0.2099</v>
      </c>
      <c r="G224" s="53">
        <v>2112483</v>
      </c>
      <c r="H224" s="38"/>
      <c r="I224" s="54">
        <f t="shared" si="90"/>
        <v>2112483</v>
      </c>
      <c r="J224" s="54">
        <f t="shared" si="96"/>
        <v>2041013.25</v>
      </c>
      <c r="K224" s="54">
        <f t="shared" si="43"/>
        <v>428408.68117500003</v>
      </c>
      <c r="L224" s="54"/>
      <c r="M224" s="54">
        <f t="shared" si="89"/>
        <v>428408.68117500003</v>
      </c>
      <c r="N224" s="54">
        <v>0</v>
      </c>
      <c r="O224" s="54">
        <f t="shared" si="88"/>
        <v>428408.68117500003</v>
      </c>
      <c r="P224" s="54">
        <v>3165634.76</v>
      </c>
      <c r="R224" s="32">
        <f t="shared" si="91"/>
        <v>3165634.76</v>
      </c>
      <c r="S224" s="32">
        <f t="shared" si="97"/>
        <v>3055759.8083333331</v>
      </c>
      <c r="T224" s="29">
        <f t="shared" si="42"/>
        <v>0.14012590966333702</v>
      </c>
      <c r="V224" s="67">
        <v>0</v>
      </c>
      <c r="W224" s="67">
        <v>0</v>
      </c>
      <c r="X224" s="59">
        <f t="shared" si="95"/>
        <v>0</v>
      </c>
      <c r="Y224" s="60"/>
      <c r="Z224" s="61"/>
      <c r="AA224" s="61"/>
      <c r="AB224" s="61"/>
      <c r="AC224" s="62"/>
    </row>
    <row r="225" spans="3:29" hidden="1" x14ac:dyDescent="0.2">
      <c r="C225" s="15">
        <v>44409</v>
      </c>
      <c r="D225" s="51">
        <v>0.18920000000000001</v>
      </c>
      <c r="E225" s="52">
        <v>0</v>
      </c>
      <c r="F225" s="52">
        <f t="shared" si="98"/>
        <v>0.18920000000000001</v>
      </c>
      <c r="G225" s="53">
        <v>2190866</v>
      </c>
      <c r="H225" s="38"/>
      <c r="I225" s="54">
        <f t="shared" si="90"/>
        <v>2190866</v>
      </c>
      <c r="J225" s="54">
        <f t="shared" si="96"/>
        <v>2053143.0833333333</v>
      </c>
      <c r="K225" s="54">
        <f t="shared" si="43"/>
        <v>388454.67136666668</v>
      </c>
      <c r="L225" s="54"/>
      <c r="M225" s="54">
        <f t="shared" si="89"/>
        <v>388454.67136666668</v>
      </c>
      <c r="N225" s="54">
        <v>0</v>
      </c>
      <c r="O225" s="54">
        <f t="shared" si="88"/>
        <v>388454.67136666668</v>
      </c>
      <c r="P225" s="54">
        <v>3222438.96</v>
      </c>
      <c r="R225" s="32">
        <f t="shared" si="91"/>
        <v>3222438.96</v>
      </c>
      <c r="S225" s="32">
        <f t="shared" si="97"/>
        <v>3073465.2925</v>
      </c>
      <c r="T225" s="29">
        <f t="shared" ref="T225:T273" si="99">+O225/S224</f>
        <v>0.12712212206840201</v>
      </c>
      <c r="V225" s="67">
        <v>0</v>
      </c>
      <c r="W225" s="67">
        <v>0</v>
      </c>
      <c r="X225" s="59">
        <f t="shared" si="95"/>
        <v>0</v>
      </c>
      <c r="Y225" s="60"/>
      <c r="Z225" s="61"/>
      <c r="AA225" s="61"/>
      <c r="AB225" s="61"/>
      <c r="AC225" s="62"/>
    </row>
    <row r="226" spans="3:29" hidden="1" x14ac:dyDescent="0.2">
      <c r="C226" s="15">
        <v>44440</v>
      </c>
      <c r="D226" s="51">
        <v>0.1777</v>
      </c>
      <c r="E226" s="52">
        <v>0</v>
      </c>
      <c r="F226" s="52">
        <f t="shared" si="98"/>
        <v>0.1777</v>
      </c>
      <c r="G226" s="53">
        <v>1748780</v>
      </c>
      <c r="H226" s="38"/>
      <c r="I226" s="54">
        <f t="shared" si="90"/>
        <v>1748780</v>
      </c>
      <c r="J226" s="54">
        <f t="shared" si="96"/>
        <v>2057304.6666666667</v>
      </c>
      <c r="K226" s="54">
        <f t="shared" ref="K226:K273" si="100">+F226*J226</f>
        <v>365583.03926666669</v>
      </c>
      <c r="L226" s="54"/>
      <c r="M226" s="54">
        <f t="shared" si="89"/>
        <v>365583.03926666669</v>
      </c>
      <c r="N226" s="54">
        <v>0</v>
      </c>
      <c r="O226" s="54">
        <f t="shared" si="88"/>
        <v>365583.03926666669</v>
      </c>
      <c r="P226" s="54">
        <v>2876747.54</v>
      </c>
      <c r="R226" s="32">
        <f t="shared" si="91"/>
        <v>2876747.54</v>
      </c>
      <c r="S226" s="32">
        <f t="shared" si="97"/>
        <v>3092856.2733333334</v>
      </c>
      <c r="T226" s="29">
        <f t="shared" si="99"/>
        <v>0.11894815931670935</v>
      </c>
      <c r="V226" s="67">
        <v>0</v>
      </c>
      <c r="W226" s="67">
        <v>0</v>
      </c>
      <c r="X226" s="59">
        <f t="shared" si="95"/>
        <v>0</v>
      </c>
      <c r="Y226" s="60"/>
      <c r="Z226" s="61"/>
      <c r="AA226" s="61"/>
      <c r="AB226" s="61"/>
      <c r="AC226" s="62"/>
    </row>
    <row r="227" spans="3:29" hidden="1" x14ac:dyDescent="0.2">
      <c r="C227" s="15">
        <v>44470</v>
      </c>
      <c r="D227" s="51">
        <v>0.21179999999999999</v>
      </c>
      <c r="E227" s="52">
        <v>0</v>
      </c>
      <c r="F227" s="52">
        <f t="shared" si="98"/>
        <v>0.21179999999999999</v>
      </c>
      <c r="G227" s="53">
        <v>1720459</v>
      </c>
      <c r="H227" s="38"/>
      <c r="I227" s="54">
        <f t="shared" si="90"/>
        <v>1720459</v>
      </c>
      <c r="J227" s="54">
        <f t="shared" si="96"/>
        <v>2078415.5833333333</v>
      </c>
      <c r="K227" s="54">
        <f t="shared" si="100"/>
        <v>440208.42054999998</v>
      </c>
      <c r="L227" s="54"/>
      <c r="M227" s="54">
        <f t="shared" si="89"/>
        <v>440208.42054999998</v>
      </c>
      <c r="N227" s="54">
        <v>0</v>
      </c>
      <c r="O227" s="54">
        <f t="shared" si="88"/>
        <v>440208.42054999998</v>
      </c>
      <c r="P227" s="54">
        <v>2521718.5</v>
      </c>
      <c r="R227" s="32">
        <f t="shared" si="91"/>
        <v>2521718.5</v>
      </c>
      <c r="S227" s="32">
        <f t="shared" si="97"/>
        <v>3106350.6249999995</v>
      </c>
      <c r="T227" s="29">
        <f t="shared" si="99"/>
        <v>0.14233070716718571</v>
      </c>
      <c r="V227" s="67">
        <v>0</v>
      </c>
      <c r="W227" s="67">
        <v>0</v>
      </c>
      <c r="X227" s="59">
        <f t="shared" si="95"/>
        <v>0</v>
      </c>
      <c r="Y227" s="60"/>
      <c r="Z227" s="61"/>
      <c r="AA227" s="61"/>
      <c r="AB227" s="61"/>
      <c r="AC227" s="62"/>
    </row>
    <row r="228" spans="3:29" hidden="1" x14ac:dyDescent="0.2">
      <c r="C228" s="15">
        <v>44501</v>
      </c>
      <c r="D228" s="51">
        <v>0.20419999999999999</v>
      </c>
      <c r="E228" s="52">
        <v>0</v>
      </c>
      <c r="F228" s="52">
        <f t="shared" si="98"/>
        <v>0.20419999999999999</v>
      </c>
      <c r="G228" s="53">
        <v>3013238</v>
      </c>
      <c r="H228" s="38"/>
      <c r="I228" s="54">
        <f t="shared" si="90"/>
        <v>3013238</v>
      </c>
      <c r="J228" s="54">
        <f t="shared" si="96"/>
        <v>2173974.0833333335</v>
      </c>
      <c r="K228" s="54">
        <f t="shared" si="100"/>
        <v>443925.50781666668</v>
      </c>
      <c r="L228" s="54"/>
      <c r="M228" s="54">
        <f t="shared" si="89"/>
        <v>443925.50781666668</v>
      </c>
      <c r="N228" s="54">
        <v>0</v>
      </c>
      <c r="O228" s="54">
        <f t="shared" si="88"/>
        <v>443925.50781666668</v>
      </c>
      <c r="P228" s="54">
        <v>3757932.07</v>
      </c>
      <c r="R228" s="32">
        <f t="shared" si="91"/>
        <v>3757932.07</v>
      </c>
      <c r="S228" s="32">
        <f t="shared" si="97"/>
        <v>3193678.5941666663</v>
      </c>
      <c r="T228" s="29">
        <f t="shared" si="99"/>
        <v>0.14290901492057637</v>
      </c>
      <c r="V228" s="67">
        <v>0</v>
      </c>
      <c r="W228" s="67">
        <v>0</v>
      </c>
      <c r="X228" s="59">
        <f t="shared" si="95"/>
        <v>0</v>
      </c>
      <c r="Y228" s="60"/>
      <c r="Z228" s="61"/>
      <c r="AA228" s="61"/>
      <c r="AB228" s="61"/>
      <c r="AC228" s="62"/>
    </row>
    <row r="229" spans="3:29" hidden="1" x14ac:dyDescent="0.2">
      <c r="C229" s="15">
        <v>44531</v>
      </c>
      <c r="D229" s="51">
        <v>0.13880000000000001</v>
      </c>
      <c r="E229" s="52">
        <v>0</v>
      </c>
      <c r="F229" s="52">
        <f t="shared" si="98"/>
        <v>0.13880000000000001</v>
      </c>
      <c r="G229" s="53">
        <v>3048671</v>
      </c>
      <c r="H229" s="38"/>
      <c r="I229" s="54">
        <f t="shared" si="90"/>
        <v>3048671</v>
      </c>
      <c r="J229" s="54">
        <f t="shared" si="96"/>
        <v>2209211.75</v>
      </c>
      <c r="K229" s="54">
        <f t="shared" si="100"/>
        <v>306638.59090000001</v>
      </c>
      <c r="L229" s="54"/>
      <c r="M229" s="54">
        <f t="shared" si="89"/>
        <v>306638.59090000001</v>
      </c>
      <c r="N229" s="54">
        <v>0</v>
      </c>
      <c r="O229" s="54">
        <f t="shared" si="88"/>
        <v>306638.59090000001</v>
      </c>
      <c r="P229" s="54">
        <v>3966148.23</v>
      </c>
      <c r="R229" s="32">
        <f t="shared" si="91"/>
        <v>3966148.23</v>
      </c>
      <c r="S229" s="32">
        <f t="shared" si="97"/>
        <v>3198466.4583333335</v>
      </c>
      <c r="T229" s="29">
        <f t="shared" si="99"/>
        <v>9.6014229941636289E-2</v>
      </c>
      <c r="V229" s="67">
        <v>0</v>
      </c>
      <c r="W229" s="67">
        <v>0</v>
      </c>
      <c r="X229" s="59">
        <f t="shared" si="95"/>
        <v>0</v>
      </c>
      <c r="Y229" s="60"/>
      <c r="Z229" s="61"/>
      <c r="AA229" s="61"/>
      <c r="AB229" s="61"/>
      <c r="AC229" s="62"/>
    </row>
    <row r="230" spans="3:29" hidden="1" x14ac:dyDescent="0.2">
      <c r="C230" s="15">
        <v>44562</v>
      </c>
      <c r="D230" s="51">
        <v>0.13639999999999999</v>
      </c>
      <c r="E230" s="52">
        <v>0</v>
      </c>
      <c r="F230" s="52">
        <f t="shared" si="98"/>
        <v>0.13639999999999999</v>
      </c>
      <c r="G230" s="53">
        <v>3785189</v>
      </c>
      <c r="H230" s="38"/>
      <c r="I230" s="54">
        <f t="shared" si="90"/>
        <v>3785189</v>
      </c>
      <c r="J230" s="54">
        <f t="shared" si="96"/>
        <v>2302546.25</v>
      </c>
      <c r="K230" s="54">
        <f t="shared" si="100"/>
        <v>314067.30849999998</v>
      </c>
      <c r="L230" s="54"/>
      <c r="M230" s="54">
        <f t="shared" si="89"/>
        <v>314067.30849999998</v>
      </c>
      <c r="N230" s="54">
        <v>0</v>
      </c>
      <c r="O230" s="54">
        <f t="shared" si="88"/>
        <v>314067.30849999998</v>
      </c>
      <c r="P230" s="54">
        <v>5133546.32</v>
      </c>
      <c r="R230" s="32">
        <f t="shared" si="91"/>
        <v>5133546.32</v>
      </c>
      <c r="S230" s="32">
        <f t="shared" si="97"/>
        <v>3311030.8208333328</v>
      </c>
      <c r="T230" s="29">
        <f t="shared" si="99"/>
        <v>9.8193091155207898E-2</v>
      </c>
      <c r="V230" s="67">
        <v>0</v>
      </c>
      <c r="W230" s="67">
        <v>0</v>
      </c>
      <c r="X230" s="59">
        <f t="shared" si="95"/>
        <v>0</v>
      </c>
      <c r="Y230" s="60"/>
      <c r="Z230" s="61"/>
      <c r="AA230" s="61"/>
      <c r="AB230" s="61"/>
      <c r="AC230" s="62"/>
    </row>
    <row r="231" spans="3:29" hidden="1" x14ac:dyDescent="0.2">
      <c r="C231" s="15">
        <v>44593</v>
      </c>
      <c r="D231" s="51">
        <v>0.10489999999999999</v>
      </c>
      <c r="E231" s="52">
        <v>0</v>
      </c>
      <c r="F231" s="52">
        <f t="shared" si="98"/>
        <v>0.10489999999999999</v>
      </c>
      <c r="G231" s="53">
        <v>3032144</v>
      </c>
      <c r="H231" s="38"/>
      <c r="I231" s="54">
        <f t="shared" si="90"/>
        <v>3032144</v>
      </c>
      <c r="J231" s="54">
        <f t="shared" si="96"/>
        <v>2346851.3333333335</v>
      </c>
      <c r="K231" s="54">
        <f t="shared" si="100"/>
        <v>246184.70486666667</v>
      </c>
      <c r="L231" s="54"/>
      <c r="M231" s="54">
        <f t="shared" si="89"/>
        <v>246184.70486666667</v>
      </c>
      <c r="N231" s="54">
        <v>0</v>
      </c>
      <c r="O231" s="54">
        <f t="shared" si="88"/>
        <v>246184.70486666667</v>
      </c>
      <c r="P231" s="54">
        <v>4284292.7</v>
      </c>
      <c r="R231" s="32">
        <f t="shared" si="91"/>
        <v>4284292.7</v>
      </c>
      <c r="S231" s="32">
        <f t="shared" si="97"/>
        <v>3330546.3841666668</v>
      </c>
      <c r="T231" s="29">
        <f t="shared" si="99"/>
        <v>7.4352888326393154E-2</v>
      </c>
      <c r="V231" s="67">
        <v>0</v>
      </c>
      <c r="W231" s="67">
        <v>0</v>
      </c>
      <c r="X231" s="59">
        <f t="shared" si="95"/>
        <v>0</v>
      </c>
      <c r="Y231" s="60"/>
      <c r="Z231" s="61"/>
      <c r="AA231" s="61"/>
      <c r="AB231" s="61"/>
      <c r="AC231" s="62"/>
    </row>
    <row r="232" spans="3:29" hidden="1" x14ac:dyDescent="0.2">
      <c r="C232" s="15">
        <v>44621</v>
      </c>
      <c r="D232" s="51">
        <v>0.15379999999999999</v>
      </c>
      <c r="E232" s="52">
        <v>0</v>
      </c>
      <c r="F232" s="52">
        <f t="shared" si="98"/>
        <v>0.15379999999999999</v>
      </c>
      <c r="G232" s="53">
        <v>2887724</v>
      </c>
      <c r="H232" s="52"/>
      <c r="I232" s="54">
        <f t="shared" si="90"/>
        <v>2887724</v>
      </c>
      <c r="J232" s="54">
        <f t="shared" si="96"/>
        <v>2404755.0833333335</v>
      </c>
      <c r="K232" s="54">
        <f t="shared" si="100"/>
        <v>369851.33181666664</v>
      </c>
      <c r="L232" s="54">
        <v>14199</v>
      </c>
      <c r="M232" s="54">
        <f t="shared" si="89"/>
        <v>355652.33181666664</v>
      </c>
      <c r="N232" s="54">
        <v>0</v>
      </c>
      <c r="O232" s="54">
        <f t="shared" si="88"/>
        <v>355652.33181666664</v>
      </c>
      <c r="P232" s="54">
        <v>3899941.26</v>
      </c>
      <c r="R232" s="32">
        <f t="shared" si="91"/>
        <v>3899941.26</v>
      </c>
      <c r="S232" s="32">
        <f t="shared" si="97"/>
        <v>3413112.08</v>
      </c>
      <c r="T232" s="29">
        <f t="shared" si="99"/>
        <v>0.10678498083900853</v>
      </c>
      <c r="V232" s="67">
        <v>0</v>
      </c>
      <c r="W232" s="67">
        <v>0</v>
      </c>
      <c r="X232" s="59">
        <f t="shared" si="95"/>
        <v>0</v>
      </c>
      <c r="Y232" s="60"/>
      <c r="Z232" s="61"/>
      <c r="AA232" s="61"/>
      <c r="AB232" s="61"/>
      <c r="AC232" s="62"/>
    </row>
    <row r="233" spans="3:29" hidden="1" x14ac:dyDescent="0.2">
      <c r="C233" s="15">
        <v>44652</v>
      </c>
      <c r="D233" s="51">
        <v>0.1633</v>
      </c>
      <c r="E233" s="52">
        <v>0</v>
      </c>
      <c r="F233" s="52">
        <f t="shared" si="98"/>
        <v>0.1633</v>
      </c>
      <c r="G233" s="53">
        <v>2421837</v>
      </c>
      <c r="H233" s="52"/>
      <c r="I233" s="54">
        <f t="shared" si="90"/>
        <v>2421837</v>
      </c>
      <c r="J233" s="54">
        <f t="shared" si="96"/>
        <v>2456859.1666666665</v>
      </c>
      <c r="K233" s="54">
        <f t="shared" si="100"/>
        <v>401205.10191666667</v>
      </c>
      <c r="L233" s="54">
        <v>44299</v>
      </c>
      <c r="M233" s="54">
        <f t="shared" si="89"/>
        <v>356906.10191666667</v>
      </c>
      <c r="N233" s="54">
        <v>0</v>
      </c>
      <c r="O233" s="54">
        <f t="shared" si="88"/>
        <v>356906.10191666667</v>
      </c>
      <c r="P233" s="54">
        <v>3313838.93</v>
      </c>
      <c r="R233" s="32">
        <f t="shared" si="91"/>
        <v>3313838.93</v>
      </c>
      <c r="S233" s="32">
        <f t="shared" si="97"/>
        <v>3447315.7283333335</v>
      </c>
      <c r="T233" s="29">
        <f t="shared" si="99"/>
        <v>0.10456911274846464</v>
      </c>
      <c r="V233" s="67">
        <v>0</v>
      </c>
      <c r="W233" s="67">
        <v>0</v>
      </c>
      <c r="X233" s="59">
        <f t="shared" si="95"/>
        <v>0</v>
      </c>
      <c r="Y233" s="60"/>
      <c r="Z233" s="61"/>
      <c r="AA233" s="61"/>
      <c r="AB233" s="61"/>
      <c r="AC233" s="62"/>
    </row>
    <row r="234" spans="3:29" hidden="1" x14ac:dyDescent="0.2">
      <c r="C234" s="15">
        <v>44682</v>
      </c>
      <c r="D234" s="51">
        <v>0.18360000000000001</v>
      </c>
      <c r="E234" s="52">
        <v>0</v>
      </c>
      <c r="F234" s="52">
        <f t="shared" si="98"/>
        <v>0.18360000000000001</v>
      </c>
      <c r="G234" s="53">
        <v>2407716</v>
      </c>
      <c r="H234" s="52"/>
      <c r="I234" s="54">
        <f t="shared" si="90"/>
        <v>2407716</v>
      </c>
      <c r="J234" s="54">
        <f t="shared" si="96"/>
        <v>2525347.3333333335</v>
      </c>
      <c r="K234" s="54">
        <f t="shared" si="100"/>
        <v>463653.77040000004</v>
      </c>
      <c r="L234" s="54">
        <v>41245</v>
      </c>
      <c r="M234" s="54">
        <f t="shared" si="89"/>
        <v>422408.77040000004</v>
      </c>
      <c r="N234" s="54">
        <v>0</v>
      </c>
      <c r="O234" s="54">
        <f t="shared" si="88"/>
        <v>422408.77040000004</v>
      </c>
      <c r="P234" s="54">
        <v>2892434.92</v>
      </c>
      <c r="R234" s="32">
        <f t="shared" si="91"/>
        <v>2892434.92</v>
      </c>
      <c r="S234" s="32">
        <f t="shared" si="97"/>
        <v>3485366.0124999997</v>
      </c>
      <c r="T234" s="29">
        <f t="shared" si="99"/>
        <v>0.12253266126112014</v>
      </c>
      <c r="V234" s="67">
        <v>0</v>
      </c>
      <c r="W234" s="67">
        <v>0</v>
      </c>
      <c r="X234" s="59">
        <f t="shared" si="95"/>
        <v>0</v>
      </c>
      <c r="Y234" s="60"/>
      <c r="Z234" s="61"/>
      <c r="AA234" s="61"/>
      <c r="AB234" s="61"/>
      <c r="AC234" s="62"/>
    </row>
    <row r="235" spans="3:29" hidden="1" x14ac:dyDescent="0.2">
      <c r="C235" s="15">
        <v>44713</v>
      </c>
      <c r="D235" s="51">
        <v>0.17660000000000001</v>
      </c>
      <c r="E235" s="52">
        <v>0</v>
      </c>
      <c r="F235" s="52">
        <f t="shared" si="98"/>
        <v>0.17660000000000001</v>
      </c>
      <c r="G235" s="53">
        <v>3025146</v>
      </c>
      <c r="H235" s="52"/>
      <c r="I235" s="54">
        <f t="shared" si="90"/>
        <v>3025146</v>
      </c>
      <c r="J235" s="54">
        <f t="shared" si="96"/>
        <v>2616187.75</v>
      </c>
      <c r="K235" s="54">
        <f t="shared" si="100"/>
        <v>462018.75665</v>
      </c>
      <c r="L235" s="54">
        <v>72534</v>
      </c>
      <c r="M235" s="54">
        <f t="shared" si="89"/>
        <v>389484.75665</v>
      </c>
      <c r="N235" s="54">
        <v>0</v>
      </c>
      <c r="O235" s="54">
        <f t="shared" si="88"/>
        <v>389484.75665</v>
      </c>
      <c r="P235" s="54">
        <v>3636582.23</v>
      </c>
      <c r="R235" s="32">
        <f t="shared" si="91"/>
        <v>3636582.23</v>
      </c>
      <c r="S235" s="32">
        <f t="shared" si="97"/>
        <v>3555938.0349999997</v>
      </c>
      <c r="T235" s="29">
        <f t="shared" si="99"/>
        <v>0.11174859548556525</v>
      </c>
      <c r="V235" s="67">
        <v>0</v>
      </c>
      <c r="W235" s="67">
        <v>0</v>
      </c>
      <c r="X235" s="59">
        <f t="shared" si="95"/>
        <v>0</v>
      </c>
      <c r="Y235" s="60"/>
      <c r="Z235" s="61"/>
      <c r="AA235" s="61"/>
      <c r="AB235" s="61"/>
      <c r="AC235" s="62"/>
    </row>
    <row r="236" spans="3:29" hidden="1" x14ac:dyDescent="0.2">
      <c r="C236" s="15">
        <v>44743</v>
      </c>
      <c r="D236" s="51">
        <v>0.14449999999999999</v>
      </c>
      <c r="E236" s="52">
        <v>0</v>
      </c>
      <c r="F236" s="52">
        <f t="shared" si="98"/>
        <v>0.14449999999999999</v>
      </c>
      <c r="G236" s="53">
        <v>3698033</v>
      </c>
      <c r="H236" s="52"/>
      <c r="I236" s="54">
        <f t="shared" si="90"/>
        <v>3698033</v>
      </c>
      <c r="J236" s="54">
        <f t="shared" si="96"/>
        <v>2748316.9166666665</v>
      </c>
      <c r="K236" s="54">
        <f t="shared" si="100"/>
        <v>397131.79445833329</v>
      </c>
      <c r="L236" s="54">
        <v>110081</v>
      </c>
      <c r="M236" s="54">
        <f t="shared" si="89"/>
        <v>287050.79445833329</v>
      </c>
      <c r="N236" s="54">
        <v>0</v>
      </c>
      <c r="O236" s="54">
        <f t="shared" si="88"/>
        <v>287050.79445833329</v>
      </c>
      <c r="P236" s="54">
        <v>3750838.4</v>
      </c>
      <c r="R236" s="32">
        <f t="shared" si="91"/>
        <v>3750838.4</v>
      </c>
      <c r="S236" s="32">
        <f t="shared" si="97"/>
        <v>3604705.0049999994</v>
      </c>
      <c r="T236" s="29">
        <f t="shared" si="99"/>
        <v>8.0724352233638774E-2</v>
      </c>
      <c r="V236" s="67">
        <v>0</v>
      </c>
      <c r="W236" s="67">
        <v>0</v>
      </c>
      <c r="X236" s="59">
        <f t="shared" si="95"/>
        <v>0</v>
      </c>
      <c r="Y236" s="60"/>
      <c r="Z236" s="61"/>
      <c r="AA236" s="61"/>
      <c r="AB236" s="61"/>
      <c r="AC236" s="62"/>
    </row>
    <row r="237" spans="3:29" hidden="1" x14ac:dyDescent="0.2">
      <c r="C237" s="15">
        <v>44774</v>
      </c>
      <c r="D237" s="51">
        <v>0.1147</v>
      </c>
      <c r="E237" s="52">
        <v>0</v>
      </c>
      <c r="F237" s="52">
        <f t="shared" si="98"/>
        <v>0.1147</v>
      </c>
      <c r="G237" s="53">
        <v>3536710</v>
      </c>
      <c r="H237" s="52"/>
      <c r="I237" s="54">
        <f t="shared" si="90"/>
        <v>3536710</v>
      </c>
      <c r="J237" s="54">
        <f t="shared" si="96"/>
        <v>2860470.5833333335</v>
      </c>
      <c r="K237" s="54">
        <f t="shared" si="100"/>
        <v>328095.97590833332</v>
      </c>
      <c r="L237" s="54">
        <v>89448</v>
      </c>
      <c r="M237" s="54">
        <f t="shared" si="89"/>
        <v>238647.97590833332</v>
      </c>
      <c r="N237" s="54">
        <v>0</v>
      </c>
      <c r="O237" s="54">
        <f t="shared" si="88"/>
        <v>238647.97590833332</v>
      </c>
      <c r="P237" s="54">
        <v>4161410.36</v>
      </c>
      <c r="R237" s="32">
        <f t="shared" si="91"/>
        <v>4161410.36</v>
      </c>
      <c r="S237" s="32">
        <f t="shared" si="97"/>
        <v>3682952.6216666661</v>
      </c>
      <c r="T237" s="29">
        <f t="shared" si="99"/>
        <v>6.6204578620805435E-2</v>
      </c>
      <c r="V237" s="67">
        <v>0</v>
      </c>
      <c r="W237" s="67">
        <v>0</v>
      </c>
      <c r="X237" s="59">
        <f t="shared" si="95"/>
        <v>0</v>
      </c>
      <c r="Y237" s="60"/>
      <c r="Z237" s="61"/>
      <c r="AA237" s="61"/>
      <c r="AB237" s="61"/>
      <c r="AC237" s="62"/>
    </row>
    <row r="238" spans="3:29" hidden="1" x14ac:dyDescent="0.2">
      <c r="C238" s="15">
        <v>44805</v>
      </c>
      <c r="D238" s="51">
        <v>0.13619999999999999</v>
      </c>
      <c r="E238" s="52">
        <v>0</v>
      </c>
      <c r="F238" s="52">
        <f t="shared" si="98"/>
        <v>0.13619999999999999</v>
      </c>
      <c r="G238" s="53">
        <v>3212315</v>
      </c>
      <c r="H238" s="52"/>
      <c r="I238" s="54">
        <f t="shared" si="90"/>
        <v>3212315</v>
      </c>
      <c r="J238" s="54">
        <f t="shared" si="96"/>
        <v>2982431.8333333335</v>
      </c>
      <c r="K238" s="54">
        <f t="shared" si="100"/>
        <v>406207.2157</v>
      </c>
      <c r="L238" s="54">
        <v>82045</v>
      </c>
      <c r="M238" s="54">
        <f t="shared" si="89"/>
        <v>324162.2157</v>
      </c>
      <c r="N238" s="54">
        <v>0</v>
      </c>
      <c r="O238" s="54">
        <f t="shared" si="88"/>
        <v>324162.2157</v>
      </c>
      <c r="P238" s="54">
        <v>3406913.17</v>
      </c>
      <c r="R238" s="32">
        <f t="shared" si="91"/>
        <v>3406913.17</v>
      </c>
      <c r="S238" s="32">
        <f t="shared" si="97"/>
        <v>3727133.0908333338</v>
      </c>
      <c r="T238" s="29">
        <f t="shared" si="99"/>
        <v>8.8016938853073046E-2</v>
      </c>
      <c r="V238" s="67">
        <v>0</v>
      </c>
      <c r="W238" s="67">
        <v>0</v>
      </c>
      <c r="X238" s="59">
        <f t="shared" si="95"/>
        <v>0</v>
      </c>
      <c r="Y238" s="60"/>
      <c r="Z238" s="61"/>
      <c r="AA238" s="61"/>
      <c r="AB238" s="61"/>
      <c r="AC238" s="62"/>
    </row>
    <row r="239" spans="3:29" hidden="1" x14ac:dyDescent="0.2">
      <c r="C239" s="15">
        <v>44835</v>
      </c>
      <c r="D239" s="51">
        <v>0.151</v>
      </c>
      <c r="E239" s="52">
        <v>0</v>
      </c>
      <c r="F239" s="52">
        <f t="shared" si="98"/>
        <v>0.151</v>
      </c>
      <c r="G239" s="53">
        <v>3405608</v>
      </c>
      <c r="H239" s="52"/>
      <c r="I239" s="54">
        <f t="shared" si="90"/>
        <v>3405608</v>
      </c>
      <c r="J239" s="54">
        <f t="shared" si="96"/>
        <v>3122860.9166666665</v>
      </c>
      <c r="K239" s="54">
        <f t="shared" si="100"/>
        <v>471551.99841666664</v>
      </c>
      <c r="L239" s="54">
        <v>106276</v>
      </c>
      <c r="M239" s="54">
        <f t="shared" si="89"/>
        <v>365275.99841666664</v>
      </c>
      <c r="N239" s="54">
        <v>0</v>
      </c>
      <c r="O239" s="54">
        <f t="shared" si="88"/>
        <v>365275.99841666664</v>
      </c>
      <c r="P239" s="54">
        <v>3398486.6599999997</v>
      </c>
      <c r="R239" s="32">
        <f t="shared" si="91"/>
        <v>3398486.6599999997</v>
      </c>
      <c r="S239" s="32">
        <f t="shared" si="97"/>
        <v>3800197.1041666665</v>
      </c>
      <c r="T239" s="29">
        <f t="shared" si="99"/>
        <v>9.8004549211038808E-2</v>
      </c>
      <c r="V239" s="67">
        <v>0</v>
      </c>
      <c r="W239" s="67">
        <v>0</v>
      </c>
      <c r="X239" s="59">
        <f t="shared" si="95"/>
        <v>0</v>
      </c>
      <c r="Y239" s="60"/>
      <c r="Z239" s="61"/>
      <c r="AA239" s="61"/>
      <c r="AB239" s="61"/>
      <c r="AC239" s="62"/>
    </row>
    <row r="240" spans="3:29" hidden="1" x14ac:dyDescent="0.2">
      <c r="C240" s="15">
        <v>44866</v>
      </c>
      <c r="D240" s="51">
        <v>0.1615</v>
      </c>
      <c r="E240" s="52">
        <v>0</v>
      </c>
      <c r="F240" s="52">
        <f t="shared" si="98"/>
        <v>0.1615</v>
      </c>
      <c r="G240" s="53">
        <v>3674626</v>
      </c>
      <c r="H240" s="52"/>
      <c r="I240" s="54">
        <f t="shared" si="90"/>
        <v>3674626</v>
      </c>
      <c r="J240" s="54">
        <f t="shared" si="96"/>
        <v>3177976.5833333335</v>
      </c>
      <c r="K240" s="54">
        <f t="shared" si="100"/>
        <v>513243.21820833336</v>
      </c>
      <c r="L240" s="54">
        <v>99927</v>
      </c>
      <c r="M240" s="54">
        <f t="shared" si="89"/>
        <v>413316.21820833336</v>
      </c>
      <c r="N240" s="54">
        <v>0</v>
      </c>
      <c r="O240" s="54">
        <f t="shared" si="88"/>
        <v>413316.21820833336</v>
      </c>
      <c r="P240" s="54">
        <v>4295965.0499999989</v>
      </c>
      <c r="R240" s="32">
        <f t="shared" si="91"/>
        <v>4295965.0499999989</v>
      </c>
      <c r="S240" s="32">
        <f t="shared" si="97"/>
        <v>3845033.1858333331</v>
      </c>
      <c r="T240" s="29">
        <f t="shared" si="99"/>
        <v>0.10876178442301303</v>
      </c>
      <c r="V240" s="67">
        <v>0</v>
      </c>
      <c r="W240" s="67">
        <v>0</v>
      </c>
      <c r="X240" s="59">
        <f t="shared" si="95"/>
        <v>0</v>
      </c>
      <c r="Y240" s="60"/>
      <c r="Z240" s="61"/>
      <c r="AA240" s="61"/>
      <c r="AB240" s="61"/>
      <c r="AC240" s="62"/>
    </row>
    <row r="241" spans="3:29" hidden="1" x14ac:dyDescent="0.2">
      <c r="C241" s="15">
        <v>44896</v>
      </c>
      <c r="D241" s="51">
        <v>0.14030000000000001</v>
      </c>
      <c r="E241" s="52">
        <v>0</v>
      </c>
      <c r="F241" s="52">
        <f t="shared" si="98"/>
        <v>0.14030000000000001</v>
      </c>
      <c r="G241" s="53">
        <v>4448244</v>
      </c>
      <c r="H241" s="52"/>
      <c r="I241" s="54">
        <f t="shared" si="90"/>
        <v>4448244</v>
      </c>
      <c r="J241" s="54">
        <f t="shared" si="96"/>
        <v>3294607.6666666665</v>
      </c>
      <c r="K241" s="54">
        <f t="shared" si="100"/>
        <v>462233.45563333336</v>
      </c>
      <c r="L241" s="54">
        <v>89713</v>
      </c>
      <c r="M241" s="54">
        <f t="shared" si="89"/>
        <v>372520.45563333336</v>
      </c>
      <c r="N241" s="54">
        <v>0</v>
      </c>
      <c r="O241" s="54">
        <f t="shared" si="88"/>
        <v>372520.45563333336</v>
      </c>
      <c r="P241" s="54">
        <v>4857034.5200000005</v>
      </c>
      <c r="R241" s="32">
        <f t="shared" si="91"/>
        <v>4857034.5200000005</v>
      </c>
      <c r="S241" s="32">
        <f t="shared" si="97"/>
        <v>3919273.7099999995</v>
      </c>
      <c r="T241" s="29">
        <f t="shared" si="99"/>
        <v>9.688354758701441E-2</v>
      </c>
      <c r="V241" s="67">
        <v>0</v>
      </c>
      <c r="W241" s="67">
        <v>0</v>
      </c>
      <c r="X241" s="59">
        <f t="shared" si="95"/>
        <v>0</v>
      </c>
      <c r="Y241" s="60"/>
      <c r="Z241" s="61"/>
      <c r="AA241" s="61"/>
      <c r="AB241" s="61"/>
      <c r="AC241" s="62"/>
    </row>
    <row r="242" spans="3:29" hidden="1" x14ac:dyDescent="0.2">
      <c r="C242" s="15">
        <v>44927</v>
      </c>
      <c r="D242" s="51">
        <v>9.4E-2</v>
      </c>
      <c r="E242" s="52">
        <v>0</v>
      </c>
      <c r="F242" s="52">
        <f t="shared" si="98"/>
        <v>9.4E-2</v>
      </c>
      <c r="G242" s="53">
        <v>4125486</v>
      </c>
      <c r="H242" s="52"/>
      <c r="I242" s="54">
        <f t="shared" si="90"/>
        <v>4125486</v>
      </c>
      <c r="J242" s="54">
        <f t="shared" si="96"/>
        <v>3322965.75</v>
      </c>
      <c r="K242" s="54">
        <f t="shared" si="100"/>
        <v>312358.78049999999</v>
      </c>
      <c r="L242" s="54">
        <v>73466</v>
      </c>
      <c r="M242" s="54">
        <f t="shared" si="89"/>
        <v>238892.78049999999</v>
      </c>
      <c r="N242" s="54">
        <v>0</v>
      </c>
      <c r="O242" s="54">
        <f t="shared" si="88"/>
        <v>238892.78049999999</v>
      </c>
      <c r="P242" s="54">
        <v>4086002.5499999993</v>
      </c>
      <c r="R242" s="32">
        <f t="shared" si="91"/>
        <v>4086002.5499999993</v>
      </c>
      <c r="S242" s="32">
        <f t="shared" si="97"/>
        <v>3831978.3958333335</v>
      </c>
      <c r="T242" s="29">
        <f t="shared" si="99"/>
        <v>6.0953329156488031E-2</v>
      </c>
      <c r="V242" s="67">
        <v>0</v>
      </c>
      <c r="W242" s="67">
        <v>0</v>
      </c>
      <c r="X242" s="59">
        <f t="shared" si="95"/>
        <v>0</v>
      </c>
      <c r="Y242" s="60"/>
      <c r="Z242" s="61"/>
      <c r="AA242" s="61"/>
      <c r="AB242" s="61"/>
      <c r="AC242" s="62"/>
    </row>
    <row r="243" spans="3:29" hidden="1" x14ac:dyDescent="0.2">
      <c r="C243" s="15">
        <v>44958</v>
      </c>
      <c r="D243" s="51">
        <v>0.1196</v>
      </c>
      <c r="E243" s="52">
        <v>0</v>
      </c>
      <c r="F243" s="52">
        <f t="shared" si="98"/>
        <v>0.1196</v>
      </c>
      <c r="G243" s="53">
        <v>3153869</v>
      </c>
      <c r="H243" s="52"/>
      <c r="I243" s="54">
        <f t="shared" si="90"/>
        <v>3153869</v>
      </c>
      <c r="J243" s="54">
        <f t="shared" si="96"/>
        <v>3333109.5</v>
      </c>
      <c r="K243" s="54">
        <f t="shared" si="100"/>
        <v>398639.89620000002</v>
      </c>
      <c r="L243" s="54">
        <v>36861</v>
      </c>
      <c r="M243" s="54">
        <f t="shared" si="89"/>
        <v>361778.89620000002</v>
      </c>
      <c r="N243" s="54">
        <v>0</v>
      </c>
      <c r="O243" s="54">
        <f t="shared" si="88"/>
        <v>361778.89620000002</v>
      </c>
      <c r="P243" s="54">
        <v>4702729.9400000004</v>
      </c>
      <c r="R243" s="32">
        <f t="shared" si="91"/>
        <v>4702729.9400000004</v>
      </c>
      <c r="S243" s="32">
        <f t="shared" si="97"/>
        <v>3866848.165833333</v>
      </c>
      <c r="T243" s="29">
        <f t="shared" si="99"/>
        <v>9.4410473867331035E-2</v>
      </c>
      <c r="V243" s="67">
        <v>0</v>
      </c>
      <c r="W243" s="67">
        <v>0</v>
      </c>
      <c r="X243" s="59">
        <f t="shared" si="95"/>
        <v>0</v>
      </c>
      <c r="Y243" s="60"/>
      <c r="Z243" s="61"/>
      <c r="AA243" s="61"/>
      <c r="AB243" s="61"/>
      <c r="AC243" s="62"/>
    </row>
    <row r="244" spans="3:29" hidden="1" x14ac:dyDescent="0.2">
      <c r="C244" s="15">
        <v>44986</v>
      </c>
      <c r="D244" s="51">
        <v>0.1628</v>
      </c>
      <c r="E244" s="52">
        <v>0</v>
      </c>
      <c r="F244" s="52">
        <f t="shared" si="98"/>
        <v>0.1628</v>
      </c>
      <c r="G244" s="53">
        <v>3237646</v>
      </c>
      <c r="H244" s="52"/>
      <c r="I244" s="54">
        <f t="shared" si="90"/>
        <v>3237646</v>
      </c>
      <c r="J244" s="54">
        <f t="shared" si="96"/>
        <v>3362269.6666666665</v>
      </c>
      <c r="K244" s="54">
        <f t="shared" si="100"/>
        <v>547377.50173333334</v>
      </c>
      <c r="L244" s="54">
        <v>50655</v>
      </c>
      <c r="M244" s="54">
        <f t="shared" si="89"/>
        <v>496722.50173333334</v>
      </c>
      <c r="N244" s="54">
        <v>0</v>
      </c>
      <c r="O244" s="54">
        <f t="shared" si="88"/>
        <v>496722.50173333334</v>
      </c>
      <c r="P244" s="54">
        <v>3785304.99</v>
      </c>
      <c r="R244" s="32">
        <f t="shared" si="91"/>
        <v>3785304.99</v>
      </c>
      <c r="S244" s="32">
        <f t="shared" si="97"/>
        <v>3857295.1433333331</v>
      </c>
      <c r="T244" s="29">
        <f t="shared" si="99"/>
        <v>0.12845668628064327</v>
      </c>
      <c r="V244" s="67">
        <v>0</v>
      </c>
      <c r="W244" s="67">
        <v>0</v>
      </c>
      <c r="X244" s="59">
        <f t="shared" si="95"/>
        <v>0</v>
      </c>
      <c r="Y244" s="60"/>
      <c r="Z244" s="61"/>
      <c r="AA244" s="61"/>
      <c r="AB244" s="61"/>
      <c r="AC244" s="62"/>
    </row>
    <row r="245" spans="3:29" hidden="1" x14ac:dyDescent="0.2">
      <c r="C245" s="15">
        <v>45017</v>
      </c>
      <c r="D245" s="51">
        <v>0.1583</v>
      </c>
      <c r="E245" s="52">
        <v>0</v>
      </c>
      <c r="F245" s="52">
        <f t="shared" si="98"/>
        <v>0.1583</v>
      </c>
      <c r="G245" s="53">
        <v>2503985</v>
      </c>
      <c r="H245" s="52"/>
      <c r="I245" s="54">
        <f t="shared" si="90"/>
        <v>2503985</v>
      </c>
      <c r="J245" s="54">
        <f t="shared" si="96"/>
        <v>3369115.3333333335</v>
      </c>
      <c r="K245" s="54">
        <f t="shared" si="100"/>
        <v>533330.95726666669</v>
      </c>
      <c r="L245" s="54">
        <v>68487</v>
      </c>
      <c r="M245" s="54">
        <f t="shared" si="89"/>
        <v>464843.95726666669</v>
      </c>
      <c r="N245" s="54">
        <v>0</v>
      </c>
      <c r="O245" s="54">
        <f t="shared" si="88"/>
        <v>464843.95726666669</v>
      </c>
      <c r="P245" s="54">
        <v>3004757.77</v>
      </c>
      <c r="R245" s="32">
        <f t="shared" si="91"/>
        <v>3004757.77</v>
      </c>
      <c r="S245" s="32">
        <f t="shared" si="97"/>
        <v>3831538.3800000004</v>
      </c>
      <c r="T245" s="29">
        <f t="shared" si="99"/>
        <v>0.12051034209038139</v>
      </c>
      <c r="V245" s="67">
        <v>0</v>
      </c>
      <c r="W245" s="67">
        <v>0</v>
      </c>
      <c r="X245" s="59">
        <f t="shared" si="95"/>
        <v>0</v>
      </c>
      <c r="Y245" s="60"/>
      <c r="Z245" s="61"/>
      <c r="AA245" s="61"/>
      <c r="AB245" s="61"/>
      <c r="AC245" s="62"/>
    </row>
    <row r="246" spans="3:29" hidden="1" x14ac:dyDescent="0.2">
      <c r="C246" s="15">
        <v>45047</v>
      </c>
      <c r="D246" s="51">
        <v>0.187</v>
      </c>
      <c r="E246" s="52">
        <v>0</v>
      </c>
      <c r="F246" s="52">
        <f t="shared" si="98"/>
        <v>0.187</v>
      </c>
      <c r="G246" s="53">
        <v>2631159</v>
      </c>
      <c r="H246" s="52"/>
      <c r="I246" s="54">
        <f t="shared" si="90"/>
        <v>2631159</v>
      </c>
      <c r="J246" s="54">
        <f t="shared" si="96"/>
        <v>3387735.5833333335</v>
      </c>
      <c r="K246" s="54">
        <f t="shared" si="100"/>
        <v>633506.55408333335</v>
      </c>
      <c r="L246" s="54">
        <v>70696</v>
      </c>
      <c r="M246" s="54">
        <f t="shared" si="89"/>
        <v>562810.55408333335</v>
      </c>
      <c r="N246" s="54">
        <v>0</v>
      </c>
      <c r="O246" s="54">
        <f t="shared" si="88"/>
        <v>562810.55408333335</v>
      </c>
      <c r="P246" s="54">
        <v>3256098.97</v>
      </c>
      <c r="R246" s="32">
        <f t="shared" si="91"/>
        <v>3256098.97</v>
      </c>
      <c r="S246" s="32">
        <f t="shared" si="97"/>
        <v>3861843.7174999998</v>
      </c>
      <c r="T246" s="29">
        <f t="shared" si="99"/>
        <v>0.14688892509105789</v>
      </c>
      <c r="V246" s="67">
        <v>0</v>
      </c>
      <c r="W246" s="67">
        <v>0</v>
      </c>
      <c r="X246" s="59">
        <f t="shared" si="95"/>
        <v>0</v>
      </c>
      <c r="Y246" s="60"/>
      <c r="Z246" s="61"/>
      <c r="AA246" s="61"/>
      <c r="AB246" s="61"/>
      <c r="AC246" s="62"/>
    </row>
    <row r="247" spans="3:29" hidden="1" x14ac:dyDescent="0.2">
      <c r="C247" s="15">
        <v>45078</v>
      </c>
      <c r="D247" s="51">
        <v>0.19359999999999999</v>
      </c>
      <c r="E247" s="52">
        <v>0</v>
      </c>
      <c r="F247" s="52">
        <f t="shared" si="98"/>
        <v>0.19359999999999999</v>
      </c>
      <c r="G247" s="53">
        <v>2309949</v>
      </c>
      <c r="H247" s="52"/>
      <c r="I247" s="54">
        <f t="shared" si="90"/>
        <v>2309949</v>
      </c>
      <c r="J247" s="54">
        <f t="shared" si="96"/>
        <v>3328135.8333333335</v>
      </c>
      <c r="K247" s="54">
        <f t="shared" si="100"/>
        <v>644327.09733333334</v>
      </c>
      <c r="L247" s="54">
        <v>46898</v>
      </c>
      <c r="M247" s="54">
        <f t="shared" si="89"/>
        <v>597429.09733333334</v>
      </c>
      <c r="N247" s="54">
        <v>0</v>
      </c>
      <c r="O247" s="54">
        <f t="shared" si="88"/>
        <v>597429.09733333334</v>
      </c>
      <c r="P247" s="54">
        <v>3080895.71</v>
      </c>
      <c r="R247" s="32">
        <f t="shared" si="91"/>
        <v>3080895.71</v>
      </c>
      <c r="S247" s="32">
        <f t="shared" si="97"/>
        <v>3815536.5075000003</v>
      </c>
      <c r="T247" s="29">
        <f t="shared" si="99"/>
        <v>0.15470048532157707</v>
      </c>
      <c r="V247" s="67">
        <v>0</v>
      </c>
      <c r="W247" s="67">
        <v>0</v>
      </c>
      <c r="X247" s="59">
        <f t="shared" si="95"/>
        <v>0</v>
      </c>
      <c r="Y247" s="60"/>
      <c r="Z247" s="61"/>
      <c r="AA247" s="61"/>
      <c r="AB247" s="61"/>
      <c r="AC247" s="62"/>
    </row>
    <row r="248" spans="3:29" hidden="1" x14ac:dyDescent="0.2">
      <c r="C248" s="15">
        <v>45108</v>
      </c>
      <c r="D248" s="51">
        <v>0.19389999999999999</v>
      </c>
      <c r="E248" s="52">
        <v>0</v>
      </c>
      <c r="F248" s="52">
        <f t="shared" si="98"/>
        <v>0.19389999999999999</v>
      </c>
      <c r="G248" s="53">
        <v>3227353</v>
      </c>
      <c r="H248" s="52"/>
      <c r="I248" s="54">
        <f t="shared" si="90"/>
        <v>3227353</v>
      </c>
      <c r="J248" s="54">
        <f t="shared" si="96"/>
        <v>3288912.5</v>
      </c>
      <c r="K248" s="54">
        <f t="shared" si="100"/>
        <v>637720.13374999992</v>
      </c>
      <c r="L248" s="54">
        <v>112962</v>
      </c>
      <c r="M248" s="54">
        <f t="shared" si="89"/>
        <v>524758.13374999992</v>
      </c>
      <c r="N248" s="54">
        <v>0</v>
      </c>
      <c r="O248" s="54">
        <f t="shared" si="88"/>
        <v>524758.13374999992</v>
      </c>
      <c r="P248" s="54">
        <v>3464071.19</v>
      </c>
      <c r="R248" s="32">
        <f t="shared" si="91"/>
        <v>3464071.19</v>
      </c>
      <c r="S248" s="32">
        <f t="shared" si="97"/>
        <v>3791639.24</v>
      </c>
      <c r="T248" s="29">
        <f t="shared" si="99"/>
        <v>0.13753193888159904</v>
      </c>
      <c r="V248" s="67">
        <v>0</v>
      </c>
      <c r="W248" s="67">
        <v>0</v>
      </c>
      <c r="X248" s="59">
        <f t="shared" si="95"/>
        <v>0</v>
      </c>
      <c r="Y248" s="60"/>
      <c r="Z248" s="61"/>
      <c r="AA248" s="61"/>
      <c r="AB248" s="61"/>
      <c r="AC248" s="62"/>
    </row>
    <row r="249" spans="3:29" hidden="1" x14ac:dyDescent="0.2">
      <c r="C249" s="15">
        <v>45139</v>
      </c>
      <c r="D249" s="51">
        <v>0.1515</v>
      </c>
      <c r="E249" s="52">
        <v>0</v>
      </c>
      <c r="F249" s="52">
        <f t="shared" si="98"/>
        <v>0.1515</v>
      </c>
      <c r="G249" s="53">
        <v>3477869</v>
      </c>
      <c r="H249" s="52"/>
      <c r="I249" s="54">
        <f t="shared" si="90"/>
        <v>3477869</v>
      </c>
      <c r="J249" s="54">
        <f t="shared" si="96"/>
        <v>3284009.0833333335</v>
      </c>
      <c r="K249" s="54">
        <f t="shared" si="100"/>
        <v>497527.37612500001</v>
      </c>
      <c r="L249" s="54">
        <v>136168</v>
      </c>
      <c r="M249" s="54">
        <f t="shared" si="89"/>
        <v>361359.37612500001</v>
      </c>
      <c r="N249" s="54">
        <v>0</v>
      </c>
      <c r="O249" s="54">
        <f t="shared" si="88"/>
        <v>361359.37612500001</v>
      </c>
      <c r="P249" s="54">
        <v>3836034.9399999995</v>
      </c>
      <c r="R249" s="32">
        <f t="shared" si="91"/>
        <v>3836034.9399999995</v>
      </c>
      <c r="S249" s="32">
        <f t="shared" si="97"/>
        <v>3764524.6216666666</v>
      </c>
      <c r="T249" s="29">
        <f t="shared" si="99"/>
        <v>9.5304261099745338E-2</v>
      </c>
      <c r="V249" s="67">
        <v>0</v>
      </c>
      <c r="W249" s="67">
        <v>0</v>
      </c>
      <c r="X249" s="59">
        <f t="shared" si="95"/>
        <v>0</v>
      </c>
      <c r="Y249" s="60"/>
      <c r="Z249" s="61"/>
      <c r="AA249" s="61"/>
      <c r="AB249" s="61"/>
      <c r="AC249" s="62"/>
    </row>
    <row r="250" spans="3:29" x14ac:dyDescent="0.2">
      <c r="C250" s="15">
        <v>45170</v>
      </c>
      <c r="D250" s="51">
        <v>0.1479</v>
      </c>
      <c r="E250" s="52">
        <v>0</v>
      </c>
      <c r="F250" s="52">
        <f t="shared" si="98"/>
        <v>0.1479</v>
      </c>
      <c r="G250" s="53">
        <v>2934187</v>
      </c>
      <c r="H250" s="52"/>
      <c r="I250" s="54">
        <f t="shared" si="90"/>
        <v>2934187</v>
      </c>
      <c r="J250" s="54">
        <f t="shared" si="96"/>
        <v>3260831.75</v>
      </c>
      <c r="K250" s="54">
        <f t="shared" si="100"/>
        <v>482277.01582500001</v>
      </c>
      <c r="L250" s="54">
        <v>100684</v>
      </c>
      <c r="M250" s="54">
        <f t="shared" si="89"/>
        <v>381593.01582500001</v>
      </c>
      <c r="N250" s="54">
        <v>0</v>
      </c>
      <c r="O250" s="54">
        <f t="shared" si="88"/>
        <v>381593.01582500001</v>
      </c>
      <c r="P250" s="54">
        <v>3223257.55</v>
      </c>
      <c r="R250" s="32">
        <f t="shared" si="91"/>
        <v>3223257.55</v>
      </c>
      <c r="S250" s="32">
        <f t="shared" si="97"/>
        <v>3749219.9866666659</v>
      </c>
      <c r="T250" s="29">
        <f t="shared" si="99"/>
        <v>0.10136552531194695</v>
      </c>
      <c r="V250" s="67">
        <v>0</v>
      </c>
      <c r="W250" s="67">
        <v>0</v>
      </c>
      <c r="X250" s="59">
        <f t="shared" si="95"/>
        <v>0</v>
      </c>
      <c r="Y250" s="60"/>
      <c r="Z250" s="61"/>
      <c r="AA250" s="61"/>
      <c r="AB250" s="61"/>
      <c r="AC250" s="62"/>
    </row>
    <row r="251" spans="3:29" x14ac:dyDescent="0.2">
      <c r="C251" s="15">
        <v>45200</v>
      </c>
      <c r="D251" s="51">
        <v>0.17469999999999999</v>
      </c>
      <c r="E251" s="52">
        <v>0</v>
      </c>
      <c r="F251" s="52">
        <f t="shared" si="98"/>
        <v>0.17469999999999999</v>
      </c>
      <c r="G251" s="53">
        <v>2827417</v>
      </c>
      <c r="H251" s="52"/>
      <c r="I251" s="54">
        <f t="shared" si="90"/>
        <v>2827417</v>
      </c>
      <c r="J251" s="54">
        <f t="shared" si="96"/>
        <v>3212649.1666666665</v>
      </c>
      <c r="K251" s="54">
        <f t="shared" si="100"/>
        <v>561249.80941666663</v>
      </c>
      <c r="L251" s="54">
        <v>107536</v>
      </c>
      <c r="M251" s="54">
        <f t="shared" si="89"/>
        <v>453713.80941666663</v>
      </c>
      <c r="N251" s="54">
        <v>0</v>
      </c>
      <c r="O251" s="54">
        <f t="shared" si="88"/>
        <v>453713.80941666663</v>
      </c>
      <c r="P251" s="54">
        <v>3061348.39</v>
      </c>
      <c r="R251" s="32">
        <f t="shared" si="91"/>
        <v>3061348.39</v>
      </c>
      <c r="S251" s="32">
        <f t="shared" si="97"/>
        <v>3721125.1308333329</v>
      </c>
      <c r="T251" s="29">
        <f t="shared" si="99"/>
        <v>0.12101552083638917</v>
      </c>
      <c r="V251" s="67">
        <v>0</v>
      </c>
      <c r="W251" s="67">
        <v>0</v>
      </c>
      <c r="X251" s="59">
        <f t="shared" si="95"/>
        <v>0</v>
      </c>
      <c r="Y251" s="60"/>
      <c r="Z251" s="61"/>
      <c r="AA251" s="61"/>
      <c r="AB251" s="61"/>
      <c r="AC251" s="62"/>
    </row>
    <row r="252" spans="3:29" x14ac:dyDescent="0.2">
      <c r="C252" s="15">
        <v>45231</v>
      </c>
      <c r="D252" s="51">
        <v>0.17949999999999999</v>
      </c>
      <c r="E252" s="52">
        <v>0</v>
      </c>
      <c r="F252" s="52">
        <f t="shared" si="98"/>
        <v>0.17949999999999999</v>
      </c>
      <c r="G252" s="53">
        <v>3408830</v>
      </c>
      <c r="H252" s="52"/>
      <c r="I252" s="54">
        <f t="shared" si="90"/>
        <v>3408830</v>
      </c>
      <c r="J252" s="54">
        <f t="shared" si="96"/>
        <v>3190499.5</v>
      </c>
      <c r="K252" s="54">
        <f t="shared" si="100"/>
        <v>572694.66024999996</v>
      </c>
      <c r="L252" s="54">
        <v>119926</v>
      </c>
      <c r="M252" s="54">
        <f t="shared" si="89"/>
        <v>452768.66024999996</v>
      </c>
      <c r="N252" s="54">
        <v>0</v>
      </c>
      <c r="O252" s="54">
        <f t="shared" si="88"/>
        <v>452768.66024999996</v>
      </c>
      <c r="P252" s="54">
        <v>3873723.8899999997</v>
      </c>
      <c r="R252" s="32">
        <f t="shared" si="91"/>
        <v>3873723.8899999997</v>
      </c>
      <c r="S252" s="32">
        <f t="shared" si="97"/>
        <v>3685938.3674999997</v>
      </c>
      <c r="T252" s="29">
        <f t="shared" si="99"/>
        <v>0.1216752042274386</v>
      </c>
      <c r="V252" s="67">
        <v>0</v>
      </c>
      <c r="W252" s="67">
        <v>0</v>
      </c>
      <c r="X252" s="59">
        <f t="shared" si="95"/>
        <v>0</v>
      </c>
      <c r="Y252" s="60"/>
      <c r="Z252" s="61"/>
      <c r="AA252" s="61"/>
      <c r="AB252" s="61"/>
      <c r="AC252" s="62"/>
    </row>
    <row r="253" spans="3:29" x14ac:dyDescent="0.2">
      <c r="C253" s="15">
        <v>45261</v>
      </c>
      <c r="D253" s="51">
        <v>0.1658</v>
      </c>
      <c r="E253" s="52">
        <v>0</v>
      </c>
      <c r="F253" s="52">
        <f t="shared" si="98"/>
        <v>0.1658</v>
      </c>
      <c r="G253" s="53">
        <v>3620433</v>
      </c>
      <c r="H253" s="52"/>
      <c r="I253" s="54">
        <f t="shared" si="90"/>
        <v>3620433</v>
      </c>
      <c r="J253" s="54">
        <f t="shared" si="96"/>
        <v>3121515.25</v>
      </c>
      <c r="K253" s="54">
        <f t="shared" si="100"/>
        <v>517547.22845</v>
      </c>
      <c r="L253" s="54">
        <v>123624</v>
      </c>
      <c r="M253" s="54">
        <f t="shared" si="89"/>
        <v>393923.22845</v>
      </c>
      <c r="N253" s="54">
        <v>0</v>
      </c>
      <c r="O253" s="54">
        <f t="shared" si="88"/>
        <v>393923.22845</v>
      </c>
      <c r="P253" s="54">
        <v>3975942.8600000003</v>
      </c>
      <c r="R253" s="32">
        <f t="shared" si="91"/>
        <v>3975942.8600000003</v>
      </c>
      <c r="S253" s="32">
        <f t="shared" si="97"/>
        <v>3612514.0625</v>
      </c>
      <c r="T253" s="29">
        <f t="shared" si="99"/>
        <v>0.10687189778411292</v>
      </c>
      <c r="V253" s="67">
        <v>0</v>
      </c>
      <c r="W253" s="67">
        <v>0</v>
      </c>
      <c r="X253" s="59">
        <f t="shared" si="95"/>
        <v>0</v>
      </c>
      <c r="Y253" s="60"/>
      <c r="Z253" s="61"/>
      <c r="AA253" s="61"/>
      <c r="AB253" s="61"/>
      <c r="AC253" s="62"/>
    </row>
    <row r="254" spans="3:29" x14ac:dyDescent="0.2">
      <c r="C254" s="15">
        <v>45292</v>
      </c>
      <c r="D254" s="51">
        <v>0.1532</v>
      </c>
      <c r="E254" s="52">
        <v>0</v>
      </c>
      <c r="F254" s="52">
        <f t="shared" si="98"/>
        <v>0.1532</v>
      </c>
      <c r="G254" s="53">
        <v>4558731</v>
      </c>
      <c r="H254" s="52"/>
      <c r="I254" s="54">
        <f t="shared" si="90"/>
        <v>4558731</v>
      </c>
      <c r="J254" s="54">
        <f t="shared" si="96"/>
        <v>3157619</v>
      </c>
      <c r="K254" s="54">
        <f t="shared" si="100"/>
        <v>483747.23080000002</v>
      </c>
      <c r="L254" s="54">
        <v>93871</v>
      </c>
      <c r="M254" s="54">
        <f t="shared" si="89"/>
        <v>389876.23080000002</v>
      </c>
      <c r="N254" s="54">
        <v>0</v>
      </c>
      <c r="O254" s="54">
        <f t="shared" si="88"/>
        <v>389876.23080000002</v>
      </c>
      <c r="P254" s="54">
        <v>5266831.4400000004</v>
      </c>
      <c r="R254" s="32">
        <f t="shared" si="91"/>
        <v>5266831.4400000004</v>
      </c>
      <c r="S254" s="32">
        <f t="shared" si="97"/>
        <v>3710916.4699999993</v>
      </c>
      <c r="T254" s="29">
        <f t="shared" si="99"/>
        <v>0.10792379601982519</v>
      </c>
      <c r="V254" s="67">
        <v>0</v>
      </c>
      <c r="W254" s="67">
        <v>0</v>
      </c>
      <c r="X254" s="59">
        <f t="shared" si="95"/>
        <v>0</v>
      </c>
      <c r="Y254" s="60"/>
      <c r="Z254" s="61"/>
      <c r="AA254" s="61"/>
      <c r="AB254" s="61"/>
      <c r="AC254" s="62"/>
    </row>
    <row r="255" spans="3:29" x14ac:dyDescent="0.2">
      <c r="C255" s="15">
        <v>45323</v>
      </c>
      <c r="D255" s="51">
        <v>0.1116</v>
      </c>
      <c r="E255" s="52">
        <v>3.3999999999999998E-3</v>
      </c>
      <c r="F255" s="52">
        <f>+D255-E255</f>
        <v>0.1082</v>
      </c>
      <c r="G255" s="53">
        <v>3803366</v>
      </c>
      <c r="H255" s="52"/>
      <c r="I255" s="54">
        <f t="shared" si="90"/>
        <v>3803366</v>
      </c>
      <c r="J255" s="54">
        <f t="shared" si="96"/>
        <v>3211743.75</v>
      </c>
      <c r="K255" s="54">
        <f t="shared" si="100"/>
        <v>347510.67375000002</v>
      </c>
      <c r="L255" s="54">
        <v>115798</v>
      </c>
      <c r="M255" s="54">
        <f t="shared" si="89"/>
        <v>231712.67375000002</v>
      </c>
      <c r="N255" s="54">
        <v>0</v>
      </c>
      <c r="O255" s="54">
        <f t="shared" si="88"/>
        <v>231712.67375000002</v>
      </c>
      <c r="P255" s="54">
        <v>4045585.3900000006</v>
      </c>
      <c r="R255" s="32">
        <f t="shared" si="91"/>
        <v>4045585.3900000006</v>
      </c>
      <c r="S255" s="32">
        <f t="shared" si="97"/>
        <v>3656154.4241666668</v>
      </c>
      <c r="T255" s="29">
        <f t="shared" si="99"/>
        <v>6.2440821727792771E-2</v>
      </c>
      <c r="V255" s="67">
        <v>0</v>
      </c>
      <c r="W255" s="67">
        <v>0</v>
      </c>
      <c r="X255" s="59">
        <f t="shared" si="95"/>
        <v>0</v>
      </c>
      <c r="Y255" s="60"/>
      <c r="Z255" s="61"/>
      <c r="AA255" s="61"/>
      <c r="AB255" s="61"/>
      <c r="AC255" s="62"/>
    </row>
    <row r="256" spans="3:29" x14ac:dyDescent="0.2">
      <c r="C256" s="15">
        <v>45352</v>
      </c>
      <c r="D256" s="51">
        <v>0.15099112522568495</v>
      </c>
      <c r="E256" s="52">
        <v>3.3999999999999998E-3</v>
      </c>
      <c r="F256" s="52">
        <f>+D256-E256</f>
        <v>0.14759112522568496</v>
      </c>
      <c r="G256" s="53">
        <v>3280013</v>
      </c>
      <c r="H256" s="52"/>
      <c r="I256" s="54">
        <f t="shared" si="90"/>
        <v>3280013</v>
      </c>
      <c r="J256" s="54">
        <f t="shared" si="96"/>
        <v>3215274.3333333335</v>
      </c>
      <c r="K256" s="54">
        <f t="shared" si="100"/>
        <v>474545.95676593075</v>
      </c>
      <c r="L256" s="54">
        <v>79027</v>
      </c>
      <c r="M256" s="54">
        <f t="shared" si="89"/>
        <v>395518.95676593075</v>
      </c>
      <c r="N256" s="54">
        <v>1917</v>
      </c>
      <c r="O256" s="54">
        <f t="shared" si="88"/>
        <v>397435.95676593075</v>
      </c>
      <c r="P256" s="54">
        <v>3503486.12</v>
      </c>
      <c r="R256" s="32">
        <f t="shared" si="91"/>
        <v>3503486.12</v>
      </c>
      <c r="S256" s="32">
        <f t="shared" si="97"/>
        <v>3632669.5183333331</v>
      </c>
      <c r="T256" s="29">
        <f t="shared" si="99"/>
        <v>0.10870327416668589</v>
      </c>
      <c r="V256" s="67">
        <v>1917</v>
      </c>
      <c r="W256" s="67">
        <v>0</v>
      </c>
      <c r="X256" s="59">
        <f t="shared" si="95"/>
        <v>1917</v>
      </c>
      <c r="Y256" s="60" t="s">
        <v>113</v>
      </c>
      <c r="Z256" s="61"/>
      <c r="AA256" s="61"/>
      <c r="AB256" s="61"/>
      <c r="AC256" s="62"/>
    </row>
    <row r="257" spans="3:29" x14ac:dyDescent="0.2">
      <c r="C257" s="15">
        <v>45383</v>
      </c>
      <c r="D257" s="51">
        <v>0.18140000000000001</v>
      </c>
      <c r="E257" s="52">
        <v>3.3999999999999998E-3</v>
      </c>
      <c r="F257" s="52">
        <f t="shared" ref="F257:F273" si="101">+D257-E257</f>
        <v>0.17800000000000002</v>
      </c>
      <c r="G257" s="53">
        <v>2513069</v>
      </c>
      <c r="H257" s="52"/>
      <c r="I257" s="54">
        <f t="shared" si="90"/>
        <v>2513069</v>
      </c>
      <c r="J257" s="54">
        <f t="shared" si="96"/>
        <v>3216031.3333333335</v>
      </c>
      <c r="K257" s="54">
        <f t="shared" si="100"/>
        <v>572453.57733333344</v>
      </c>
      <c r="L257" s="54">
        <v>90920</v>
      </c>
      <c r="M257" s="54">
        <f t="shared" si="89"/>
        <v>481533.57733333344</v>
      </c>
      <c r="N257" s="54">
        <v>1917</v>
      </c>
      <c r="O257" s="54">
        <f t="shared" si="88"/>
        <v>483450.57733333344</v>
      </c>
      <c r="P257" s="54">
        <v>3200759.3</v>
      </c>
      <c r="R257" s="32">
        <f t="shared" si="91"/>
        <v>3200759.3</v>
      </c>
      <c r="S257" s="32">
        <f t="shared" si="97"/>
        <v>3649002.979166666</v>
      </c>
      <c r="T257" s="29">
        <f t="shared" si="99"/>
        <v>0.13308410657602024</v>
      </c>
      <c r="V257" s="67">
        <v>1917</v>
      </c>
      <c r="W257" s="67">
        <v>0</v>
      </c>
      <c r="X257" s="59">
        <f t="shared" si="95"/>
        <v>1917</v>
      </c>
      <c r="Y257" s="60" t="s">
        <v>113</v>
      </c>
      <c r="Z257" s="61"/>
      <c r="AA257" s="61"/>
      <c r="AB257" s="61"/>
      <c r="AC257" s="62"/>
    </row>
    <row r="258" spans="3:29" x14ac:dyDescent="0.2">
      <c r="C258" s="15">
        <v>45413</v>
      </c>
      <c r="D258" s="51">
        <v>0.219</v>
      </c>
      <c r="E258" s="52">
        <v>3.3999999999999998E-3</v>
      </c>
      <c r="F258" s="52">
        <f t="shared" si="101"/>
        <v>0.21560000000000001</v>
      </c>
      <c r="G258" s="53">
        <v>2820296</v>
      </c>
      <c r="H258" s="52"/>
      <c r="I258" s="54">
        <f t="shared" si="90"/>
        <v>2820296</v>
      </c>
      <c r="J258" s="54">
        <f t="shared" si="96"/>
        <v>3231792.75</v>
      </c>
      <c r="K258" s="54">
        <f t="shared" si="100"/>
        <v>696774.51690000005</v>
      </c>
      <c r="L258" s="54">
        <v>126602</v>
      </c>
      <c r="M258" s="54">
        <f t="shared" si="89"/>
        <v>570172.51690000005</v>
      </c>
      <c r="N258" s="54">
        <v>1917</v>
      </c>
      <c r="O258" s="54">
        <f t="shared" si="88"/>
        <v>572089.51690000005</v>
      </c>
      <c r="P258" s="54">
        <v>2995371.87</v>
      </c>
      <c r="R258" s="32">
        <f t="shared" si="91"/>
        <v>2995371.87</v>
      </c>
      <c r="S258" s="32">
        <f t="shared" si="97"/>
        <v>3627275.7208333327</v>
      </c>
      <c r="T258" s="29">
        <f t="shared" si="99"/>
        <v>0.15677967931685544</v>
      </c>
      <c r="V258" s="67">
        <v>1917</v>
      </c>
      <c r="W258" s="67">
        <v>0</v>
      </c>
      <c r="X258" s="59">
        <f t="shared" si="95"/>
        <v>1917</v>
      </c>
      <c r="Y258" s="60" t="s">
        <v>113</v>
      </c>
      <c r="Z258" s="61"/>
      <c r="AA258" s="61"/>
      <c r="AB258" s="61"/>
      <c r="AC258" s="62"/>
    </row>
    <row r="259" spans="3:29" x14ac:dyDescent="0.2">
      <c r="C259" s="15">
        <v>45444</v>
      </c>
      <c r="D259" s="51">
        <v>0.2006</v>
      </c>
      <c r="E259" s="52">
        <v>3.3999999999999998E-3</v>
      </c>
      <c r="F259" s="52">
        <f t="shared" si="101"/>
        <v>0.19720000000000001</v>
      </c>
      <c r="G259" s="53">
        <v>3182248</v>
      </c>
      <c r="H259" s="52"/>
      <c r="I259" s="54">
        <f t="shared" si="90"/>
        <v>3182248</v>
      </c>
      <c r="J259" s="54">
        <f t="shared" si="96"/>
        <v>3304484.3333333335</v>
      </c>
      <c r="K259" s="54">
        <f t="shared" si="100"/>
        <v>651644.31053333345</v>
      </c>
      <c r="L259" s="54">
        <v>134631</v>
      </c>
      <c r="M259" s="54">
        <f t="shared" si="89"/>
        <v>517013.31053333345</v>
      </c>
      <c r="N259" s="54">
        <v>1917</v>
      </c>
      <c r="O259" s="54">
        <f t="shared" si="88"/>
        <v>518930.31053333345</v>
      </c>
      <c r="P259" s="54">
        <v>3396738.0099999993</v>
      </c>
      <c r="R259" s="32">
        <f t="shared" si="91"/>
        <v>3396738.0099999993</v>
      </c>
      <c r="S259" s="32">
        <f t="shared" si="97"/>
        <v>3653595.9124999996</v>
      </c>
      <c r="T259" s="29">
        <f t="shared" si="99"/>
        <v>0.14306337606288005</v>
      </c>
      <c r="V259" s="67">
        <v>1917</v>
      </c>
      <c r="W259" s="67">
        <v>0</v>
      </c>
      <c r="X259" s="59">
        <f t="shared" si="95"/>
        <v>1917</v>
      </c>
      <c r="Y259" s="60" t="s">
        <v>113</v>
      </c>
      <c r="Z259" s="61"/>
      <c r="AA259" s="61"/>
      <c r="AB259" s="61"/>
      <c r="AC259" s="62"/>
    </row>
    <row r="260" spans="3:29" x14ac:dyDescent="0.2">
      <c r="C260" s="15">
        <v>45474</v>
      </c>
      <c r="D260" s="51">
        <v>0.1784</v>
      </c>
      <c r="E260" s="52">
        <v>3.3999999999999998E-3</v>
      </c>
      <c r="F260" s="52">
        <f t="shared" si="101"/>
        <v>0.17500000000000002</v>
      </c>
      <c r="G260" s="53">
        <v>3299499</v>
      </c>
      <c r="H260" s="52"/>
      <c r="I260" s="54">
        <f t="shared" si="90"/>
        <v>3299499</v>
      </c>
      <c r="J260" s="54">
        <f t="shared" si="96"/>
        <v>3310496.5</v>
      </c>
      <c r="K260" s="54">
        <f t="shared" si="100"/>
        <v>579336.88750000007</v>
      </c>
      <c r="L260" s="54">
        <v>116600</v>
      </c>
      <c r="M260" s="54">
        <f t="shared" si="89"/>
        <v>462736.88750000007</v>
      </c>
      <c r="N260" s="54">
        <v>1917</v>
      </c>
      <c r="O260" s="54">
        <f t="shared" si="88"/>
        <v>464653.88750000007</v>
      </c>
      <c r="P260" s="54">
        <v>4013680.58</v>
      </c>
      <c r="R260" s="32">
        <f t="shared" si="91"/>
        <v>4013680.58</v>
      </c>
      <c r="S260" s="32">
        <f t="shared" si="97"/>
        <v>3699396.6949999998</v>
      </c>
      <c r="T260" s="29">
        <f t="shared" si="99"/>
        <v>0.12717714236275715</v>
      </c>
      <c r="V260" s="67">
        <v>1917</v>
      </c>
      <c r="W260" s="67">
        <v>0</v>
      </c>
      <c r="X260" s="59">
        <f t="shared" si="95"/>
        <v>1917</v>
      </c>
      <c r="Y260" s="60" t="s">
        <v>113</v>
      </c>
      <c r="Z260" s="61"/>
      <c r="AA260" s="61"/>
      <c r="AB260" s="61"/>
      <c r="AC260" s="62"/>
    </row>
    <row r="261" spans="3:29" x14ac:dyDescent="0.2">
      <c r="C261" s="15">
        <v>45505</v>
      </c>
      <c r="D261" s="51">
        <v>0.1797</v>
      </c>
      <c r="E261" s="52">
        <v>3.3999999999999998E-3</v>
      </c>
      <c r="F261" s="52">
        <f t="shared" si="101"/>
        <v>0.17630000000000001</v>
      </c>
      <c r="G261" s="53">
        <v>3189513</v>
      </c>
      <c r="H261" s="52"/>
      <c r="I261" s="54">
        <f t="shared" si="90"/>
        <v>3189513</v>
      </c>
      <c r="J261" s="54">
        <f t="shared" si="96"/>
        <v>3286466.8333333335</v>
      </c>
      <c r="K261" s="54">
        <f t="shared" si="100"/>
        <v>579404.10271666676</v>
      </c>
      <c r="L261" s="54">
        <v>103178</v>
      </c>
      <c r="M261" s="54">
        <f t="shared" si="89"/>
        <v>476226.10271666676</v>
      </c>
      <c r="N261" s="54">
        <v>1918</v>
      </c>
      <c r="O261" s="54">
        <f t="shared" si="88"/>
        <v>478144.10271666676</v>
      </c>
      <c r="P261" s="54">
        <v>3534740.78</v>
      </c>
      <c r="R261" s="32">
        <f t="shared" si="91"/>
        <v>3534740.78</v>
      </c>
      <c r="S261" s="32">
        <f t="shared" si="97"/>
        <v>3674288.8483333332</v>
      </c>
      <c r="T261" s="29">
        <f t="shared" si="99"/>
        <v>0.12924921065181055</v>
      </c>
      <c r="V261" s="100">
        <f>11503-SUM(V256:V260)</f>
        <v>1918</v>
      </c>
      <c r="W261" s="67">
        <v>0</v>
      </c>
      <c r="X261" s="59">
        <f t="shared" ref="X261" si="102">SUM(V261:W261)</f>
        <v>1918</v>
      </c>
      <c r="Y261" s="60" t="s">
        <v>113</v>
      </c>
      <c r="Z261" s="61"/>
      <c r="AA261" s="61"/>
      <c r="AB261" s="61"/>
      <c r="AC261" s="62"/>
    </row>
    <row r="262" spans="3:29" x14ac:dyDescent="0.2">
      <c r="C262" s="15">
        <v>45536</v>
      </c>
      <c r="D262" s="51">
        <v>0.1832</v>
      </c>
      <c r="E262" s="52">
        <v>3.3999999999999998E-3</v>
      </c>
      <c r="F262" s="52">
        <f t="shared" si="101"/>
        <v>0.17980000000000002</v>
      </c>
      <c r="G262" s="53">
        <v>2910926</v>
      </c>
      <c r="H262" s="52"/>
      <c r="I262" s="54">
        <f t="shared" si="90"/>
        <v>2910926</v>
      </c>
      <c r="J262" s="54">
        <f t="shared" ref="J262" si="103">SUM(I251:I262)/12</f>
        <v>3284528.4166666665</v>
      </c>
      <c r="K262" s="54">
        <f t="shared" si="100"/>
        <v>590558.2093166667</v>
      </c>
      <c r="L262" s="54">
        <v>101140</v>
      </c>
      <c r="M262" s="54">
        <f t="shared" si="89"/>
        <v>489418.2093166667</v>
      </c>
      <c r="N262" s="54">
        <v>0</v>
      </c>
      <c r="O262" s="54">
        <f t="shared" si="88"/>
        <v>489418.2093166667</v>
      </c>
      <c r="P262" s="54">
        <v>3387335.6</v>
      </c>
      <c r="R262" s="32">
        <f t="shared" si="91"/>
        <v>3387335.6</v>
      </c>
      <c r="S262" s="32">
        <f t="shared" ref="S262" si="104">SUM(R251:R262)/12</f>
        <v>3687962.019166667</v>
      </c>
      <c r="T262" s="29">
        <f t="shared" si="99"/>
        <v>0.13320079871746285</v>
      </c>
      <c r="V262" s="67">
        <v>0</v>
      </c>
      <c r="W262" s="67">
        <v>0</v>
      </c>
      <c r="X262" s="59">
        <f t="shared" ref="X262:X273" si="105">SUM(V262:W262)</f>
        <v>0</v>
      </c>
      <c r="Y262" s="60"/>
      <c r="Z262" s="61"/>
      <c r="AA262" s="61"/>
      <c r="AB262" s="61"/>
      <c r="AC262" s="62"/>
    </row>
    <row r="263" spans="3:29" x14ac:dyDescent="0.2">
      <c r="C263" s="15">
        <v>45566</v>
      </c>
      <c r="D263" s="51">
        <v>0.19448424279942739</v>
      </c>
      <c r="E263" s="52">
        <v>3.3999999999999998E-3</v>
      </c>
      <c r="F263" s="52">
        <f t="shared" si="101"/>
        <v>0.1910842427994274</v>
      </c>
      <c r="G263" s="53">
        <v>1971289</v>
      </c>
      <c r="H263" s="52"/>
      <c r="I263" s="54">
        <f t="shared" si="90"/>
        <v>1971289</v>
      </c>
      <c r="J263" s="54">
        <f t="shared" ref="J263:J273" si="106">SUM(I252:I263)/12</f>
        <v>3213184.4166666665</v>
      </c>
      <c r="K263" s="54">
        <f t="shared" si="100"/>
        <v>613988.91123366985</v>
      </c>
      <c r="L263" s="54">
        <v>0</v>
      </c>
      <c r="M263" s="54">
        <f t="shared" si="89"/>
        <v>613988.91123366985</v>
      </c>
      <c r="N263" s="54">
        <v>0</v>
      </c>
      <c r="O263" s="54">
        <f t="shared" si="88"/>
        <v>613988.91123366985</v>
      </c>
      <c r="P263" s="54">
        <v>3408597.26</v>
      </c>
      <c r="R263" s="32">
        <f t="shared" si="91"/>
        <v>3408597.26</v>
      </c>
      <c r="S263" s="32">
        <f t="shared" ref="S263:S273" si="107">SUM(R252:R263)/12</f>
        <v>3716899.4250000003</v>
      </c>
      <c r="T263" s="29">
        <f t="shared" si="99"/>
        <v>0.16648460804170834</v>
      </c>
      <c r="V263" s="67">
        <v>0</v>
      </c>
      <c r="W263" s="67">
        <v>0</v>
      </c>
      <c r="X263" s="59">
        <f t="shared" si="105"/>
        <v>0</v>
      </c>
      <c r="Y263" s="60"/>
      <c r="Z263" s="61"/>
      <c r="AA263" s="61"/>
      <c r="AB263" s="61"/>
      <c r="AC263" s="62"/>
    </row>
    <row r="264" spans="3:29" x14ac:dyDescent="0.2">
      <c r="C264" s="15">
        <v>45597</v>
      </c>
      <c r="D264" s="51">
        <v>0.2298</v>
      </c>
      <c r="E264" s="52">
        <v>3.3999999999999998E-3</v>
      </c>
      <c r="F264" s="52">
        <f t="shared" si="101"/>
        <v>0.22640000000000002</v>
      </c>
      <c r="G264" s="53">
        <v>2280311</v>
      </c>
      <c r="H264" s="52"/>
      <c r="I264" s="54">
        <f t="shared" si="90"/>
        <v>2280311</v>
      </c>
      <c r="J264" s="54">
        <f t="shared" si="106"/>
        <v>3119141.1666666665</v>
      </c>
      <c r="K264" s="54">
        <f t="shared" si="100"/>
        <v>706173.56013333332</v>
      </c>
      <c r="L264" s="54">
        <v>0</v>
      </c>
      <c r="M264" s="54">
        <f t="shared" si="89"/>
        <v>706173.56013333332</v>
      </c>
      <c r="N264" s="54">
        <v>0</v>
      </c>
      <c r="O264" s="54">
        <f t="shared" si="88"/>
        <v>706173.56013333332</v>
      </c>
      <c r="P264" s="54">
        <v>3052649.05</v>
      </c>
      <c r="R264" s="32">
        <f t="shared" si="91"/>
        <v>3052649.05</v>
      </c>
      <c r="S264" s="32">
        <f t="shared" si="107"/>
        <v>3648476.5216666665</v>
      </c>
      <c r="T264" s="29">
        <f t="shared" si="99"/>
        <v>0.18998995651687112</v>
      </c>
      <c r="V264" s="67">
        <v>0</v>
      </c>
      <c r="W264" s="67">
        <v>0</v>
      </c>
      <c r="X264" s="59">
        <f t="shared" si="105"/>
        <v>0</v>
      </c>
      <c r="Y264" s="60"/>
      <c r="Z264" s="61"/>
      <c r="AA264" s="61"/>
      <c r="AB264" s="61"/>
      <c r="AC264" s="62"/>
    </row>
    <row r="265" spans="3:29" x14ac:dyDescent="0.2">
      <c r="C265" s="15">
        <v>45627</v>
      </c>
      <c r="D265" s="51">
        <v>0.21010000000000001</v>
      </c>
      <c r="E265" s="52">
        <v>3.3999999999999998E-3</v>
      </c>
      <c r="F265" s="52">
        <f t="shared" si="101"/>
        <v>0.20670000000000002</v>
      </c>
      <c r="G265" s="53">
        <v>3112261</v>
      </c>
      <c r="H265" s="52"/>
      <c r="I265" s="54">
        <f t="shared" si="90"/>
        <v>3112261</v>
      </c>
      <c r="J265" s="54">
        <f t="shared" si="106"/>
        <v>3076793.5</v>
      </c>
      <c r="K265" s="54">
        <f t="shared" si="100"/>
        <v>635973.21645000007</v>
      </c>
      <c r="L265" s="54">
        <v>0</v>
      </c>
      <c r="M265" s="54">
        <f t="shared" si="89"/>
        <v>635973.21645000007</v>
      </c>
      <c r="N265" s="54">
        <v>0</v>
      </c>
      <c r="O265" s="54">
        <f t="shared" si="88"/>
        <v>635973.21645000007</v>
      </c>
      <c r="P265" s="54">
        <v>4475392.41</v>
      </c>
      <c r="R265" s="32">
        <f t="shared" si="91"/>
        <v>4475392.41</v>
      </c>
      <c r="S265" s="32">
        <f t="shared" si="107"/>
        <v>3690097.3175000004</v>
      </c>
      <c r="T265" s="29">
        <f t="shared" si="99"/>
        <v>0.17431199369743514</v>
      </c>
      <c r="V265" s="67">
        <v>0</v>
      </c>
      <c r="W265" s="67">
        <v>0</v>
      </c>
      <c r="X265" s="59">
        <f t="shared" si="105"/>
        <v>0</v>
      </c>
      <c r="Y265" s="60"/>
      <c r="Z265" s="61"/>
      <c r="AA265" s="61"/>
      <c r="AB265" s="61"/>
      <c r="AC265" s="62"/>
    </row>
    <row r="266" spans="3:29" x14ac:dyDescent="0.2">
      <c r="C266" s="15">
        <v>45658</v>
      </c>
      <c r="D266" s="51">
        <v>0.15939999999999999</v>
      </c>
      <c r="E266" s="52">
        <v>3.3999999999999998E-3</v>
      </c>
      <c r="F266" s="52">
        <f t="shared" si="101"/>
        <v>0.156</v>
      </c>
      <c r="G266" s="53">
        <v>4305825</v>
      </c>
      <c r="H266" s="52"/>
      <c r="I266" s="54">
        <f t="shared" si="90"/>
        <v>4305825</v>
      </c>
      <c r="J266" s="54">
        <f t="shared" si="106"/>
        <v>3055718</v>
      </c>
      <c r="K266" s="54">
        <f t="shared" si="100"/>
        <v>476692.00799999997</v>
      </c>
      <c r="L266" s="54">
        <v>0</v>
      </c>
      <c r="M266" s="54">
        <f t="shared" si="89"/>
        <v>476692.00799999997</v>
      </c>
      <c r="N266" s="54">
        <v>0</v>
      </c>
      <c r="O266" s="54">
        <f t="shared" si="88"/>
        <v>476692.00799999997</v>
      </c>
      <c r="P266" s="54">
        <v>5743153.71</v>
      </c>
      <c r="R266" s="32">
        <f t="shared" si="91"/>
        <v>5743153.71</v>
      </c>
      <c r="S266" s="32">
        <f t="shared" si="107"/>
        <v>3729790.8399999994</v>
      </c>
      <c r="T266" s="29">
        <f t="shared" si="99"/>
        <v>0.12918141907513525</v>
      </c>
      <c r="V266" s="67">
        <v>0</v>
      </c>
      <c r="W266" s="67">
        <v>0</v>
      </c>
      <c r="X266" s="59">
        <f t="shared" si="105"/>
        <v>0</v>
      </c>
      <c r="Y266" s="60"/>
      <c r="Z266" s="61"/>
      <c r="AA266" s="61"/>
      <c r="AB266" s="61"/>
      <c r="AC266" s="62"/>
    </row>
    <row r="267" spans="3:29" x14ac:dyDescent="0.2">
      <c r="C267" s="15">
        <v>45689</v>
      </c>
      <c r="D267" s="51">
        <v>9.1800000000000007E-2</v>
      </c>
      <c r="E267" s="52">
        <v>3.3999999999999998E-3</v>
      </c>
      <c r="F267" s="52">
        <f t="shared" si="101"/>
        <v>8.8400000000000006E-2</v>
      </c>
      <c r="G267" s="53">
        <v>3861223</v>
      </c>
      <c r="H267" s="52"/>
      <c r="I267" s="54">
        <f t="shared" si="90"/>
        <v>3861223</v>
      </c>
      <c r="J267" s="54">
        <f t="shared" si="106"/>
        <v>3060539.4166666665</v>
      </c>
      <c r="K267" s="54">
        <f t="shared" si="100"/>
        <v>270551.68443333334</v>
      </c>
      <c r="L267" s="54">
        <v>0</v>
      </c>
      <c r="M267" s="54">
        <f t="shared" si="89"/>
        <v>270551.68443333334</v>
      </c>
      <c r="N267" s="54">
        <v>0</v>
      </c>
      <c r="O267" s="54">
        <f t="shared" si="88"/>
        <v>270551.68443333334</v>
      </c>
      <c r="P267" s="54">
        <v>4280922.92</v>
      </c>
      <c r="R267" s="32">
        <f t="shared" si="91"/>
        <v>4280922.92</v>
      </c>
      <c r="S267" s="32">
        <f t="shared" si="107"/>
        <v>3749402.3008333337</v>
      </c>
      <c r="T267" s="29">
        <f t="shared" si="99"/>
        <v>7.2538031230012193E-2</v>
      </c>
      <c r="V267" s="67">
        <v>0</v>
      </c>
      <c r="W267" s="67">
        <v>0</v>
      </c>
      <c r="X267" s="59">
        <f t="shared" si="105"/>
        <v>0</v>
      </c>
      <c r="Y267" s="60"/>
      <c r="Z267" s="61"/>
      <c r="AA267" s="61"/>
      <c r="AB267" s="61"/>
      <c r="AC267" s="62"/>
    </row>
    <row r="268" spans="3:29" x14ac:dyDescent="0.2">
      <c r="C268" s="101">
        <v>45717</v>
      </c>
      <c r="D268" s="102">
        <v>0.1255</v>
      </c>
      <c r="E268" s="103">
        <v>3.3999999999999998E-3</v>
      </c>
      <c r="F268" s="103">
        <f t="shared" si="101"/>
        <v>0.1221</v>
      </c>
      <c r="G268" s="104">
        <v>2861134</v>
      </c>
      <c r="H268" s="103"/>
      <c r="I268" s="105">
        <f t="shared" si="90"/>
        <v>2861134</v>
      </c>
      <c r="J268" s="105">
        <f t="shared" si="106"/>
        <v>3025632.8333333335</v>
      </c>
      <c r="K268" s="105">
        <f t="shared" si="100"/>
        <v>369429.76895</v>
      </c>
      <c r="L268" s="105">
        <v>0</v>
      </c>
      <c r="M268" s="105">
        <f t="shared" si="89"/>
        <v>369429.76895</v>
      </c>
      <c r="N268" s="105">
        <v>73830</v>
      </c>
      <c r="O268" s="105">
        <f t="shared" si="88"/>
        <v>443259.76895</v>
      </c>
      <c r="P268" s="105">
        <v>4060429.5300000003</v>
      </c>
      <c r="Q268" s="106"/>
      <c r="R268" s="107">
        <f t="shared" si="91"/>
        <v>4060429.5300000003</v>
      </c>
      <c r="S268" s="107">
        <f t="shared" si="107"/>
        <v>3795814.2516666669</v>
      </c>
      <c r="T268" s="108">
        <f t="shared" si="99"/>
        <v>0.11822144794957908</v>
      </c>
      <c r="V268" s="67">
        <v>0</v>
      </c>
      <c r="W268" s="67">
        <v>0</v>
      </c>
      <c r="X268" s="59">
        <f t="shared" si="105"/>
        <v>0</v>
      </c>
      <c r="Y268" s="60"/>
      <c r="Z268" s="61"/>
      <c r="AA268" s="61"/>
      <c r="AB268" s="61"/>
      <c r="AC268" s="62"/>
    </row>
    <row r="269" spans="3:29" x14ac:dyDescent="0.2">
      <c r="C269" s="15">
        <v>45748</v>
      </c>
      <c r="D269" s="51">
        <v>0.1865</v>
      </c>
      <c r="E269" s="52">
        <v>3.3999999999999998E-3</v>
      </c>
      <c r="F269" s="52">
        <f t="shared" si="101"/>
        <v>0.18310000000000001</v>
      </c>
      <c r="G269" s="53">
        <v>2744246</v>
      </c>
      <c r="H269" s="52"/>
      <c r="I269" s="54">
        <f t="shared" si="90"/>
        <v>2744246</v>
      </c>
      <c r="J269" s="54">
        <f t="shared" si="106"/>
        <v>3044897.5833333335</v>
      </c>
      <c r="K269" s="54">
        <f t="shared" si="100"/>
        <v>557520.74750833341</v>
      </c>
      <c r="L269" s="54">
        <v>69365</v>
      </c>
      <c r="M269" s="54">
        <f t="shared" si="89"/>
        <v>488155.74750833341</v>
      </c>
      <c r="N269" s="54">
        <v>0</v>
      </c>
      <c r="O269" s="54">
        <f t="shared" si="88"/>
        <v>488155.74750833341</v>
      </c>
      <c r="P269" s="54">
        <v>3215941.01</v>
      </c>
      <c r="R269" s="32">
        <f t="shared" si="91"/>
        <v>3215941.01</v>
      </c>
      <c r="S269" s="32">
        <f t="shared" si="107"/>
        <v>3797079.394166667</v>
      </c>
      <c r="T269" s="29">
        <f t="shared" si="99"/>
        <v>0.12860369742644648</v>
      </c>
      <c r="V269" s="67">
        <v>0</v>
      </c>
      <c r="W269" s="67">
        <v>0</v>
      </c>
      <c r="X269" s="59">
        <f t="shared" si="105"/>
        <v>0</v>
      </c>
      <c r="Y269" s="60"/>
      <c r="Z269" s="61"/>
      <c r="AA269" s="61"/>
      <c r="AB269" s="61"/>
      <c r="AC269" s="62"/>
    </row>
    <row r="270" spans="3:29" x14ac:dyDescent="0.2">
      <c r="C270" s="15">
        <v>45778</v>
      </c>
      <c r="D270" s="51">
        <v>0.21809999999999999</v>
      </c>
      <c r="E270" s="52">
        <v>3.3999999999999998E-3</v>
      </c>
      <c r="F270" s="52">
        <f t="shared" si="101"/>
        <v>0.2147</v>
      </c>
      <c r="G270" s="53">
        <v>2531119</v>
      </c>
      <c r="H270" s="52"/>
      <c r="I270" s="54">
        <f t="shared" si="90"/>
        <v>2531119</v>
      </c>
      <c r="J270" s="54">
        <f t="shared" si="106"/>
        <v>3020799.5</v>
      </c>
      <c r="K270" s="54">
        <f t="shared" si="100"/>
        <v>648565.65265000006</v>
      </c>
      <c r="L270" s="54">
        <v>115638</v>
      </c>
      <c r="M270" s="54">
        <f t="shared" si="89"/>
        <v>532927.65265000006</v>
      </c>
      <c r="N270" s="54">
        <v>0</v>
      </c>
      <c r="O270" s="54">
        <f t="shared" si="88"/>
        <v>532927.65265000006</v>
      </c>
      <c r="P270" s="54">
        <v>3154990.61</v>
      </c>
      <c r="R270" s="32">
        <f t="shared" si="91"/>
        <v>3154990.61</v>
      </c>
      <c r="S270" s="32">
        <f t="shared" si="107"/>
        <v>3810380.9558333331</v>
      </c>
      <c r="T270" s="29">
        <f t="shared" si="99"/>
        <v>0.14035199091931549</v>
      </c>
      <c r="V270" s="67">
        <v>0</v>
      </c>
      <c r="W270" s="67">
        <v>0</v>
      </c>
      <c r="X270" s="59">
        <f t="shared" si="105"/>
        <v>0</v>
      </c>
      <c r="Y270" s="60"/>
      <c r="Z270" s="61"/>
      <c r="AA270" s="61"/>
      <c r="AB270" s="61"/>
      <c r="AC270" s="62"/>
    </row>
    <row r="271" spans="3:29" x14ac:dyDescent="0.2">
      <c r="C271" s="15">
        <v>45809</v>
      </c>
      <c r="D271" s="51">
        <v>0.24990000000000001</v>
      </c>
      <c r="E271" s="52">
        <v>3.3999999999999998E-3</v>
      </c>
      <c r="F271" s="52">
        <f t="shared" si="101"/>
        <v>0.24650000000000002</v>
      </c>
      <c r="G271" s="53">
        <v>3033216</v>
      </c>
      <c r="H271" s="52"/>
      <c r="I271" s="54">
        <f t="shared" si="90"/>
        <v>3033216</v>
      </c>
      <c r="J271" s="54">
        <f t="shared" si="106"/>
        <v>3008380.1666666665</v>
      </c>
      <c r="K271" s="54">
        <f t="shared" si="100"/>
        <v>741565.71108333336</v>
      </c>
      <c r="L271" s="54">
        <v>132403</v>
      </c>
      <c r="M271" s="54">
        <f t="shared" si="89"/>
        <v>609162.71108333336</v>
      </c>
      <c r="N271" s="54">
        <v>0</v>
      </c>
      <c r="O271" s="54">
        <f t="shared" si="88"/>
        <v>609162.71108333336</v>
      </c>
      <c r="P271" s="54">
        <v>3230067.8399999994</v>
      </c>
      <c r="R271" s="32">
        <f t="shared" si="91"/>
        <v>3230067.8399999994</v>
      </c>
      <c r="S271" s="32">
        <f t="shared" si="107"/>
        <v>3796491.7749999999</v>
      </c>
      <c r="T271" s="29">
        <f t="shared" si="99"/>
        <v>0.15986924093528307</v>
      </c>
      <c r="V271" s="67">
        <v>0</v>
      </c>
      <c r="W271" s="67">
        <v>0</v>
      </c>
      <c r="X271" s="59">
        <f t="shared" si="105"/>
        <v>0</v>
      </c>
      <c r="Y271" s="60"/>
      <c r="Z271" s="61"/>
      <c r="AA271" s="61"/>
      <c r="AB271" s="61"/>
      <c r="AC271" s="62"/>
    </row>
    <row r="272" spans="3:29" x14ac:dyDescent="0.2">
      <c r="C272" s="15">
        <v>45839</v>
      </c>
      <c r="D272" s="51">
        <v>0.22850000000000001</v>
      </c>
      <c r="E272" s="52">
        <v>3.3999999999999998E-3</v>
      </c>
      <c r="F272" s="52">
        <f t="shared" si="101"/>
        <v>0.22510000000000002</v>
      </c>
      <c r="G272" s="53">
        <v>3499698</v>
      </c>
      <c r="H272" s="52"/>
      <c r="I272" s="54">
        <f t="shared" si="90"/>
        <v>3499698</v>
      </c>
      <c r="J272" s="54">
        <f t="shared" si="106"/>
        <v>3025063.4166666665</v>
      </c>
      <c r="K272" s="54">
        <f t="shared" si="100"/>
        <v>680941.77509166673</v>
      </c>
      <c r="L272" s="54">
        <v>156548</v>
      </c>
      <c r="M272" s="54">
        <f t="shared" si="89"/>
        <v>524393.77509166673</v>
      </c>
      <c r="N272" s="54">
        <v>41199</v>
      </c>
      <c r="O272" s="54">
        <f t="shared" si="88"/>
        <v>565592.77509166673</v>
      </c>
      <c r="P272" s="54">
        <v>4291477.99</v>
      </c>
      <c r="R272" s="32">
        <f t="shared" si="91"/>
        <v>4291477.99</v>
      </c>
      <c r="S272" s="32">
        <f t="shared" si="107"/>
        <v>3819641.5591666666</v>
      </c>
      <c r="T272" s="29">
        <f t="shared" si="99"/>
        <v>0.14897774277192177</v>
      </c>
      <c r="V272" s="67">
        <v>41199</v>
      </c>
      <c r="W272" s="67">
        <v>0</v>
      </c>
      <c r="X272" s="59">
        <f t="shared" si="105"/>
        <v>41199</v>
      </c>
      <c r="Y272" s="60" t="s">
        <v>116</v>
      </c>
      <c r="Z272" s="61"/>
      <c r="AA272" s="61"/>
      <c r="AB272" s="61"/>
      <c r="AC272" s="62"/>
    </row>
    <row r="273" spans="2:29" x14ac:dyDescent="0.2">
      <c r="C273" s="15">
        <v>45870</v>
      </c>
      <c r="D273" s="51">
        <v>0.17730000000000001</v>
      </c>
      <c r="E273" s="52">
        <v>3.3999999999999998E-3</v>
      </c>
      <c r="F273" s="52">
        <f t="shared" si="101"/>
        <v>0.17390000000000003</v>
      </c>
      <c r="G273" s="53">
        <v>3100766</v>
      </c>
      <c r="H273" s="52"/>
      <c r="I273" s="54">
        <f t="shared" si="90"/>
        <v>3100766</v>
      </c>
      <c r="J273" s="54">
        <f t="shared" si="106"/>
        <v>3017667.8333333335</v>
      </c>
      <c r="K273" s="54">
        <f t="shared" si="100"/>
        <v>524772.43621666683</v>
      </c>
      <c r="L273" s="54">
        <v>147018</v>
      </c>
      <c r="M273" s="54">
        <f t="shared" si="89"/>
        <v>377754.43621666683</v>
      </c>
      <c r="N273" s="54">
        <v>41199</v>
      </c>
      <c r="O273" s="54">
        <f t="shared" ref="O273" si="108">+M273+N273</f>
        <v>418953.43621666683</v>
      </c>
      <c r="P273" s="54">
        <v>3858624</v>
      </c>
      <c r="R273" s="32">
        <f t="shared" si="91"/>
        <v>3858624</v>
      </c>
      <c r="S273" s="32">
        <f t="shared" si="107"/>
        <v>3846631.8275000001</v>
      </c>
      <c r="T273" s="29">
        <f t="shared" si="99"/>
        <v>0.10968396634266125</v>
      </c>
      <c r="V273" s="67">
        <v>41199</v>
      </c>
      <c r="W273" s="67">
        <v>0</v>
      </c>
      <c r="X273" s="59">
        <f t="shared" si="105"/>
        <v>41199</v>
      </c>
      <c r="Y273" s="60" t="s">
        <v>116</v>
      </c>
      <c r="Z273" s="61"/>
      <c r="AA273" s="61"/>
      <c r="AB273" s="61"/>
      <c r="AC273" s="62"/>
    </row>
    <row r="274" spans="2:29" x14ac:dyDescent="0.2">
      <c r="C274" s="15"/>
      <c r="D274" s="51"/>
      <c r="E274" s="52"/>
      <c r="F274" s="52"/>
      <c r="G274" s="53"/>
      <c r="H274" s="52"/>
      <c r="I274" s="54"/>
      <c r="J274" s="54"/>
      <c r="K274" s="54"/>
      <c r="L274" s="54"/>
      <c r="M274" s="54"/>
      <c r="N274" s="54"/>
      <c r="O274" s="54"/>
      <c r="P274" s="54"/>
      <c r="R274" s="32"/>
      <c r="S274" s="32"/>
      <c r="T274" s="29"/>
    </row>
    <row r="275" spans="2:29" x14ac:dyDescent="0.2">
      <c r="C275" t="s">
        <v>64</v>
      </c>
      <c r="E275" t="s">
        <v>114</v>
      </c>
    </row>
    <row r="276" spans="2:29" x14ac:dyDescent="0.2">
      <c r="C276" t="s">
        <v>65</v>
      </c>
    </row>
    <row r="277" spans="2:29" x14ac:dyDescent="0.2">
      <c r="C277" t="s">
        <v>66</v>
      </c>
    </row>
    <row r="279" spans="2:29" ht="38.25" x14ac:dyDescent="0.2">
      <c r="B279" s="68"/>
      <c r="C279" s="38"/>
      <c r="D279" s="38"/>
      <c r="E279" s="69" t="s">
        <v>96</v>
      </c>
      <c r="F279" s="69" t="s">
        <v>97</v>
      </c>
      <c r="G279" s="70" t="s">
        <v>98</v>
      </c>
      <c r="H279" s="69" t="s">
        <v>99</v>
      </c>
      <c r="I279" s="70" t="s">
        <v>100</v>
      </c>
      <c r="J279" s="68"/>
      <c r="K279" s="71"/>
      <c r="O279" s="38"/>
      <c r="R279" s="23"/>
      <c r="S279" s="55"/>
    </row>
    <row r="280" spans="2:29" ht="14.25" x14ac:dyDescent="0.2">
      <c r="B280" s="68"/>
      <c r="C280" s="55" t="s">
        <v>101</v>
      </c>
      <c r="D280" s="38" t="s">
        <v>101</v>
      </c>
      <c r="E280" s="72">
        <v>2998614</v>
      </c>
      <c r="F280" s="72">
        <v>-550967</v>
      </c>
      <c r="G280" s="99">
        <v>0</v>
      </c>
      <c r="H280" s="74"/>
      <c r="I280" s="74">
        <f>E280+F280-G280-H280</f>
        <v>2447647</v>
      </c>
      <c r="J280" s="68"/>
      <c r="K280" s="75"/>
      <c r="O280" s="38"/>
      <c r="Q280" s="91"/>
      <c r="R280" s="92"/>
      <c r="S280" s="93"/>
    </row>
    <row r="281" spans="2:29" ht="14.25" x14ac:dyDescent="0.2">
      <c r="B281" s="68"/>
      <c r="C281" s="55" t="s">
        <v>102</v>
      </c>
      <c r="D281" s="38" t="s">
        <v>103</v>
      </c>
      <c r="E281" s="76">
        <v>0</v>
      </c>
      <c r="F281" s="76">
        <v>0</v>
      </c>
      <c r="G281" s="77">
        <v>0</v>
      </c>
      <c r="H281" s="78"/>
      <c r="I281" s="78">
        <f>E281+F281-G281-H281</f>
        <v>0</v>
      </c>
      <c r="J281" s="68"/>
      <c r="K281" s="75"/>
      <c r="O281" s="38"/>
      <c r="Q281" s="94"/>
      <c r="R281" s="95"/>
      <c r="S281" s="96"/>
    </row>
    <row r="282" spans="2:29" ht="14.25" x14ac:dyDescent="0.2">
      <c r="B282" s="68"/>
      <c r="C282" s="55" t="s">
        <v>104</v>
      </c>
      <c r="D282" s="38" t="s">
        <v>100</v>
      </c>
      <c r="E282" s="74">
        <f>E280+E281</f>
        <v>2998614</v>
      </c>
      <c r="F282" s="74">
        <f t="shared" ref="F282:I282" si="109">F280+F281</f>
        <v>-550967</v>
      </c>
      <c r="G282" s="74">
        <f t="shared" si="109"/>
        <v>0</v>
      </c>
      <c r="H282" s="74">
        <f t="shared" si="109"/>
        <v>0</v>
      </c>
      <c r="I282" s="74">
        <f t="shared" si="109"/>
        <v>2447647</v>
      </c>
      <c r="J282" s="68"/>
      <c r="K282" s="79"/>
      <c r="O282" s="38"/>
      <c r="Q282" s="97"/>
      <c r="R282" s="97"/>
      <c r="S282" s="93"/>
    </row>
    <row r="283" spans="2:29" ht="14.25" x14ac:dyDescent="0.2">
      <c r="B283" s="68"/>
      <c r="C283" s="55"/>
      <c r="D283" s="38"/>
      <c r="E283" s="56"/>
      <c r="F283" s="56"/>
      <c r="G283" s="80"/>
      <c r="H283" s="81"/>
      <c r="I283" s="80"/>
      <c r="J283" s="68"/>
      <c r="K283" s="68"/>
    </row>
    <row r="284" spans="2:29" ht="14.25" x14ac:dyDescent="0.2">
      <c r="B284" s="68"/>
      <c r="C284" s="55" t="s">
        <v>105</v>
      </c>
      <c r="D284" s="38" t="s">
        <v>111</v>
      </c>
      <c r="E284" s="56">
        <v>351543</v>
      </c>
      <c r="F284" s="56">
        <v>-61831</v>
      </c>
      <c r="G284" s="72">
        <f>20853+15032</f>
        <v>35885</v>
      </c>
      <c r="H284" s="74">
        <v>0</v>
      </c>
      <c r="I284" s="73">
        <f>E284+F284-G284-H284</f>
        <v>253827</v>
      </c>
      <c r="J284" s="68"/>
      <c r="K284" s="68"/>
    </row>
    <row r="285" spans="2:29" ht="15" thickBot="1" x14ac:dyDescent="0.25">
      <c r="B285" s="82"/>
      <c r="C285" s="55" t="s">
        <v>105</v>
      </c>
      <c r="D285" s="38" t="s">
        <v>106</v>
      </c>
      <c r="E285" s="83">
        <v>484479</v>
      </c>
      <c r="F285" s="83">
        <v>-85187</v>
      </c>
      <c r="G285" s="76">
        <v>0</v>
      </c>
      <c r="H285" s="83"/>
      <c r="I285" s="98">
        <f>E285+F285-G285-H285</f>
        <v>399292</v>
      </c>
      <c r="J285" s="82"/>
      <c r="K285" s="68"/>
    </row>
    <row r="286" spans="2:29" ht="15" thickBot="1" x14ac:dyDescent="0.25">
      <c r="B286" s="82"/>
      <c r="C286" s="55"/>
      <c r="D286" s="38"/>
      <c r="E286" s="84">
        <f>E282+E284+E285</f>
        <v>3834636</v>
      </c>
      <c r="F286" s="84">
        <f>F282+F284+F285</f>
        <v>-697985</v>
      </c>
      <c r="G286" s="84">
        <f t="shared" ref="G286:I286" si="110">G282+G284+G285</f>
        <v>35885</v>
      </c>
      <c r="H286" s="84">
        <f t="shared" si="110"/>
        <v>0</v>
      </c>
      <c r="I286" s="86">
        <f t="shared" si="110"/>
        <v>3100766</v>
      </c>
      <c r="J286" s="82" t="s">
        <v>107</v>
      </c>
      <c r="K286" s="68"/>
    </row>
    <row r="287" spans="2:29" ht="15" thickBot="1" x14ac:dyDescent="0.25">
      <c r="B287" s="82"/>
      <c r="C287" s="55"/>
      <c r="D287" s="38"/>
      <c r="E287" s="85"/>
      <c r="F287" s="85"/>
      <c r="G287" s="73"/>
      <c r="H287" s="38"/>
      <c r="I287" s="73"/>
      <c r="J287" s="82"/>
      <c r="K287" s="68"/>
    </row>
    <row r="288" spans="2:29" ht="15" thickBot="1" x14ac:dyDescent="0.25">
      <c r="B288" s="82"/>
      <c r="C288" s="55"/>
      <c r="D288" s="38" t="s">
        <v>108</v>
      </c>
      <c r="E288" s="38"/>
      <c r="F288" s="86">
        <f>-(F284+F285)</f>
        <v>147018</v>
      </c>
      <c r="G288" s="73" t="s">
        <v>109</v>
      </c>
      <c r="H288" s="38"/>
      <c r="I288" s="73"/>
      <c r="J288" s="82"/>
      <c r="K288" s="68"/>
    </row>
    <row r="289" spans="2:11" ht="14.25" x14ac:dyDescent="0.2">
      <c r="B289" s="68"/>
      <c r="C289" s="68"/>
      <c r="D289" s="68"/>
      <c r="E289" s="68"/>
      <c r="F289" s="87"/>
      <c r="G289" s="68"/>
      <c r="H289" s="88"/>
      <c r="I289" s="88"/>
      <c r="J289" s="68"/>
      <c r="K289" s="68"/>
    </row>
    <row r="290" spans="2:11" ht="15" x14ac:dyDescent="0.2">
      <c r="B290" s="68"/>
      <c r="C290" s="89"/>
      <c r="D290" s="68" t="s">
        <v>110</v>
      </c>
      <c r="E290" s="68"/>
      <c r="F290" s="68"/>
      <c r="G290" s="87"/>
      <c r="H290" s="68"/>
      <c r="I290" s="68"/>
      <c r="J290" s="68"/>
      <c r="K290" s="68"/>
    </row>
    <row r="291" spans="2:11" ht="14.25" x14ac:dyDescent="0.2">
      <c r="B291" s="68"/>
      <c r="C291" s="90"/>
      <c r="D291" s="68" t="s">
        <v>112</v>
      </c>
      <c r="E291" s="68"/>
      <c r="F291" s="68"/>
      <c r="G291" s="87"/>
      <c r="H291" s="68"/>
      <c r="I291" s="68"/>
      <c r="J291" s="68"/>
      <c r="K29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 Recovery</vt:lpstr>
      <vt:lpstr>Recovery</vt:lpstr>
      <vt:lpstr>'No Recovery'!Print_Area</vt:lpstr>
    </vt:vector>
  </TitlesOfParts>
  <Company>ekpc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Robert D. Tolliver</cp:lastModifiedBy>
  <cp:lastPrinted>2024-02-19T14:15:14Z</cp:lastPrinted>
  <dcterms:created xsi:type="dcterms:W3CDTF">2005-04-25T17:39:31Z</dcterms:created>
  <dcterms:modified xsi:type="dcterms:W3CDTF">2025-09-29T13:45:29Z</dcterms:modified>
</cp:coreProperties>
</file>