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threadedComments/threadedComment4.xml" ContentType="application/vnd.ms-excel.threadedcomments+xml"/>
  <Override PartName="/xl/comments6.xml" ContentType="application/vnd.openxmlformats-officedocument.spreadsheetml.comments+xml"/>
  <Override PartName="/xl/threadedComments/threadedComment5.xml" ContentType="application/vnd.ms-excel.threadedcomments+xml"/>
  <Override PartName="/xl/comments7.xml" ContentType="application/vnd.openxmlformats-officedocument.spreadsheetml.comments+xml"/>
  <Override PartName="/xl/threadedComments/threadedComment6.xml" ContentType="application/vnd.ms-excel.threadedcomments+xml"/>
  <Override PartName="/xl/comments8.xml" ContentType="application/vnd.openxmlformats-officedocument.spreadsheetml.comments+xml"/>
  <Override PartName="/xl/threadedComments/threadedComment7.xml" ContentType="application/vnd.ms-excel.threadedcomments+xml"/>
  <Override PartName="/xl/comments9.xml" ContentType="application/vnd.openxmlformats-officedocument.spreadsheetml.comments+xml"/>
  <Override PartName="/xl/threadedComments/threadedComment8.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Z:\Internal\01_Regulatory Services\02_Cases\2025 Cases\2025-00264 May 2025 Storm Deferral\05_Application Package\New folder\"/>
    </mc:Choice>
  </mc:AlternateContent>
  <xr:revisionPtr revIDLastSave="0" documentId="8_{C396E968-9968-4F7F-8F68-8312154339D9}" xr6:coauthVersionLast="47" xr6:coauthVersionMax="47" xr10:uidLastSave="{00000000-0000-0000-0000-000000000000}"/>
  <bookViews>
    <workbookView xWindow="38280" yWindow="-120" windowWidth="38640" windowHeight="21120" tabRatio="1000" xr2:uid="{00000000-000D-0000-FFFF-FFFF00000000}"/>
  </bookViews>
  <sheets>
    <sheet name="Summary" sheetId="1" r:id="rId1"/>
    <sheet name="2023-00159" sheetId="28" r:id="rId2"/>
    <sheet name="JMED_Jan 05 Snow-Ice Distr" sheetId="25" r:id="rId3"/>
    <sheet name="Feb 11 Snowstorm_Dist" sheetId="15" r:id="rId4"/>
    <sheet name="JMED Feb 15 Thunderstorm_Dist" sheetId="26" r:id="rId5"/>
    <sheet name="JMED_Feb 15 Thunderstorm_Trans" sheetId="27" r:id="rId6"/>
    <sheet name="Mar 31 Thunderstorm Event" sheetId="8" r:id="rId7"/>
    <sheet name="Apr 3 Thunderstorm_Distr" sheetId="11" r:id="rId8"/>
    <sheet name="May 1 Thunderstorm_Distr" sheetId="23" r:id="rId9"/>
    <sheet name="JMED_May 16 Thunderstorm_Dist " sheetId="21" r:id="rId10"/>
    <sheet name="May 20 Thunderstorm_Dist" sheetId="24" r:id="rId11"/>
  </sheets>
  <definedNames>
    <definedName name="_xlnm.Print_Area" localSheetId="7">'Apr 3 Thunderstorm_Distr'!$B$2:$Q$107</definedName>
    <definedName name="_xlnm.Print_Area" localSheetId="3">'Feb 11 Snowstorm_Dist'!$B$2:$Q$108</definedName>
    <definedName name="_xlnm.Print_Area" localSheetId="4">'JMED Feb 15 Thunderstorm_Dist'!$B$2:$Q$108</definedName>
    <definedName name="_xlnm.Print_Area" localSheetId="5">'JMED_Feb 15 Thunderstorm_Trans'!$B$2:$Q$104</definedName>
    <definedName name="_xlnm.Print_Area" localSheetId="2">'JMED_Jan 05 Snow-Ice Distr'!$B$2:$Q$108</definedName>
    <definedName name="_xlnm.Print_Area" localSheetId="9">'JMED_May 16 Thunderstorm_Dist '!$B$2:$Q$108</definedName>
    <definedName name="_xlnm.Print_Area" localSheetId="6">'Mar 31 Thunderstorm Event'!$B$2:$Q$108</definedName>
    <definedName name="_xlnm.Print_Area" localSheetId="8">'May 1 Thunderstorm_Distr'!$B$2:$Q$107</definedName>
    <definedName name="_xlnm.Print_Area" localSheetId="10">'May 20 Thunderstorm_Dist'!$B$2:$Q$108</definedName>
    <definedName name="_xlnm.Print_Area" localSheetId="0">Summary!$A$1:$J$56</definedName>
    <definedName name="_xlnm.Print_Titles" localSheetId="7">'Apr 3 Thunderstorm_Distr'!$2:$8</definedName>
    <definedName name="_xlnm.Print_Titles" localSheetId="3">'Feb 11 Snowstorm_Dist'!$2:$8</definedName>
    <definedName name="_xlnm.Print_Titles" localSheetId="4">'JMED Feb 15 Thunderstorm_Dist'!$2:$8</definedName>
    <definedName name="_xlnm.Print_Titles" localSheetId="5">'JMED_Feb 15 Thunderstorm_Trans'!$2:$8</definedName>
    <definedName name="_xlnm.Print_Titles" localSheetId="2">'JMED_Jan 05 Snow-Ice Distr'!$2:$8</definedName>
    <definedName name="_xlnm.Print_Titles" localSheetId="9">'JMED_May 16 Thunderstorm_Dist '!$2:$8</definedName>
    <definedName name="_xlnm.Print_Titles" localSheetId="6">'Mar 31 Thunderstorm Event'!$2:$8</definedName>
    <definedName name="_xlnm.Print_Titles" localSheetId="8">'May 1 Thunderstorm_Distr'!$2:$8</definedName>
    <definedName name="_xlnm.Print_Titles" localSheetId="10">'May 20 Thunderstorm_Dist'!$2:$8</definedName>
    <definedName name="TotalOTHours" localSheetId="7">'Apr 3 Thunderstorm_Distr'!$Q$13</definedName>
    <definedName name="TotalOTHours" localSheetId="3">'Feb 11 Snowstorm_Dist'!$Q$13</definedName>
    <definedName name="TotalOTHours" localSheetId="4">'JMED Feb 15 Thunderstorm_Dist'!$Q$13</definedName>
    <definedName name="TotalOTHours" localSheetId="5">'JMED_Feb 15 Thunderstorm_Trans'!$Q$13</definedName>
    <definedName name="TotalOTHours" localSheetId="2">'JMED_Jan 05 Snow-Ice Distr'!$Q$13</definedName>
    <definedName name="TotalOTHours" localSheetId="9">'JMED_May 16 Thunderstorm_Dist '!$Q$13</definedName>
    <definedName name="TotalOTHours" localSheetId="6">'Mar 31 Thunderstorm Event'!$Q$13</definedName>
    <definedName name="TotalOTHours" localSheetId="8">'May 1 Thunderstorm_Distr'!$Q$13</definedName>
    <definedName name="TotalOTHours" localSheetId="10">'May 20 Thunderstorm_Dist'!$Q$13</definedName>
    <definedName name="TotalOTHours" localSheetId="0">#REF!</definedName>
    <definedName name="TotalOTHou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7" i="1" l="1"/>
  <c r="H57" i="1"/>
  <c r="F17" i="28"/>
  <c r="J51" i="1" l="1"/>
  <c r="J46" i="1"/>
  <c r="J33" i="1"/>
  <c r="H33" i="1"/>
  <c r="J21" i="1"/>
  <c r="H21" i="1"/>
  <c r="J17" i="1"/>
  <c r="H17" i="1"/>
  <c r="I92" i="27" l="1"/>
  <c r="H92" i="27"/>
  <c r="G92" i="27"/>
  <c r="K84" i="27"/>
  <c r="K88" i="27" s="1"/>
  <c r="L69" i="27"/>
  <c r="Q66" i="27"/>
  <c r="P66" i="27"/>
  <c r="O66" i="27"/>
  <c r="N66" i="27"/>
  <c r="M66" i="27"/>
  <c r="K66" i="27"/>
  <c r="J66" i="27"/>
  <c r="I66" i="27"/>
  <c r="H66" i="27"/>
  <c r="G66" i="27"/>
  <c r="J65" i="27"/>
  <c r="I65" i="27"/>
  <c r="H65" i="27"/>
  <c r="G65" i="27"/>
  <c r="P63" i="27"/>
  <c r="P65" i="27" s="1"/>
  <c r="O63" i="27"/>
  <c r="N63" i="27"/>
  <c r="N65" i="27" s="1"/>
  <c r="M63" i="27"/>
  <c r="M65" i="27" s="1"/>
  <c r="K63" i="27"/>
  <c r="Q55" i="27"/>
  <c r="K55" i="27"/>
  <c r="J53" i="27"/>
  <c r="J58" i="27" s="1"/>
  <c r="I53" i="27"/>
  <c r="I58" i="27" s="1"/>
  <c r="G53" i="27"/>
  <c r="G58" i="27" s="1"/>
  <c r="P52" i="27"/>
  <c r="O52" i="27"/>
  <c r="N52" i="27"/>
  <c r="M52" i="27"/>
  <c r="K52" i="27"/>
  <c r="P49" i="27"/>
  <c r="O49" i="27"/>
  <c r="N49" i="27"/>
  <c r="M49" i="27"/>
  <c r="K49" i="27"/>
  <c r="P47" i="27"/>
  <c r="O47" i="27"/>
  <c r="N47" i="27"/>
  <c r="M47" i="27"/>
  <c r="K47" i="27"/>
  <c r="P45" i="27"/>
  <c r="O45" i="27"/>
  <c r="N45" i="27"/>
  <c r="M45" i="27"/>
  <c r="K45" i="27"/>
  <c r="P43" i="27"/>
  <c r="O43" i="27"/>
  <c r="M43" i="27"/>
  <c r="H43" i="27"/>
  <c r="H53" i="27" s="1"/>
  <c r="H58" i="27" s="1"/>
  <c r="P41" i="27"/>
  <c r="O41" i="27"/>
  <c r="N41" i="27"/>
  <c r="M41" i="27"/>
  <c r="P40" i="27"/>
  <c r="O40" i="27"/>
  <c r="N40" i="27"/>
  <c r="M40" i="27"/>
  <c r="P39" i="27"/>
  <c r="O39" i="27"/>
  <c r="N39" i="27"/>
  <c r="M39" i="27"/>
  <c r="P38" i="27"/>
  <c r="O38" i="27"/>
  <c r="N38" i="27"/>
  <c r="M38" i="27"/>
  <c r="P37" i="27"/>
  <c r="O37" i="27"/>
  <c r="N37" i="27"/>
  <c r="M37" i="27"/>
  <c r="P36" i="27"/>
  <c r="O36" i="27"/>
  <c r="N36" i="27"/>
  <c r="M36" i="27"/>
  <c r="P34" i="27"/>
  <c r="O34" i="27"/>
  <c r="N34" i="27"/>
  <c r="M34" i="27"/>
  <c r="P33" i="27"/>
  <c r="O33" i="27"/>
  <c r="N33" i="27"/>
  <c r="M33" i="27"/>
  <c r="P30" i="27"/>
  <c r="O30" i="27"/>
  <c r="N30" i="27"/>
  <c r="M30" i="27"/>
  <c r="P29" i="27"/>
  <c r="O29" i="27"/>
  <c r="N29" i="27"/>
  <c r="M29" i="27"/>
  <c r="Q28" i="27"/>
  <c r="P27" i="27"/>
  <c r="O27" i="27"/>
  <c r="N27" i="27"/>
  <c r="M27" i="27"/>
  <c r="Q26" i="27"/>
  <c r="P24" i="27"/>
  <c r="T23" i="27"/>
  <c r="Y20" i="27"/>
  <c r="Y23" i="27" s="1"/>
  <c r="Q23" i="27" s="1"/>
  <c r="Q20" i="27"/>
  <c r="P19" i="27"/>
  <c r="O19" i="27"/>
  <c r="N19" i="27"/>
  <c r="M19" i="27"/>
  <c r="Q18" i="27"/>
  <c r="Q17" i="27"/>
  <c r="P16" i="27"/>
  <c r="O16" i="27"/>
  <c r="N16" i="27"/>
  <c r="M16" i="27"/>
  <c r="Q15" i="27"/>
  <c r="O13" i="27"/>
  <c r="N13" i="27"/>
  <c r="M13" i="27"/>
  <c r="T12" i="27"/>
  <c r="P12" i="27"/>
  <c r="O12" i="27"/>
  <c r="N12" i="27"/>
  <c r="M12" i="27"/>
  <c r="O10" i="27"/>
  <c r="N10" i="27"/>
  <c r="M10" i="27"/>
  <c r="Q9" i="27"/>
  <c r="K89" i="26"/>
  <c r="I95" i="26" s="1"/>
  <c r="Q70" i="26"/>
  <c r="P70" i="26"/>
  <c r="O70" i="26"/>
  <c r="N70" i="26"/>
  <c r="M70" i="26"/>
  <c r="K70" i="26"/>
  <c r="J70" i="26"/>
  <c r="I70" i="26"/>
  <c r="H70" i="26"/>
  <c r="G70" i="26"/>
  <c r="L69" i="26"/>
  <c r="L73" i="26" s="1"/>
  <c r="J69" i="26"/>
  <c r="P67" i="26"/>
  <c r="O67" i="26"/>
  <c r="N67" i="26"/>
  <c r="M67" i="26"/>
  <c r="K67" i="26"/>
  <c r="P65" i="26"/>
  <c r="O65" i="26"/>
  <c r="N65" i="26"/>
  <c r="M65" i="26"/>
  <c r="K65" i="26"/>
  <c r="Q65" i="26" s="1"/>
  <c r="P63" i="26"/>
  <c r="I63" i="26"/>
  <c r="I69" i="26" s="1"/>
  <c r="H63" i="26"/>
  <c r="H69" i="26" s="1"/>
  <c r="G63" i="26"/>
  <c r="Q55" i="26"/>
  <c r="K55" i="26"/>
  <c r="J53" i="26"/>
  <c r="I53" i="26"/>
  <c r="P52" i="26"/>
  <c r="O52" i="26"/>
  <c r="N52" i="26"/>
  <c r="M52" i="26"/>
  <c r="K52" i="26"/>
  <c r="P49" i="26"/>
  <c r="O49" i="26"/>
  <c r="N49" i="26"/>
  <c r="M49" i="26"/>
  <c r="K49" i="26"/>
  <c r="P47" i="26"/>
  <c r="O47" i="26"/>
  <c r="N47" i="26"/>
  <c r="M47" i="26"/>
  <c r="K47" i="26"/>
  <c r="P45" i="26"/>
  <c r="O45" i="26"/>
  <c r="N45" i="26"/>
  <c r="M45" i="26"/>
  <c r="K45" i="26"/>
  <c r="P43" i="26"/>
  <c r="O43" i="26"/>
  <c r="M43" i="26"/>
  <c r="H43" i="26"/>
  <c r="H53" i="26" s="1"/>
  <c r="K42" i="26"/>
  <c r="P41" i="26"/>
  <c r="O41" i="26"/>
  <c r="N41" i="26"/>
  <c r="G41" i="26"/>
  <c r="P40" i="26"/>
  <c r="O40" i="26"/>
  <c r="N40" i="26"/>
  <c r="M40" i="26"/>
  <c r="K40" i="26"/>
  <c r="P39" i="26"/>
  <c r="O39" i="26"/>
  <c r="N39" i="26"/>
  <c r="G39" i="26"/>
  <c r="M39" i="26" s="1"/>
  <c r="P38" i="26"/>
  <c r="O38" i="26"/>
  <c r="N38" i="26"/>
  <c r="M38" i="26"/>
  <c r="K38" i="26"/>
  <c r="P37" i="26"/>
  <c r="O37" i="26"/>
  <c r="N37" i="26"/>
  <c r="M37" i="26"/>
  <c r="K37" i="26"/>
  <c r="P36" i="26"/>
  <c r="O36" i="26"/>
  <c r="N36" i="26"/>
  <c r="M36" i="26"/>
  <c r="K36" i="26"/>
  <c r="K35" i="26"/>
  <c r="P34" i="26"/>
  <c r="O34" i="26"/>
  <c r="N34" i="26"/>
  <c r="M34" i="26"/>
  <c r="K34" i="26"/>
  <c r="P33" i="26"/>
  <c r="O33" i="26"/>
  <c r="N33" i="26"/>
  <c r="M33" i="26"/>
  <c r="K33" i="26"/>
  <c r="I31" i="26"/>
  <c r="H31" i="26"/>
  <c r="G31" i="26"/>
  <c r="P30" i="26"/>
  <c r="O30" i="26"/>
  <c r="N30" i="26"/>
  <c r="M30" i="26"/>
  <c r="K30" i="26"/>
  <c r="P29" i="26"/>
  <c r="O29" i="26"/>
  <c r="N29" i="26"/>
  <c r="M29" i="26"/>
  <c r="K29" i="26"/>
  <c r="Q28" i="26"/>
  <c r="K28" i="26"/>
  <c r="P27" i="26"/>
  <c r="O27" i="26"/>
  <c r="N27" i="26"/>
  <c r="M27" i="26"/>
  <c r="K27" i="26"/>
  <c r="Q26" i="26"/>
  <c r="K26" i="26"/>
  <c r="P24" i="26"/>
  <c r="I24" i="26"/>
  <c r="H24" i="26"/>
  <c r="G24" i="26"/>
  <c r="K23" i="26"/>
  <c r="K24" i="26" s="1"/>
  <c r="T21" i="26"/>
  <c r="J21" i="26"/>
  <c r="H21" i="26"/>
  <c r="G21" i="26"/>
  <c r="Y20" i="26"/>
  <c r="Y23" i="26" s="1"/>
  <c r="Q20" i="26"/>
  <c r="K20" i="26"/>
  <c r="P19" i="26"/>
  <c r="O19" i="26"/>
  <c r="N19" i="26"/>
  <c r="M19" i="26"/>
  <c r="K19" i="26"/>
  <c r="Q18" i="26"/>
  <c r="K18" i="26"/>
  <c r="Q17" i="26"/>
  <c r="I17" i="26"/>
  <c r="P16" i="26"/>
  <c r="N16" i="26"/>
  <c r="M16" i="26"/>
  <c r="I16" i="26"/>
  <c r="O16" i="26" s="1"/>
  <c r="Q15" i="26"/>
  <c r="I15" i="26"/>
  <c r="K15" i="26" s="1"/>
  <c r="O13" i="26"/>
  <c r="N13" i="26"/>
  <c r="M13" i="26"/>
  <c r="K13" i="26"/>
  <c r="P12" i="26"/>
  <c r="O12" i="26"/>
  <c r="N12" i="26"/>
  <c r="M12" i="26"/>
  <c r="K12" i="26"/>
  <c r="O10" i="26"/>
  <c r="N10" i="26"/>
  <c r="M10" i="26"/>
  <c r="Q9" i="26"/>
  <c r="K9" i="26"/>
  <c r="K89" i="25"/>
  <c r="I95" i="25" s="1"/>
  <c r="Q70" i="25"/>
  <c r="P70" i="25"/>
  <c r="O70" i="25"/>
  <c r="N70" i="25"/>
  <c r="M70" i="25"/>
  <c r="K70" i="25"/>
  <c r="J70" i="25"/>
  <c r="I70" i="25"/>
  <c r="H70" i="25"/>
  <c r="G70" i="25"/>
  <c r="L69" i="25"/>
  <c r="L73" i="25" s="1"/>
  <c r="J69" i="25"/>
  <c r="P67" i="25"/>
  <c r="O67" i="25"/>
  <c r="N67" i="25"/>
  <c r="M67" i="25"/>
  <c r="K67" i="25"/>
  <c r="P65" i="25"/>
  <c r="O65" i="25"/>
  <c r="N65" i="25"/>
  <c r="M65" i="25"/>
  <c r="K65" i="25"/>
  <c r="Q65" i="25" s="1"/>
  <c r="P63" i="25"/>
  <c r="I63" i="25"/>
  <c r="I69" i="25" s="1"/>
  <c r="H63" i="25"/>
  <c r="H69" i="25" s="1"/>
  <c r="G63" i="25"/>
  <c r="G69" i="25" s="1"/>
  <c r="Q55" i="25"/>
  <c r="K55" i="25"/>
  <c r="J53" i="25"/>
  <c r="I53" i="25"/>
  <c r="G53" i="25"/>
  <c r="K90" i="25" s="1"/>
  <c r="G95" i="25" s="1"/>
  <c r="P52" i="25"/>
  <c r="O52" i="25"/>
  <c r="N52" i="25"/>
  <c r="M52" i="25"/>
  <c r="K52" i="25"/>
  <c r="P49" i="25"/>
  <c r="O49" i="25"/>
  <c r="N49" i="25"/>
  <c r="M49" i="25"/>
  <c r="K49" i="25"/>
  <c r="P47" i="25"/>
  <c r="O47" i="25"/>
  <c r="N47" i="25"/>
  <c r="M47" i="25"/>
  <c r="K47" i="25"/>
  <c r="P45" i="25"/>
  <c r="O45" i="25"/>
  <c r="N45" i="25"/>
  <c r="M45" i="25"/>
  <c r="K45" i="25"/>
  <c r="P43" i="25"/>
  <c r="O43" i="25"/>
  <c r="M43" i="25"/>
  <c r="H43" i="25"/>
  <c r="N43" i="25" s="1"/>
  <c r="K42" i="25"/>
  <c r="P41" i="25"/>
  <c r="O41" i="25"/>
  <c r="N41" i="25"/>
  <c r="M41" i="25"/>
  <c r="K41" i="25"/>
  <c r="P40" i="25"/>
  <c r="O40" i="25"/>
  <c r="N40" i="25"/>
  <c r="M40" i="25"/>
  <c r="K40" i="25"/>
  <c r="P39" i="25"/>
  <c r="O39" i="25"/>
  <c r="N39" i="25"/>
  <c r="M39" i="25"/>
  <c r="K39" i="25"/>
  <c r="P38" i="25"/>
  <c r="O38" i="25"/>
  <c r="N38" i="25"/>
  <c r="M38" i="25"/>
  <c r="K38" i="25"/>
  <c r="P37" i="25"/>
  <c r="O37" i="25"/>
  <c r="N37" i="25"/>
  <c r="M37" i="25"/>
  <c r="K37" i="25"/>
  <c r="P36" i="25"/>
  <c r="O36" i="25"/>
  <c r="N36" i="25"/>
  <c r="M36" i="25"/>
  <c r="K36" i="25"/>
  <c r="K35" i="25"/>
  <c r="P34" i="25"/>
  <c r="O34" i="25"/>
  <c r="N34" i="25"/>
  <c r="M34" i="25"/>
  <c r="K34" i="25"/>
  <c r="P33" i="25"/>
  <c r="O33" i="25"/>
  <c r="N33" i="25"/>
  <c r="M33" i="25"/>
  <c r="K33" i="25"/>
  <c r="I31" i="25"/>
  <c r="H31" i="25"/>
  <c r="G31" i="25"/>
  <c r="P30" i="25"/>
  <c r="O30" i="25"/>
  <c r="N30" i="25"/>
  <c r="M30" i="25"/>
  <c r="K30" i="25"/>
  <c r="P29" i="25"/>
  <c r="O29" i="25"/>
  <c r="N29" i="25"/>
  <c r="M29" i="25"/>
  <c r="K29" i="25"/>
  <c r="Q28" i="25"/>
  <c r="K28" i="25"/>
  <c r="P27" i="25"/>
  <c r="O27" i="25"/>
  <c r="N27" i="25"/>
  <c r="M27" i="25"/>
  <c r="K27" i="25"/>
  <c r="Q26" i="25"/>
  <c r="K26" i="25"/>
  <c r="P24" i="25"/>
  <c r="I24" i="25"/>
  <c r="H24" i="25"/>
  <c r="G24" i="25"/>
  <c r="K23" i="25"/>
  <c r="J21" i="25"/>
  <c r="H21" i="25"/>
  <c r="G21" i="25"/>
  <c r="Y20" i="25"/>
  <c r="Y23" i="25" s="1"/>
  <c r="Q20" i="25"/>
  <c r="K20" i="25"/>
  <c r="P19" i="25"/>
  <c r="O19" i="25"/>
  <c r="N19" i="25"/>
  <c r="M19" i="25"/>
  <c r="K19" i="25"/>
  <c r="Q18" i="25"/>
  <c r="K18" i="25"/>
  <c r="Q17" i="25"/>
  <c r="I17" i="25"/>
  <c r="K17" i="25" s="1"/>
  <c r="P16" i="25"/>
  <c r="N16" i="25"/>
  <c r="M16" i="25"/>
  <c r="I16" i="25"/>
  <c r="K16" i="25" s="1"/>
  <c r="Q15" i="25"/>
  <c r="I15" i="25"/>
  <c r="K15" i="25" s="1"/>
  <c r="O13" i="25"/>
  <c r="N13" i="25"/>
  <c r="M13" i="25"/>
  <c r="K13" i="25"/>
  <c r="P12" i="25"/>
  <c r="O12" i="25"/>
  <c r="N12" i="25"/>
  <c r="M12" i="25"/>
  <c r="K12" i="25"/>
  <c r="T12" i="25" s="1"/>
  <c r="O10" i="25"/>
  <c r="N10" i="25"/>
  <c r="M10" i="25"/>
  <c r="Q9" i="25"/>
  <c r="K9" i="25"/>
  <c r="K65" i="27" l="1"/>
  <c r="O65" i="27"/>
  <c r="Q12" i="27"/>
  <c r="Q37" i="27"/>
  <c r="Q39" i="27"/>
  <c r="M31" i="27"/>
  <c r="Q49" i="27"/>
  <c r="Q10" i="27"/>
  <c r="N31" i="27"/>
  <c r="Q29" i="27"/>
  <c r="J69" i="27"/>
  <c r="Q30" i="27"/>
  <c r="Q40" i="27"/>
  <c r="Q38" i="27"/>
  <c r="O31" i="27"/>
  <c r="I69" i="27"/>
  <c r="Q45" i="27"/>
  <c r="Q41" i="27"/>
  <c r="Q36" i="27"/>
  <c r="Q63" i="27"/>
  <c r="Q65" i="27" s="1"/>
  <c r="Q27" i="27"/>
  <c r="Q47" i="27"/>
  <c r="P31" i="27"/>
  <c r="Q13" i="27"/>
  <c r="M21" i="27"/>
  <c r="Q52" i="27"/>
  <c r="N21" i="27"/>
  <c r="O21" i="27"/>
  <c r="P21" i="27"/>
  <c r="O53" i="27"/>
  <c r="P53" i="27"/>
  <c r="M53" i="27"/>
  <c r="Q19" i="27"/>
  <c r="H69" i="27"/>
  <c r="G69" i="27"/>
  <c r="K58" i="27"/>
  <c r="I93" i="27"/>
  <c r="G93" i="27"/>
  <c r="H93" i="27"/>
  <c r="Q33" i="27"/>
  <c r="Q16" i="27"/>
  <c r="Q34" i="27"/>
  <c r="K43" i="27"/>
  <c r="N43" i="27"/>
  <c r="N53" i="27" s="1"/>
  <c r="K53" i="27"/>
  <c r="Q13" i="26"/>
  <c r="Q52" i="26"/>
  <c r="J43" i="1"/>
  <c r="Q34" i="25"/>
  <c r="H53" i="25"/>
  <c r="H58" i="25" s="1"/>
  <c r="H73" i="25" s="1"/>
  <c r="H94" i="25" s="1"/>
  <c r="H96" i="25" s="1"/>
  <c r="Q37" i="26"/>
  <c r="Q45" i="26"/>
  <c r="Q19" i="25"/>
  <c r="Q45" i="25"/>
  <c r="Q39" i="25"/>
  <c r="Q36" i="25"/>
  <c r="Q30" i="25"/>
  <c r="Q38" i="25"/>
  <c r="Q33" i="26"/>
  <c r="Q10" i="25"/>
  <c r="Q47" i="25"/>
  <c r="Q40" i="26"/>
  <c r="N31" i="25"/>
  <c r="J58" i="25"/>
  <c r="J73" i="25" s="1"/>
  <c r="Q43" i="25"/>
  <c r="Q49" i="26"/>
  <c r="Q12" i="25"/>
  <c r="Q34" i="26"/>
  <c r="Q49" i="25"/>
  <c r="O31" i="25"/>
  <c r="N21" i="25"/>
  <c r="O16" i="25"/>
  <c r="O21" i="25" s="1"/>
  <c r="P31" i="25"/>
  <c r="P21" i="25"/>
  <c r="Q30" i="26"/>
  <c r="Q29" i="25"/>
  <c r="Q38" i="26"/>
  <c r="Q47" i="26"/>
  <c r="Q37" i="25"/>
  <c r="Q27" i="26"/>
  <c r="Q13" i="25"/>
  <c r="H58" i="26"/>
  <c r="H73" i="26" s="1"/>
  <c r="H94" i="26" s="1"/>
  <c r="H96" i="26" s="1"/>
  <c r="Q23" i="25"/>
  <c r="M23" i="25" s="1"/>
  <c r="M24" i="25" s="1"/>
  <c r="G53" i="26"/>
  <c r="K53" i="26" s="1"/>
  <c r="J58" i="26"/>
  <c r="J73" i="26" s="1"/>
  <c r="K31" i="25"/>
  <c r="M31" i="25"/>
  <c r="Q41" i="25"/>
  <c r="Q36" i="26"/>
  <c r="K63" i="26"/>
  <c r="Q63" i="26" s="1"/>
  <c r="O63" i="26" s="1"/>
  <c r="O69" i="26" s="1"/>
  <c r="Q52" i="25"/>
  <c r="K16" i="26"/>
  <c r="O53" i="26"/>
  <c r="P53" i="26"/>
  <c r="I21" i="26"/>
  <c r="I58" i="26" s="1"/>
  <c r="I73" i="26" s="1"/>
  <c r="I94" i="26" s="1"/>
  <c r="I96" i="26" s="1"/>
  <c r="K63" i="25"/>
  <c r="Q63" i="25" s="1"/>
  <c r="O63" i="25" s="1"/>
  <c r="O69" i="25" s="1"/>
  <c r="G58" i="25"/>
  <c r="G73" i="25" s="1"/>
  <c r="G94" i="25" s="1"/>
  <c r="G96" i="25" s="1"/>
  <c r="K31" i="26"/>
  <c r="M31" i="26"/>
  <c r="N31" i="26"/>
  <c r="M21" i="25"/>
  <c r="O31" i="26"/>
  <c r="P21" i="26"/>
  <c r="P31" i="26"/>
  <c r="Q10" i="26"/>
  <c r="M53" i="25"/>
  <c r="Q33" i="25"/>
  <c r="O53" i="25"/>
  <c r="P53" i="25"/>
  <c r="Q40" i="25"/>
  <c r="Q23" i="26"/>
  <c r="O23" i="26" s="1"/>
  <c r="O24" i="26" s="1"/>
  <c r="Q39" i="26"/>
  <c r="Q16" i="26"/>
  <c r="K21" i="25"/>
  <c r="N53" i="25"/>
  <c r="K17" i="26"/>
  <c r="Q19" i="26"/>
  <c r="M21" i="26"/>
  <c r="Q12" i="26"/>
  <c r="O21" i="26"/>
  <c r="Q27" i="25"/>
  <c r="P69" i="26"/>
  <c r="T23" i="26"/>
  <c r="Q67" i="26"/>
  <c r="G69" i="26"/>
  <c r="K24" i="25"/>
  <c r="T23" i="25"/>
  <c r="P69" i="25"/>
  <c r="T12" i="26"/>
  <c r="N21" i="26"/>
  <c r="K41" i="26"/>
  <c r="M41" i="26"/>
  <c r="Q41" i="26" s="1"/>
  <c r="I21" i="25"/>
  <c r="I58" i="25" s="1"/>
  <c r="I73" i="25" s="1"/>
  <c r="I94" i="25" s="1"/>
  <c r="I96" i="25" s="1"/>
  <c r="Q29" i="26"/>
  <c r="Q67" i="25"/>
  <c r="N43" i="26"/>
  <c r="Q43" i="26" s="1"/>
  <c r="K43" i="26"/>
  <c r="K43" i="25"/>
  <c r="K39" i="26"/>
  <c r="J59" i="1" l="1"/>
  <c r="K69" i="27"/>
  <c r="Q31" i="27"/>
  <c r="K53" i="25"/>
  <c r="P58" i="27"/>
  <c r="P69" i="27" s="1"/>
  <c r="Q21" i="27"/>
  <c r="Q53" i="27"/>
  <c r="Q43" i="27"/>
  <c r="G58" i="26"/>
  <c r="K58" i="26" s="1"/>
  <c r="P58" i="25"/>
  <c r="P73" i="25" s="1"/>
  <c r="M58" i="25"/>
  <c r="K69" i="25"/>
  <c r="Q31" i="25"/>
  <c r="M23" i="26"/>
  <c r="M24" i="26" s="1"/>
  <c r="N23" i="26"/>
  <c r="N24" i="26" s="1"/>
  <c r="N23" i="25"/>
  <c r="N24" i="25" s="1"/>
  <c r="N58" i="25" s="1"/>
  <c r="O23" i="25"/>
  <c r="O24" i="25" s="1"/>
  <c r="O58" i="25" s="1"/>
  <c r="O73" i="25" s="1"/>
  <c r="K90" i="26"/>
  <c r="G95" i="26" s="1"/>
  <c r="K21" i="26"/>
  <c r="Q69" i="26"/>
  <c r="Q21" i="26"/>
  <c r="Q16" i="25"/>
  <c r="Q21" i="25" s="1"/>
  <c r="M63" i="26"/>
  <c r="M69" i="26" s="1"/>
  <c r="N63" i="26"/>
  <c r="N69" i="26" s="1"/>
  <c r="K69" i="26"/>
  <c r="P58" i="26"/>
  <c r="P73" i="26" s="1"/>
  <c r="O58" i="26"/>
  <c r="O73" i="26" s="1"/>
  <c r="Q31" i="26"/>
  <c r="Q69" i="25"/>
  <c r="Q53" i="25"/>
  <c r="M63" i="25"/>
  <c r="M69" i="25" s="1"/>
  <c r="N63" i="25"/>
  <c r="N69" i="25" s="1"/>
  <c r="M53" i="26"/>
  <c r="N53" i="26"/>
  <c r="K58" i="25"/>
  <c r="J60" i="1" l="1"/>
  <c r="J61" i="1" s="1"/>
  <c r="H79" i="27"/>
  <c r="N23" i="27" s="1"/>
  <c r="N24" i="27" s="1"/>
  <c r="N58" i="27" s="1"/>
  <c r="N69" i="27" s="1"/>
  <c r="G79" i="27"/>
  <c r="M23" i="27" s="1"/>
  <c r="M24" i="27" s="1"/>
  <c r="M58" i="27" s="1"/>
  <c r="I79" i="27"/>
  <c r="O23" i="27" s="1"/>
  <c r="O24" i="27" s="1"/>
  <c r="O58" i="27" s="1"/>
  <c r="O69" i="27" s="1"/>
  <c r="G73" i="26"/>
  <c r="G94" i="26" s="1"/>
  <c r="G96" i="26" s="1"/>
  <c r="Q24" i="26"/>
  <c r="Q24" i="25"/>
  <c r="M73" i="25"/>
  <c r="K73" i="26"/>
  <c r="M58" i="26"/>
  <c r="M73" i="26" s="1"/>
  <c r="K73" i="25"/>
  <c r="N58" i="26"/>
  <c r="N73" i="26" s="1"/>
  <c r="N73" i="25"/>
  <c r="Q58" i="25"/>
  <c r="Q73" i="25" s="1"/>
  <c r="Q53" i="26"/>
  <c r="J52" i="1" l="1"/>
  <c r="Q24" i="27"/>
  <c r="M69" i="27"/>
  <c r="Q58" i="27"/>
  <c r="Q69" i="27" s="1"/>
  <c r="K85" i="26"/>
  <c r="K88" i="26" s="1"/>
  <c r="K92" i="26" s="1"/>
  <c r="G97" i="26" s="1"/>
  <c r="K85" i="25"/>
  <c r="K88" i="25" s="1"/>
  <c r="K92" i="25" s="1"/>
  <c r="G97" i="25" s="1"/>
  <c r="Q58" i="26"/>
  <c r="Q73" i="26" s="1"/>
  <c r="I97" i="26" l="1"/>
  <c r="H97" i="26"/>
  <c r="H97" i="25"/>
  <c r="I97" i="25"/>
  <c r="I29" i="21" l="1"/>
  <c r="I16" i="21"/>
  <c r="I15" i="21"/>
  <c r="G19" i="21"/>
  <c r="I29" i="24" l="1"/>
  <c r="K29" i="24" s="1"/>
  <c r="I16" i="24"/>
  <c r="K16" i="24" s="1"/>
  <c r="I66" i="11"/>
  <c r="G67" i="15"/>
  <c r="H67" i="15"/>
  <c r="I67" i="15"/>
  <c r="K89" i="24"/>
  <c r="I95" i="24" s="1"/>
  <c r="Q70" i="24"/>
  <c r="P70" i="24"/>
  <c r="O70" i="24"/>
  <c r="N70" i="24"/>
  <c r="M70" i="24"/>
  <c r="K70" i="24"/>
  <c r="J70" i="24"/>
  <c r="I70" i="24"/>
  <c r="H70" i="24"/>
  <c r="G70" i="24"/>
  <c r="L69" i="24"/>
  <c r="L73" i="24" s="1"/>
  <c r="J69" i="24"/>
  <c r="I69" i="24"/>
  <c r="H69" i="24"/>
  <c r="G69" i="24"/>
  <c r="P67" i="24"/>
  <c r="O67" i="24"/>
  <c r="N67" i="24"/>
  <c r="M67" i="24"/>
  <c r="K67" i="24"/>
  <c r="Q67" i="24" s="1"/>
  <c r="P65" i="24"/>
  <c r="O65" i="24"/>
  <c r="N65" i="24"/>
  <c r="M65" i="24"/>
  <c r="K65" i="24"/>
  <c r="Q65" i="24" s="1"/>
  <c r="P63" i="24"/>
  <c r="K63" i="24"/>
  <c r="Q63" i="24" s="1"/>
  <c r="N63" i="24" s="1"/>
  <c r="Q55" i="24"/>
  <c r="K55" i="24"/>
  <c r="J53" i="24"/>
  <c r="K53" i="24" s="1"/>
  <c r="P52" i="24"/>
  <c r="O52" i="24"/>
  <c r="N52" i="24"/>
  <c r="M52" i="24"/>
  <c r="K52" i="24"/>
  <c r="P49" i="24"/>
  <c r="O49" i="24"/>
  <c r="N49" i="24"/>
  <c r="M49" i="24"/>
  <c r="K49" i="24"/>
  <c r="P47" i="24"/>
  <c r="O47" i="24"/>
  <c r="N47" i="24"/>
  <c r="M47" i="24"/>
  <c r="K47" i="24"/>
  <c r="P45" i="24"/>
  <c r="O45" i="24"/>
  <c r="N45" i="24"/>
  <c r="M45" i="24"/>
  <c r="K45" i="24"/>
  <c r="P43" i="24"/>
  <c r="O43" i="24"/>
  <c r="M43" i="24"/>
  <c r="K42" i="24"/>
  <c r="P41" i="24"/>
  <c r="O41" i="24"/>
  <c r="N41" i="24"/>
  <c r="M41" i="24"/>
  <c r="K41" i="24"/>
  <c r="P40" i="24"/>
  <c r="O40" i="24"/>
  <c r="N40" i="24"/>
  <c r="M40" i="24"/>
  <c r="K40" i="24"/>
  <c r="P39" i="24"/>
  <c r="O39" i="24"/>
  <c r="N39" i="24"/>
  <c r="M39" i="24"/>
  <c r="K39" i="24"/>
  <c r="P38" i="24"/>
  <c r="O38" i="24"/>
  <c r="N38" i="24"/>
  <c r="M38" i="24"/>
  <c r="K38" i="24"/>
  <c r="P37" i="24"/>
  <c r="O37" i="24"/>
  <c r="N37" i="24"/>
  <c r="M37" i="24"/>
  <c r="K37" i="24"/>
  <c r="P36" i="24"/>
  <c r="O36" i="24"/>
  <c r="N36" i="24"/>
  <c r="M36" i="24"/>
  <c r="K36" i="24"/>
  <c r="K35" i="24"/>
  <c r="P34" i="24"/>
  <c r="O34" i="24"/>
  <c r="N34" i="24"/>
  <c r="M34" i="24"/>
  <c r="K34" i="24"/>
  <c r="P33" i="24"/>
  <c r="O33" i="24"/>
  <c r="N33" i="24"/>
  <c r="M33" i="24"/>
  <c r="K33" i="24"/>
  <c r="P30" i="24"/>
  <c r="O30" i="24"/>
  <c r="N30" i="24"/>
  <c r="M30" i="24"/>
  <c r="K30" i="24"/>
  <c r="P29" i="24"/>
  <c r="N29" i="24"/>
  <c r="M29" i="24"/>
  <c r="Q28" i="24"/>
  <c r="K28" i="24"/>
  <c r="P27" i="24"/>
  <c r="O27" i="24"/>
  <c r="N27" i="24"/>
  <c r="M27" i="24"/>
  <c r="K27" i="24"/>
  <c r="Q26" i="24"/>
  <c r="K26" i="24"/>
  <c r="P24" i="24"/>
  <c r="K23" i="24"/>
  <c r="K24" i="24" s="1"/>
  <c r="T21" i="24"/>
  <c r="J21" i="24"/>
  <c r="Y20" i="24"/>
  <c r="Y23" i="24" s="1"/>
  <c r="Q20" i="24"/>
  <c r="K20" i="24"/>
  <c r="P19" i="24"/>
  <c r="O19" i="24"/>
  <c r="N19" i="24"/>
  <c r="M19" i="24"/>
  <c r="K19" i="24"/>
  <c r="Q18" i="24"/>
  <c r="K18" i="24"/>
  <c r="Q17" i="24"/>
  <c r="K17" i="24"/>
  <c r="P16" i="24"/>
  <c r="N16" i="24"/>
  <c r="M16" i="24"/>
  <c r="Q15" i="24"/>
  <c r="K15" i="24"/>
  <c r="O13" i="24"/>
  <c r="N13" i="24"/>
  <c r="M13" i="24"/>
  <c r="K13" i="24"/>
  <c r="P12" i="24"/>
  <c r="O12" i="24"/>
  <c r="N12" i="24"/>
  <c r="M12" i="24"/>
  <c r="K12" i="24"/>
  <c r="T12" i="24" s="1"/>
  <c r="O10" i="24"/>
  <c r="N10" i="24"/>
  <c r="M10" i="24"/>
  <c r="Q9" i="24"/>
  <c r="K9" i="24"/>
  <c r="O29" i="24" l="1"/>
  <c r="Q29" i="24" s="1"/>
  <c r="Q10" i="24"/>
  <c r="M21" i="24"/>
  <c r="J58" i="24"/>
  <c r="J73" i="24" s="1"/>
  <c r="N69" i="24"/>
  <c r="Q39" i="24"/>
  <c r="Q49" i="24"/>
  <c r="Q33" i="24"/>
  <c r="P53" i="24"/>
  <c r="Q34" i="24"/>
  <c r="Q36" i="24"/>
  <c r="P31" i="24"/>
  <c r="P69" i="24"/>
  <c r="Q45" i="24"/>
  <c r="O16" i="24"/>
  <c r="O21" i="24" s="1"/>
  <c r="K31" i="24"/>
  <c r="N31" i="24"/>
  <c r="Q27" i="24"/>
  <c r="M31" i="24"/>
  <c r="Q37" i="24"/>
  <c r="Q19" i="24"/>
  <c r="Q38" i="24"/>
  <c r="Q12" i="24"/>
  <c r="Q69" i="24"/>
  <c r="G73" i="24"/>
  <c r="G94" i="24" s="1"/>
  <c r="K69" i="24"/>
  <c r="Q30" i="24"/>
  <c r="N21" i="24"/>
  <c r="Q47" i="24"/>
  <c r="O53" i="24"/>
  <c r="Q13" i="24"/>
  <c r="Q40" i="24"/>
  <c r="Q52" i="24"/>
  <c r="Q41" i="24"/>
  <c r="M53" i="24"/>
  <c r="O63" i="24"/>
  <c r="O69" i="24" s="1"/>
  <c r="K21" i="24"/>
  <c r="K43" i="24"/>
  <c r="P21" i="24"/>
  <c r="I73" i="24"/>
  <c r="I94" i="24" s="1"/>
  <c r="I96" i="24" s="1"/>
  <c r="Q23" i="24"/>
  <c r="T23" i="24"/>
  <c r="K90" i="24"/>
  <c r="G95" i="24" s="1"/>
  <c r="M63" i="24"/>
  <c r="M69" i="24" s="1"/>
  <c r="N43" i="24"/>
  <c r="Q43" i="24" s="1"/>
  <c r="O31" i="24" l="1"/>
  <c r="Q31" i="24" s="1"/>
  <c r="P58" i="24"/>
  <c r="P73" i="24" s="1"/>
  <c r="Q16" i="24"/>
  <c r="Q21" i="24" s="1"/>
  <c r="G96" i="24"/>
  <c r="N23" i="24"/>
  <c r="N24" i="24" s="1"/>
  <c r="O23" i="24"/>
  <c r="O24" i="24" s="1"/>
  <c r="M23" i="24"/>
  <c r="M24" i="24" s="1"/>
  <c r="K58" i="24"/>
  <c r="K73" i="24" s="1"/>
  <c r="H73" i="24"/>
  <c r="H94" i="24" s="1"/>
  <c r="H96" i="24" s="1"/>
  <c r="N53" i="24"/>
  <c r="Q53" i="24" s="1"/>
  <c r="O58" i="24" l="1"/>
  <c r="O73" i="24" s="1"/>
  <c r="N58" i="24"/>
  <c r="N73" i="24" s="1"/>
  <c r="K85" i="24"/>
  <c r="K88" i="24" s="1"/>
  <c r="K92" i="24" s="1"/>
  <c r="H97" i="24" s="1"/>
  <c r="Q24" i="24"/>
  <c r="M58" i="24"/>
  <c r="I97" i="24" l="1"/>
  <c r="G97" i="24"/>
  <c r="Q58" i="24"/>
  <c r="Q73" i="24" s="1"/>
  <c r="M73" i="24"/>
  <c r="I95" i="23" l="1"/>
  <c r="H95" i="23"/>
  <c r="G95" i="23"/>
  <c r="K87" i="23"/>
  <c r="K91" i="23" s="1"/>
  <c r="L72" i="23"/>
  <c r="Q69" i="23"/>
  <c r="P69" i="23"/>
  <c r="O69" i="23"/>
  <c r="N69" i="23"/>
  <c r="M69" i="23"/>
  <c r="K69" i="23"/>
  <c r="J69" i="23"/>
  <c r="I69" i="23"/>
  <c r="H69" i="23"/>
  <c r="G69" i="23"/>
  <c r="J68" i="23"/>
  <c r="I68" i="23"/>
  <c r="H68" i="23"/>
  <c r="G68" i="23"/>
  <c r="P66" i="23"/>
  <c r="P68" i="23" s="1"/>
  <c r="O66" i="23"/>
  <c r="O68" i="23" s="1"/>
  <c r="N66" i="23"/>
  <c r="N68" i="23" s="1"/>
  <c r="M66" i="23"/>
  <c r="M68" i="23" s="1"/>
  <c r="K66" i="23"/>
  <c r="K68" i="23" s="1"/>
  <c r="P64" i="23"/>
  <c r="O64" i="23"/>
  <c r="N64" i="23"/>
  <c r="M64" i="23"/>
  <c r="K64" i="23"/>
  <c r="Q64" i="23" s="1"/>
  <c r="P62" i="23"/>
  <c r="K62" i="23"/>
  <c r="Q62" i="23" s="1"/>
  <c r="Q55" i="23"/>
  <c r="K55" i="23"/>
  <c r="J53" i="23"/>
  <c r="J58" i="23" s="1"/>
  <c r="I53" i="23"/>
  <c r="I58" i="23" s="1"/>
  <c r="G53" i="23"/>
  <c r="P52" i="23"/>
  <c r="O52" i="23"/>
  <c r="N52" i="23"/>
  <c r="M52" i="23"/>
  <c r="K52" i="23"/>
  <c r="P49" i="23"/>
  <c r="O49" i="23"/>
  <c r="N49" i="23"/>
  <c r="M49" i="23"/>
  <c r="K49" i="23"/>
  <c r="P47" i="23"/>
  <c r="O47" i="23"/>
  <c r="N47" i="23"/>
  <c r="M47" i="23"/>
  <c r="K47" i="23"/>
  <c r="P45" i="23"/>
  <c r="O45" i="23"/>
  <c r="N45" i="23"/>
  <c r="M45" i="23"/>
  <c r="K45" i="23"/>
  <c r="P43" i="23"/>
  <c r="O43" i="23"/>
  <c r="M43" i="23"/>
  <c r="H43" i="23"/>
  <c r="H53" i="23" s="1"/>
  <c r="H58" i="23" s="1"/>
  <c r="K42" i="23"/>
  <c r="P41" i="23"/>
  <c r="O41" i="23"/>
  <c r="N41" i="23"/>
  <c r="M41" i="23"/>
  <c r="K41" i="23"/>
  <c r="P40" i="23"/>
  <c r="O40" i="23"/>
  <c r="N40" i="23"/>
  <c r="M40" i="23"/>
  <c r="K40" i="23"/>
  <c r="P39" i="23"/>
  <c r="O39" i="23"/>
  <c r="N39" i="23"/>
  <c r="M39" i="23"/>
  <c r="K39" i="23"/>
  <c r="P38" i="23"/>
  <c r="O38" i="23"/>
  <c r="N38" i="23"/>
  <c r="M38" i="23"/>
  <c r="K38" i="23"/>
  <c r="P37" i="23"/>
  <c r="O37" i="23"/>
  <c r="N37" i="23"/>
  <c r="M37" i="23"/>
  <c r="K37" i="23"/>
  <c r="P36" i="23"/>
  <c r="O36" i="23"/>
  <c r="N36" i="23"/>
  <c r="M36" i="23"/>
  <c r="K36" i="23"/>
  <c r="K35" i="23"/>
  <c r="P34" i="23"/>
  <c r="O34" i="23"/>
  <c r="N34" i="23"/>
  <c r="M34" i="23"/>
  <c r="K34" i="23"/>
  <c r="P33" i="23"/>
  <c r="O33" i="23"/>
  <c r="N33" i="23"/>
  <c r="M33" i="23"/>
  <c r="K33" i="23"/>
  <c r="P30" i="23"/>
  <c r="O30" i="23"/>
  <c r="N30" i="23"/>
  <c r="M30" i="23"/>
  <c r="K30" i="23"/>
  <c r="P29" i="23"/>
  <c r="O29" i="23"/>
  <c r="N29" i="23"/>
  <c r="M29" i="23"/>
  <c r="K29" i="23"/>
  <c r="Q28" i="23"/>
  <c r="K28" i="23"/>
  <c r="P27" i="23"/>
  <c r="O27" i="23"/>
  <c r="N27" i="23"/>
  <c r="M27" i="23"/>
  <c r="K27" i="23"/>
  <c r="Q26" i="23"/>
  <c r="K26" i="23"/>
  <c r="P24" i="23"/>
  <c r="K23" i="23"/>
  <c r="Y20" i="23"/>
  <c r="Y23" i="23" s="1"/>
  <c r="Q20" i="23"/>
  <c r="K20" i="23"/>
  <c r="P19" i="23"/>
  <c r="O19" i="23"/>
  <c r="N19" i="23"/>
  <c r="M19" i="23"/>
  <c r="K19" i="23"/>
  <c r="Q18" i="23"/>
  <c r="K18" i="23"/>
  <c r="Q17" i="23"/>
  <c r="K17" i="23"/>
  <c r="P16" i="23"/>
  <c r="O16" i="23"/>
  <c r="N16" i="23"/>
  <c r="M16" i="23"/>
  <c r="K16" i="23"/>
  <c r="Q15" i="23"/>
  <c r="K15" i="23"/>
  <c r="O13" i="23"/>
  <c r="N13" i="23"/>
  <c r="M13" i="23"/>
  <c r="K13" i="23"/>
  <c r="P12" i="23"/>
  <c r="O12" i="23"/>
  <c r="N12" i="23"/>
  <c r="M12" i="23"/>
  <c r="K12" i="23"/>
  <c r="T12" i="23" s="1"/>
  <c r="O10" i="23"/>
  <c r="N10" i="23"/>
  <c r="M10" i="23"/>
  <c r="Q9" i="23"/>
  <c r="K9" i="23"/>
  <c r="K55" i="11"/>
  <c r="K52" i="11"/>
  <c r="K49" i="11"/>
  <c r="K47" i="11"/>
  <c r="K45" i="11"/>
  <c r="K42" i="11"/>
  <c r="K41" i="11"/>
  <c r="K40" i="11"/>
  <c r="K39" i="11"/>
  <c r="K38" i="11"/>
  <c r="K37" i="11"/>
  <c r="K36" i="11"/>
  <c r="K35" i="11"/>
  <c r="K34" i="11"/>
  <c r="K33" i="11"/>
  <c r="K30" i="11"/>
  <c r="K29" i="11"/>
  <c r="K28" i="11"/>
  <c r="K27" i="11"/>
  <c r="K26" i="11"/>
  <c r="K23" i="11"/>
  <c r="K24" i="11" s="1"/>
  <c r="K20" i="11"/>
  <c r="K19" i="11"/>
  <c r="K18" i="11"/>
  <c r="K17" i="11"/>
  <c r="K16" i="11"/>
  <c r="K15" i="11"/>
  <c r="K13" i="11"/>
  <c r="K12" i="11"/>
  <c r="K9" i="11"/>
  <c r="K31" i="11" l="1"/>
  <c r="Q34" i="23"/>
  <c r="K53" i="23"/>
  <c r="Q29" i="23"/>
  <c r="Q27" i="23"/>
  <c r="Q36" i="23"/>
  <c r="Q39" i="23"/>
  <c r="Q13" i="23"/>
  <c r="J72" i="23"/>
  <c r="Q45" i="23"/>
  <c r="Q49" i="23"/>
  <c r="Q10" i="23"/>
  <c r="Q37" i="23"/>
  <c r="M62" i="23"/>
  <c r="O62" i="23"/>
  <c r="N62" i="23"/>
  <c r="I72" i="23"/>
  <c r="N21" i="23"/>
  <c r="Q41" i="23"/>
  <c r="Q40" i="23"/>
  <c r="N31" i="23"/>
  <c r="K21" i="11"/>
  <c r="Q38" i="23"/>
  <c r="P53" i="23"/>
  <c r="M53" i="23"/>
  <c r="O53" i="23"/>
  <c r="Q52" i="23"/>
  <c r="P21" i="23"/>
  <c r="P31" i="23"/>
  <c r="Q47" i="23"/>
  <c r="H72" i="23"/>
  <c r="G58" i="23"/>
  <c r="G72" i="23" s="1"/>
  <c r="O31" i="23"/>
  <c r="Q30" i="23"/>
  <c r="K31" i="23"/>
  <c r="Q19" i="23"/>
  <c r="M21" i="23"/>
  <c r="O21" i="23"/>
  <c r="Q16" i="23"/>
  <c r="G96" i="23"/>
  <c r="Q23" i="23"/>
  <c r="H96" i="23"/>
  <c r="I96" i="23"/>
  <c r="Q33" i="23"/>
  <c r="Q12" i="23"/>
  <c r="T23" i="23"/>
  <c r="K24" i="23"/>
  <c r="M31" i="23"/>
  <c r="K43" i="23"/>
  <c r="N43" i="23"/>
  <c r="N53" i="23" s="1"/>
  <c r="K21" i="23"/>
  <c r="Q66" i="23"/>
  <c r="Q68" i="23" s="1"/>
  <c r="P64" i="11"/>
  <c r="O64" i="11"/>
  <c r="N64" i="11"/>
  <c r="M64" i="11"/>
  <c r="K64" i="11"/>
  <c r="Q64" i="11" s="1"/>
  <c r="P62" i="11"/>
  <c r="K62" i="11"/>
  <c r="Q62" i="11" s="1"/>
  <c r="P58" i="23" l="1"/>
  <c r="P72" i="23" s="1"/>
  <c r="Q53" i="23"/>
  <c r="Q31" i="23"/>
  <c r="Q21" i="23"/>
  <c r="K58" i="23"/>
  <c r="K72" i="23" s="1"/>
  <c r="Q43" i="23"/>
  <c r="M23" i="23"/>
  <c r="M24" i="23" s="1"/>
  <c r="O23" i="23"/>
  <c r="O24" i="23" s="1"/>
  <c r="O58" i="23" s="1"/>
  <c r="O72" i="23" s="1"/>
  <c r="N23" i="23"/>
  <c r="N24" i="23" s="1"/>
  <c r="N58" i="23" s="1"/>
  <c r="N72" i="23" s="1"/>
  <c r="O62" i="11"/>
  <c r="N62" i="11"/>
  <c r="M62" i="11"/>
  <c r="Q24" i="23" l="1"/>
  <c r="M58" i="23"/>
  <c r="M72" i="23" l="1"/>
  <c r="Q58" i="23"/>
  <c r="Q72" i="23" s="1"/>
  <c r="I17" i="8" l="1"/>
  <c r="I16" i="8"/>
  <c r="I15" i="8"/>
  <c r="O16" i="21" l="1"/>
  <c r="K15" i="21"/>
  <c r="K89" i="21"/>
  <c r="I95" i="21" s="1"/>
  <c r="Q70" i="21"/>
  <c r="P70" i="21"/>
  <c r="O70" i="21"/>
  <c r="N70" i="21"/>
  <c r="M70" i="21"/>
  <c r="K70" i="21"/>
  <c r="J70" i="21"/>
  <c r="I70" i="21"/>
  <c r="H70" i="21"/>
  <c r="G70" i="21"/>
  <c r="L69" i="21"/>
  <c r="L73" i="21" s="1"/>
  <c r="J69" i="21"/>
  <c r="G69" i="21"/>
  <c r="P67" i="21"/>
  <c r="M67" i="21"/>
  <c r="I69" i="21"/>
  <c r="H69" i="21"/>
  <c r="P65" i="21"/>
  <c r="O65" i="21"/>
  <c r="N65" i="21"/>
  <c r="M65" i="21"/>
  <c r="K65" i="21"/>
  <c r="Q65" i="21" s="1"/>
  <c r="P63" i="21"/>
  <c r="K63" i="21"/>
  <c r="Q55" i="21"/>
  <c r="K55" i="21"/>
  <c r="J53" i="21"/>
  <c r="I53" i="21"/>
  <c r="G53" i="21"/>
  <c r="P52" i="21"/>
  <c r="O52" i="21"/>
  <c r="N52" i="21"/>
  <c r="M52" i="21"/>
  <c r="K52" i="21"/>
  <c r="P49" i="21"/>
  <c r="O49" i="21"/>
  <c r="N49" i="21"/>
  <c r="M49" i="21"/>
  <c r="K49" i="21"/>
  <c r="P47" i="21"/>
  <c r="O47" i="21"/>
  <c r="N47" i="21"/>
  <c r="M47" i="21"/>
  <c r="K47" i="21"/>
  <c r="P45" i="21"/>
  <c r="O45" i="21"/>
  <c r="N45" i="21"/>
  <c r="M45" i="21"/>
  <c r="K45" i="21"/>
  <c r="P43" i="21"/>
  <c r="O43" i="21"/>
  <c r="M43" i="21"/>
  <c r="H43" i="21"/>
  <c r="H53" i="21" s="1"/>
  <c r="K42" i="21"/>
  <c r="P41" i="21"/>
  <c r="O41" i="21"/>
  <c r="N41" i="21"/>
  <c r="M41" i="21"/>
  <c r="P40" i="21"/>
  <c r="O40" i="21"/>
  <c r="N40" i="21"/>
  <c r="M40" i="21"/>
  <c r="K40" i="21"/>
  <c r="P39" i="21"/>
  <c r="O39" i="21"/>
  <c r="N39" i="21"/>
  <c r="M39" i="21"/>
  <c r="P38" i="21"/>
  <c r="O38" i="21"/>
  <c r="N38" i="21"/>
  <c r="M38" i="21"/>
  <c r="K38" i="21"/>
  <c r="P37" i="21"/>
  <c r="O37" i="21"/>
  <c r="N37" i="21"/>
  <c r="M37" i="21"/>
  <c r="K37" i="21"/>
  <c r="P36" i="21"/>
  <c r="O36" i="21"/>
  <c r="N36" i="21"/>
  <c r="M36" i="21"/>
  <c r="K36" i="21"/>
  <c r="K35" i="21"/>
  <c r="P34" i="21"/>
  <c r="O34" i="21"/>
  <c r="N34" i="21"/>
  <c r="M34" i="21"/>
  <c r="K34" i="21"/>
  <c r="P33" i="21"/>
  <c r="O33" i="21"/>
  <c r="N33" i="21"/>
  <c r="M33" i="21"/>
  <c r="K33" i="21"/>
  <c r="I31" i="21"/>
  <c r="H31" i="21"/>
  <c r="G31" i="21"/>
  <c r="P30" i="21"/>
  <c r="O30" i="21"/>
  <c r="N30" i="21"/>
  <c r="M30" i="21"/>
  <c r="K30" i="21"/>
  <c r="P29" i="21"/>
  <c r="O29" i="21"/>
  <c r="N29" i="21"/>
  <c r="M29" i="21"/>
  <c r="K29" i="21"/>
  <c r="Q28" i="21"/>
  <c r="K28" i="21"/>
  <c r="P27" i="21"/>
  <c r="O27" i="21"/>
  <c r="N27" i="21"/>
  <c r="M27" i="21"/>
  <c r="K27" i="21"/>
  <c r="Q26" i="21"/>
  <c r="K26" i="21"/>
  <c r="P24" i="21"/>
  <c r="I24" i="21"/>
  <c r="H24" i="21"/>
  <c r="G24" i="21"/>
  <c r="K23" i="21"/>
  <c r="T23" i="21" s="1"/>
  <c r="T21" i="21"/>
  <c r="J21" i="21"/>
  <c r="H21" i="21"/>
  <c r="G21" i="21"/>
  <c r="Y20" i="21"/>
  <c r="Y23" i="21" s="1"/>
  <c r="Q20" i="21"/>
  <c r="K20" i="21"/>
  <c r="P19" i="21"/>
  <c r="O19" i="21"/>
  <c r="N19" i="21"/>
  <c r="M19" i="21"/>
  <c r="K19" i="21"/>
  <c r="Q18" i="21"/>
  <c r="K18" i="21"/>
  <c r="Q17" i="21"/>
  <c r="K17" i="21"/>
  <c r="P16" i="21"/>
  <c r="N16" i="21"/>
  <c r="M16" i="21"/>
  <c r="Q15" i="21"/>
  <c r="O13" i="21"/>
  <c r="N13" i="21"/>
  <c r="M13" i="21"/>
  <c r="K13" i="21"/>
  <c r="P12" i="21"/>
  <c r="O12" i="21"/>
  <c r="N12" i="21"/>
  <c r="M12" i="21"/>
  <c r="K12" i="21"/>
  <c r="T12" i="21" s="1"/>
  <c r="O10" i="21"/>
  <c r="N10" i="21"/>
  <c r="M10" i="21"/>
  <c r="Q9" i="21"/>
  <c r="K9" i="21"/>
  <c r="Q63" i="21" l="1"/>
  <c r="N63" i="21" s="1"/>
  <c r="J58" i="21"/>
  <c r="J73" i="21" s="1"/>
  <c r="Q33" i="21"/>
  <c r="Q30" i="21"/>
  <c r="Q41" i="21"/>
  <c r="Q45" i="21"/>
  <c r="Q47" i="21"/>
  <c r="Q40" i="21"/>
  <c r="Q36" i="21"/>
  <c r="Q38" i="21"/>
  <c r="P31" i="21"/>
  <c r="Q39" i="21"/>
  <c r="Q49" i="21"/>
  <c r="P69" i="21"/>
  <c r="P53" i="21"/>
  <c r="K53" i="21"/>
  <c r="P21" i="21"/>
  <c r="M31" i="21"/>
  <c r="Q52" i="21"/>
  <c r="O53" i="21"/>
  <c r="Q27" i="21"/>
  <c r="Q37" i="21"/>
  <c r="G58" i="21"/>
  <c r="G73" i="21" s="1"/>
  <c r="G94" i="21" s="1"/>
  <c r="Q34" i="21"/>
  <c r="K90" i="21"/>
  <c r="G95" i="21" s="1"/>
  <c r="K31" i="21"/>
  <c r="O31" i="21"/>
  <c r="N31" i="21"/>
  <c r="K24" i="21"/>
  <c r="Q23" i="21"/>
  <c r="O23" i="21" s="1"/>
  <c r="O24" i="21" s="1"/>
  <c r="O21" i="21"/>
  <c r="K16" i="21"/>
  <c r="K21" i="21" s="1"/>
  <c r="Q16" i="21"/>
  <c r="I21" i="21"/>
  <c r="I58" i="21" s="1"/>
  <c r="I73" i="21" s="1"/>
  <c r="I94" i="21" s="1"/>
  <c r="I96" i="21" s="1"/>
  <c r="N21" i="21"/>
  <c r="M21" i="21"/>
  <c r="Q13" i="21"/>
  <c r="Q10" i="21"/>
  <c r="H58" i="21"/>
  <c r="H73" i="21" s="1"/>
  <c r="H94" i="21" s="1"/>
  <c r="H96" i="21" s="1"/>
  <c r="K67" i="21"/>
  <c r="Q29" i="21"/>
  <c r="N67" i="21"/>
  <c r="O67" i="21"/>
  <c r="K41" i="21"/>
  <c r="Q19" i="21"/>
  <c r="Q12" i="21"/>
  <c r="K43" i="21"/>
  <c r="N43" i="21"/>
  <c r="N53" i="21" s="1"/>
  <c r="K39" i="21"/>
  <c r="M53" i="21"/>
  <c r="O63" i="21" l="1"/>
  <c r="O69" i="21" s="1"/>
  <c r="M63" i="21"/>
  <c r="M69" i="21" s="1"/>
  <c r="P58" i="21"/>
  <c r="P73" i="21" s="1"/>
  <c r="N69" i="21"/>
  <c r="G96" i="21"/>
  <c r="Q31" i="21"/>
  <c r="M23" i="21"/>
  <c r="M24" i="21" s="1"/>
  <c r="M58" i="21" s="1"/>
  <c r="N23" i="21"/>
  <c r="N24" i="21" s="1"/>
  <c r="N58" i="21" s="1"/>
  <c r="O58" i="21"/>
  <c r="K58" i="21"/>
  <c r="Q21" i="21"/>
  <c r="Q53" i="21"/>
  <c r="K69" i="21"/>
  <c r="Q67" i="21"/>
  <c r="Q69" i="21" s="1"/>
  <c r="Q43" i="21"/>
  <c r="M73" i="21" l="1"/>
  <c r="N73" i="21"/>
  <c r="O73" i="21"/>
  <c r="K73" i="21"/>
  <c r="Q24" i="21"/>
  <c r="Q58" i="21"/>
  <c r="Q73" i="21" s="1"/>
  <c r="K85" i="21" l="1"/>
  <c r="K88" i="21" s="1"/>
  <c r="K92" i="21" s="1"/>
  <c r="I97" i="21" s="1"/>
  <c r="G97" i="21" l="1"/>
  <c r="H97" i="21"/>
  <c r="K63" i="15" l="1"/>
  <c r="Q63" i="15" s="1"/>
  <c r="K67" i="15" l="1"/>
  <c r="K63" i="8"/>
  <c r="Q63" i="8" s="1"/>
  <c r="K67" i="8"/>
  <c r="T21" i="15" l="1"/>
  <c r="K47" i="15"/>
  <c r="K89" i="15" l="1"/>
  <c r="I95" i="15" s="1"/>
  <c r="Q70" i="15"/>
  <c r="P70" i="15"/>
  <c r="O70" i="15"/>
  <c r="N70" i="15"/>
  <c r="M70" i="15"/>
  <c r="K70" i="15"/>
  <c r="J70" i="15"/>
  <c r="I70" i="15"/>
  <c r="H70" i="15"/>
  <c r="G70" i="15"/>
  <c r="L69" i="15"/>
  <c r="L73" i="15" s="1"/>
  <c r="J69" i="15"/>
  <c r="Q67" i="15"/>
  <c r="P67" i="15"/>
  <c r="N67" i="15"/>
  <c r="M67" i="15"/>
  <c r="P65" i="15"/>
  <c r="O65" i="15"/>
  <c r="N65" i="15"/>
  <c r="M65" i="15"/>
  <c r="K65" i="15"/>
  <c r="K69" i="15" s="1"/>
  <c r="N63" i="15"/>
  <c r="P63" i="15"/>
  <c r="Q55" i="15"/>
  <c r="K55" i="15"/>
  <c r="J53" i="15"/>
  <c r="I53" i="15"/>
  <c r="G53" i="15"/>
  <c r="K90" i="15" s="1"/>
  <c r="G95" i="15" s="1"/>
  <c r="P52" i="15"/>
  <c r="O52" i="15"/>
  <c r="N52" i="15"/>
  <c r="M52" i="15"/>
  <c r="K52" i="15"/>
  <c r="P49" i="15"/>
  <c r="O49" i="15"/>
  <c r="N49" i="15"/>
  <c r="M49" i="15"/>
  <c r="K49" i="15"/>
  <c r="P47" i="15"/>
  <c r="O47" i="15"/>
  <c r="N47" i="15"/>
  <c r="M47" i="15"/>
  <c r="P45" i="15"/>
  <c r="O45" i="15"/>
  <c r="N45" i="15"/>
  <c r="M45" i="15"/>
  <c r="K45" i="15"/>
  <c r="P43" i="15"/>
  <c r="O43" i="15"/>
  <c r="M43" i="15"/>
  <c r="H43" i="15"/>
  <c r="K43" i="15" s="1"/>
  <c r="K42" i="15"/>
  <c r="P41" i="15"/>
  <c r="O41" i="15"/>
  <c r="N41" i="15"/>
  <c r="M41" i="15"/>
  <c r="K41" i="15"/>
  <c r="P40" i="15"/>
  <c r="O40" i="15"/>
  <c r="N40" i="15"/>
  <c r="M40" i="15"/>
  <c r="K40" i="15"/>
  <c r="P39" i="15"/>
  <c r="O39" i="15"/>
  <c r="N39" i="15"/>
  <c r="M39" i="15"/>
  <c r="K39" i="15"/>
  <c r="P38" i="15"/>
  <c r="O38" i="15"/>
  <c r="N38" i="15"/>
  <c r="M38" i="15"/>
  <c r="K38" i="15"/>
  <c r="P37" i="15"/>
  <c r="O37" i="15"/>
  <c r="N37" i="15"/>
  <c r="M37" i="15"/>
  <c r="K37" i="15"/>
  <c r="P36" i="15"/>
  <c r="O36" i="15"/>
  <c r="N36" i="15"/>
  <c r="M36" i="15"/>
  <c r="K36" i="15"/>
  <c r="K35" i="15"/>
  <c r="P34" i="15"/>
  <c r="O34" i="15"/>
  <c r="N34" i="15"/>
  <c r="M34" i="15"/>
  <c r="K34" i="15"/>
  <c r="P33" i="15"/>
  <c r="O33" i="15"/>
  <c r="N33" i="15"/>
  <c r="M33" i="15"/>
  <c r="K33" i="15"/>
  <c r="I31" i="15"/>
  <c r="H31" i="15"/>
  <c r="G31" i="15"/>
  <c r="P30" i="15"/>
  <c r="N30" i="15"/>
  <c r="M30" i="15"/>
  <c r="O30" i="15"/>
  <c r="K30" i="15"/>
  <c r="P29" i="15"/>
  <c r="O29" i="15"/>
  <c r="N29" i="15"/>
  <c r="M29" i="15"/>
  <c r="K29" i="15"/>
  <c r="Q28" i="15"/>
  <c r="K28" i="15"/>
  <c r="P27" i="15"/>
  <c r="O27" i="15"/>
  <c r="N27" i="15"/>
  <c r="M27" i="15"/>
  <c r="K27" i="15"/>
  <c r="Q26" i="15"/>
  <c r="K26" i="15"/>
  <c r="P24" i="15"/>
  <c r="H24" i="15"/>
  <c r="G24" i="15"/>
  <c r="K23" i="15"/>
  <c r="K24" i="15" s="1"/>
  <c r="I24" i="15"/>
  <c r="J21" i="15"/>
  <c r="I21" i="15"/>
  <c r="H21" i="15"/>
  <c r="G21" i="15"/>
  <c r="Y20" i="15"/>
  <c r="Y23" i="15" s="1"/>
  <c r="Q20" i="15"/>
  <c r="K20" i="15"/>
  <c r="P19" i="15"/>
  <c r="O19" i="15"/>
  <c r="N19" i="15"/>
  <c r="M19" i="15"/>
  <c r="K19" i="15"/>
  <c r="Q18" i="15"/>
  <c r="K18" i="15"/>
  <c r="Q17" i="15"/>
  <c r="K17" i="15"/>
  <c r="P16" i="15"/>
  <c r="O16" i="15"/>
  <c r="N16" i="15"/>
  <c r="M16" i="15"/>
  <c r="K16" i="15"/>
  <c r="Q15" i="15"/>
  <c r="K15" i="15"/>
  <c r="O13" i="15"/>
  <c r="N13" i="15"/>
  <c r="M13" i="15"/>
  <c r="K13" i="15"/>
  <c r="P12" i="15"/>
  <c r="O12" i="15"/>
  <c r="N12" i="15"/>
  <c r="M12" i="15"/>
  <c r="K12" i="15"/>
  <c r="O10" i="15"/>
  <c r="N10" i="15"/>
  <c r="M10" i="15"/>
  <c r="Q9" i="15"/>
  <c r="K9" i="15"/>
  <c r="Q45" i="15" l="1"/>
  <c r="J58" i="15"/>
  <c r="J73" i="15" s="1"/>
  <c r="P69" i="15"/>
  <c r="Q49" i="15"/>
  <c r="Q38" i="15"/>
  <c r="I69" i="15"/>
  <c r="O21" i="15"/>
  <c r="Q16" i="15"/>
  <c r="N69" i="15"/>
  <c r="Q34" i="15"/>
  <c r="Q10" i="15"/>
  <c r="Q40" i="15"/>
  <c r="N43" i="15"/>
  <c r="N53" i="15" s="1"/>
  <c r="Q19" i="15"/>
  <c r="M21" i="15"/>
  <c r="M53" i="15"/>
  <c r="Q41" i="15"/>
  <c r="Q29" i="15"/>
  <c r="P21" i="15"/>
  <c r="P31" i="15"/>
  <c r="O53" i="15"/>
  <c r="Q39" i="15"/>
  <c r="P53" i="15"/>
  <c r="Q52" i="15"/>
  <c r="Q13" i="15"/>
  <c r="Q27" i="15"/>
  <c r="Q37" i="15"/>
  <c r="Q47" i="15"/>
  <c r="O67" i="15"/>
  <c r="G69" i="15"/>
  <c r="I58" i="15"/>
  <c r="N31" i="15"/>
  <c r="Q30" i="15"/>
  <c r="G58" i="15"/>
  <c r="Q23" i="15"/>
  <c r="O23" i="15" s="1"/>
  <c r="O24" i="15" s="1"/>
  <c r="T23" i="15"/>
  <c r="N21" i="15"/>
  <c r="K21" i="15"/>
  <c r="T12" i="15"/>
  <c r="K31" i="15"/>
  <c r="O31" i="15"/>
  <c r="Q36" i="15"/>
  <c r="H69" i="15"/>
  <c r="M31" i="15"/>
  <c r="Q12" i="15"/>
  <c r="Q33" i="15"/>
  <c r="Q65" i="15"/>
  <c r="Q69" i="15" s="1"/>
  <c r="M63" i="15"/>
  <c r="M69" i="15" s="1"/>
  <c r="H53" i="15"/>
  <c r="H58" i="15" s="1"/>
  <c r="O63" i="15"/>
  <c r="I73" i="15" l="1"/>
  <c r="H73" i="15"/>
  <c r="G73" i="15"/>
  <c r="Q21" i="15"/>
  <c r="Q53" i="15"/>
  <c r="P58" i="15"/>
  <c r="P73" i="15" s="1"/>
  <c r="Q43" i="15"/>
  <c r="O69" i="15"/>
  <c r="K53" i="15"/>
  <c r="N23" i="15"/>
  <c r="N24" i="15" s="1"/>
  <c r="N58" i="15" s="1"/>
  <c r="N73" i="15" s="1"/>
  <c r="M23" i="15"/>
  <c r="M24" i="15" s="1"/>
  <c r="M58" i="15" s="1"/>
  <c r="M73" i="15" s="1"/>
  <c r="O58" i="15"/>
  <c r="K58" i="15"/>
  <c r="K73" i="15" s="1"/>
  <c r="Q31" i="15"/>
  <c r="H21" i="8"/>
  <c r="I21" i="8"/>
  <c r="J21" i="8"/>
  <c r="G21" i="8"/>
  <c r="I94" i="15" l="1"/>
  <c r="I96" i="15" s="1"/>
  <c r="H94" i="15"/>
  <c r="H96" i="15" s="1"/>
  <c r="G94" i="15"/>
  <c r="G96" i="15" s="1"/>
  <c r="Q24" i="15"/>
  <c r="O73" i="15"/>
  <c r="K85" i="15"/>
  <c r="K88" i="15" s="1"/>
  <c r="K92" i="15" s="1"/>
  <c r="Q58" i="15"/>
  <c r="Q73" i="15" s="1"/>
  <c r="G97" i="15" l="1"/>
  <c r="I97" i="15"/>
  <c r="H97" i="15"/>
  <c r="G95" i="11" l="1"/>
  <c r="G31" i="8"/>
  <c r="H31" i="8"/>
  <c r="I31" i="8"/>
  <c r="K89" i="8"/>
  <c r="I95" i="8" s="1"/>
  <c r="L69" i="8"/>
  <c r="P65" i="8"/>
  <c r="O65" i="8"/>
  <c r="N65" i="8"/>
  <c r="M65" i="8"/>
  <c r="K65" i="8"/>
  <c r="Q65" i="8" s="1"/>
  <c r="G24" i="8"/>
  <c r="H24" i="8"/>
  <c r="K13" i="8"/>
  <c r="K12" i="8"/>
  <c r="P63" i="8"/>
  <c r="K34" i="8"/>
  <c r="K35" i="8"/>
  <c r="K36" i="8"/>
  <c r="K37" i="8"/>
  <c r="K38" i="8"/>
  <c r="K39" i="8"/>
  <c r="K40" i="8"/>
  <c r="K41" i="8"/>
  <c r="K42" i="8"/>
  <c r="K33" i="8"/>
  <c r="K29" i="8"/>
  <c r="K28" i="8"/>
  <c r="K27" i="8"/>
  <c r="K26" i="8"/>
  <c r="K16" i="8"/>
  <c r="K17" i="8"/>
  <c r="K18" i="8"/>
  <c r="K19" i="8"/>
  <c r="K20" i="8"/>
  <c r="K15" i="8"/>
  <c r="K9" i="8"/>
  <c r="K21" i="8" l="1"/>
  <c r="K23" i="8"/>
  <c r="K24" i="8" s="1"/>
  <c r="I24" i="8"/>
  <c r="K30" i="8"/>
  <c r="K31" i="8" s="1"/>
  <c r="I95" i="11" l="1"/>
  <c r="H95" i="11"/>
  <c r="K87" i="11"/>
  <c r="K91" i="11" s="1"/>
  <c r="L72" i="11"/>
  <c r="Q69" i="11"/>
  <c r="P69" i="11"/>
  <c r="O69" i="11"/>
  <c r="N69" i="11"/>
  <c r="M69" i="11"/>
  <c r="K69" i="11"/>
  <c r="J69" i="11"/>
  <c r="I69" i="11"/>
  <c r="H69" i="11"/>
  <c r="G69" i="11"/>
  <c r="J68" i="11"/>
  <c r="I68" i="11"/>
  <c r="H68" i="11"/>
  <c r="G68" i="11"/>
  <c r="P66" i="11"/>
  <c r="P68" i="11" s="1"/>
  <c r="O66" i="11"/>
  <c r="O68" i="11" s="1"/>
  <c r="N66" i="11"/>
  <c r="N68" i="11" s="1"/>
  <c r="M66" i="11"/>
  <c r="M68" i="11" s="1"/>
  <c r="K66" i="11"/>
  <c r="K68" i="11" s="1"/>
  <c r="Q55" i="11"/>
  <c r="J53" i="11"/>
  <c r="J58" i="11" s="1"/>
  <c r="I53" i="11"/>
  <c r="I58" i="11" s="1"/>
  <c r="G53" i="11"/>
  <c r="P52" i="11"/>
  <c r="O52" i="11"/>
  <c r="N52" i="11"/>
  <c r="M52" i="11"/>
  <c r="P49" i="11"/>
  <c r="O49" i="11"/>
  <c r="N49" i="11"/>
  <c r="M49" i="11"/>
  <c r="P47" i="11"/>
  <c r="O47" i="11"/>
  <c r="N47" i="11"/>
  <c r="M47" i="11"/>
  <c r="P45" i="11"/>
  <c r="O45" i="11"/>
  <c r="N45" i="11"/>
  <c r="M45" i="11"/>
  <c r="P43" i="11"/>
  <c r="O43" i="11"/>
  <c r="M43" i="11"/>
  <c r="H43" i="11"/>
  <c r="P41" i="11"/>
  <c r="O41" i="11"/>
  <c r="N41" i="11"/>
  <c r="M41" i="11"/>
  <c r="P40" i="11"/>
  <c r="O40" i="11"/>
  <c r="N40" i="11"/>
  <c r="M40" i="11"/>
  <c r="P39" i="11"/>
  <c r="O39" i="11"/>
  <c r="N39" i="11"/>
  <c r="M39" i="11"/>
  <c r="P38" i="11"/>
  <c r="O38" i="11"/>
  <c r="N38" i="11"/>
  <c r="M38" i="11"/>
  <c r="P37" i="11"/>
  <c r="O37" i="11"/>
  <c r="N37" i="11"/>
  <c r="M37" i="11"/>
  <c r="P36" i="11"/>
  <c r="O36" i="11"/>
  <c r="N36" i="11"/>
  <c r="M36" i="11"/>
  <c r="P34" i="11"/>
  <c r="O34" i="11"/>
  <c r="N34" i="11"/>
  <c r="M34" i="11"/>
  <c r="P33" i="11"/>
  <c r="O33" i="11"/>
  <c r="N33" i="11"/>
  <c r="M33" i="11"/>
  <c r="P30" i="11"/>
  <c r="O30" i="11"/>
  <c r="N30" i="11"/>
  <c r="M30" i="11"/>
  <c r="P29" i="11"/>
  <c r="O29" i="11"/>
  <c r="N29" i="11"/>
  <c r="M29" i="11"/>
  <c r="Q28" i="11"/>
  <c r="P27" i="11"/>
  <c r="O27" i="11"/>
  <c r="N27" i="11"/>
  <c r="M27" i="11"/>
  <c r="Q26" i="11"/>
  <c r="P24" i="11"/>
  <c r="T23" i="11"/>
  <c r="Y20" i="11"/>
  <c r="Y23" i="11" s="1"/>
  <c r="Q23" i="11" s="1"/>
  <c r="Q20" i="11"/>
  <c r="P19" i="11"/>
  <c r="O19" i="11"/>
  <c r="N19" i="11"/>
  <c r="M19" i="11"/>
  <c r="Q18" i="11"/>
  <c r="Q17" i="11"/>
  <c r="P16" i="11"/>
  <c r="O16" i="11"/>
  <c r="N16" i="11"/>
  <c r="M16" i="11"/>
  <c r="Q15" i="11"/>
  <c r="O13" i="11"/>
  <c r="N13" i="11"/>
  <c r="M13" i="11"/>
  <c r="T12" i="11"/>
  <c r="P12" i="11"/>
  <c r="O12" i="11"/>
  <c r="N12" i="11"/>
  <c r="M12" i="11"/>
  <c r="O10" i="11"/>
  <c r="N10" i="11"/>
  <c r="M10" i="11"/>
  <c r="Q9" i="11"/>
  <c r="N43" i="11" l="1"/>
  <c r="N53" i="11" s="1"/>
  <c r="K43" i="11"/>
  <c r="J72" i="11"/>
  <c r="P31" i="11"/>
  <c r="Q34" i="11"/>
  <c r="Q30" i="11"/>
  <c r="Q36" i="11"/>
  <c r="Q39" i="11"/>
  <c r="Q16" i="11"/>
  <c r="O21" i="11"/>
  <c r="Q12" i="11"/>
  <c r="O31" i="11"/>
  <c r="Q52" i="11"/>
  <c r="N21" i="11"/>
  <c r="M31" i="11"/>
  <c r="Q47" i="11"/>
  <c r="H53" i="11"/>
  <c r="H58" i="11" s="1"/>
  <c r="H72" i="11" s="1"/>
  <c r="N31" i="11"/>
  <c r="P21" i="11"/>
  <c r="Q19" i="11"/>
  <c r="M53" i="11"/>
  <c r="Q49" i="11"/>
  <c r="Q37" i="11"/>
  <c r="Q13" i="11"/>
  <c r="O53" i="11"/>
  <c r="Q45" i="11"/>
  <c r="Q29" i="11"/>
  <c r="P53" i="11"/>
  <c r="Q40" i="11"/>
  <c r="Q41" i="11"/>
  <c r="Q10" i="11"/>
  <c r="Q38" i="11"/>
  <c r="I72" i="11"/>
  <c r="G96" i="11"/>
  <c r="H96" i="11"/>
  <c r="I96" i="11"/>
  <c r="M21" i="11"/>
  <c r="G58" i="11"/>
  <c r="Q66" i="11"/>
  <c r="Q68" i="11" s="1"/>
  <c r="Q33" i="11"/>
  <c r="Q27" i="11"/>
  <c r="K58" i="11" l="1"/>
  <c r="K72" i="11" s="1"/>
  <c r="Q43" i="11"/>
  <c r="K53" i="11"/>
  <c r="Q21" i="11"/>
  <c r="P58" i="11"/>
  <c r="P72" i="11" s="1"/>
  <c r="Q31" i="11"/>
  <c r="Q53" i="11"/>
  <c r="G72" i="11"/>
  <c r="M23" i="11" l="1"/>
  <c r="M24" i="11" s="1"/>
  <c r="N23" i="11"/>
  <c r="N24" i="11" s="1"/>
  <c r="N58" i="11" s="1"/>
  <c r="N72" i="11" s="1"/>
  <c r="O23" i="11"/>
  <c r="O24" i="11" s="1"/>
  <c r="O58" i="11" s="1"/>
  <c r="O72" i="11" s="1"/>
  <c r="Q24" i="11" l="1"/>
  <c r="M58" i="11"/>
  <c r="Q58" i="11" l="1"/>
  <c r="Q72" i="11" s="1"/>
  <c r="M72" i="11"/>
  <c r="L73" i="8" l="1"/>
  <c r="Q70" i="8"/>
  <c r="P70" i="8"/>
  <c r="O70" i="8"/>
  <c r="N70" i="8"/>
  <c r="M70" i="8"/>
  <c r="K70" i="8"/>
  <c r="J70" i="8"/>
  <c r="I70" i="8"/>
  <c r="H70" i="8"/>
  <c r="G70" i="8"/>
  <c r="J69" i="8"/>
  <c r="P67" i="8"/>
  <c r="P69" i="8" s="1"/>
  <c r="Q55" i="8"/>
  <c r="K55" i="8"/>
  <c r="J53" i="8"/>
  <c r="J58" i="8" s="1"/>
  <c r="I53" i="8"/>
  <c r="I58" i="8" s="1"/>
  <c r="G53" i="8"/>
  <c r="P52" i="8"/>
  <c r="O52" i="8"/>
  <c r="N52" i="8"/>
  <c r="M52" i="8"/>
  <c r="K52" i="8"/>
  <c r="P49" i="8"/>
  <c r="O49" i="8"/>
  <c r="N49" i="8"/>
  <c r="M49" i="8"/>
  <c r="K49" i="8"/>
  <c r="P47" i="8"/>
  <c r="O47" i="8"/>
  <c r="N47" i="8"/>
  <c r="M47" i="8"/>
  <c r="K47" i="8"/>
  <c r="P45" i="8"/>
  <c r="O45" i="8"/>
  <c r="N45" i="8"/>
  <c r="M45" i="8"/>
  <c r="K45" i="8"/>
  <c r="P43" i="8"/>
  <c r="O43" i="8"/>
  <c r="M43" i="8"/>
  <c r="H43" i="8"/>
  <c r="K43" i="8" s="1"/>
  <c r="P41" i="8"/>
  <c r="O41" i="8"/>
  <c r="N41" i="8"/>
  <c r="M41" i="8"/>
  <c r="P40" i="8"/>
  <c r="O40" i="8"/>
  <c r="N40" i="8"/>
  <c r="M40" i="8"/>
  <c r="P39" i="8"/>
  <c r="O39" i="8"/>
  <c r="N39" i="8"/>
  <c r="M39" i="8"/>
  <c r="P38" i="8"/>
  <c r="O38" i="8"/>
  <c r="N38" i="8"/>
  <c r="M38" i="8"/>
  <c r="P37" i="8"/>
  <c r="O37" i="8"/>
  <c r="N37" i="8"/>
  <c r="M37" i="8"/>
  <c r="P36" i="8"/>
  <c r="O36" i="8"/>
  <c r="N36" i="8"/>
  <c r="M36" i="8"/>
  <c r="P34" i="8"/>
  <c r="O34" i="8"/>
  <c r="N34" i="8"/>
  <c r="M34" i="8"/>
  <c r="P33" i="8"/>
  <c r="O33" i="8"/>
  <c r="N33" i="8"/>
  <c r="M33" i="8"/>
  <c r="P30" i="8"/>
  <c r="O30" i="8"/>
  <c r="N30" i="8"/>
  <c r="M30" i="8"/>
  <c r="P29" i="8"/>
  <c r="O29" i="8"/>
  <c r="N29" i="8"/>
  <c r="M29" i="8"/>
  <c r="Q28" i="8"/>
  <c r="P27" i="8"/>
  <c r="O27" i="8"/>
  <c r="N27" i="8"/>
  <c r="M27" i="8"/>
  <c r="Q26" i="8"/>
  <c r="P24" i="8"/>
  <c r="T23" i="8"/>
  <c r="Y20" i="8"/>
  <c r="Y23" i="8" s="1"/>
  <c r="Q23" i="8" s="1"/>
  <c r="Q20" i="8"/>
  <c r="P19" i="8"/>
  <c r="O19" i="8"/>
  <c r="N19" i="8"/>
  <c r="M19" i="8"/>
  <c r="Q18" i="8"/>
  <c r="Q17" i="8"/>
  <c r="P16" i="8"/>
  <c r="O16" i="8"/>
  <c r="N16" i="8"/>
  <c r="M16" i="8"/>
  <c r="Q15" i="8"/>
  <c r="O13" i="8"/>
  <c r="N13" i="8"/>
  <c r="M13" i="8"/>
  <c r="T12" i="8"/>
  <c r="P12" i="8"/>
  <c r="O12" i="8"/>
  <c r="N12" i="8"/>
  <c r="M12" i="8"/>
  <c r="O10" i="8"/>
  <c r="N10" i="8"/>
  <c r="M10" i="8"/>
  <c r="Q9" i="8"/>
  <c r="G58" i="8" l="1"/>
  <c r="J73" i="8"/>
  <c r="K90" i="8"/>
  <c r="G95" i="8" s="1"/>
  <c r="Q49" i="8"/>
  <c r="Q45" i="8"/>
  <c r="M21" i="8"/>
  <c r="P31" i="8"/>
  <c r="Q40" i="8"/>
  <c r="Q29" i="8"/>
  <c r="Q34" i="8"/>
  <c r="Q38" i="8"/>
  <c r="Q41" i="8"/>
  <c r="Q39" i="8"/>
  <c r="Q52" i="8"/>
  <c r="Q47" i="8"/>
  <c r="Q36" i="8"/>
  <c r="N31" i="8"/>
  <c r="Q33" i="8"/>
  <c r="Q37" i="8"/>
  <c r="N43" i="8"/>
  <c r="Q43" i="8" s="1"/>
  <c r="O31" i="8"/>
  <c r="P21" i="8"/>
  <c r="O53" i="8"/>
  <c r="Q16" i="8"/>
  <c r="Q30" i="8"/>
  <c r="M31" i="8"/>
  <c r="N21" i="8"/>
  <c r="O21" i="8"/>
  <c r="Q12" i="8"/>
  <c r="Q13" i="8"/>
  <c r="Q10" i="8"/>
  <c r="M53" i="8"/>
  <c r="P53" i="8"/>
  <c r="Q19" i="8"/>
  <c r="Q27" i="8"/>
  <c r="H53" i="8"/>
  <c r="H58" i="8" s="1"/>
  <c r="K58" i="8" l="1"/>
  <c r="N53" i="8"/>
  <c r="Q53" i="8" s="1"/>
  <c r="P58" i="8"/>
  <c r="P73" i="8" s="1"/>
  <c r="Q21" i="8"/>
  <c r="Q31" i="8"/>
  <c r="K53" i="8"/>
  <c r="N23" i="8" l="1"/>
  <c r="N24" i="8" s="1"/>
  <c r="O23" i="8"/>
  <c r="O24" i="8" s="1"/>
  <c r="O58" i="8" s="1"/>
  <c r="M23" i="8"/>
  <c r="M24" i="8" s="1"/>
  <c r="M58" i="8" s="1"/>
  <c r="N58" i="8" l="1"/>
  <c r="Q24" i="8"/>
  <c r="Q58" i="8" l="1"/>
  <c r="N67" i="8" l="1"/>
  <c r="Q67" i="8"/>
  <c r="M67" i="8"/>
  <c r="O67" i="8" l="1"/>
  <c r="H69" i="8"/>
  <c r="H73" i="8" s="1"/>
  <c r="H94" i="8" s="1"/>
  <c r="H96" i="8" s="1"/>
  <c r="G69" i="8"/>
  <c r="G73" i="8" s="1"/>
  <c r="G94" i="8" s="1"/>
  <c r="G96" i="8" s="1"/>
  <c r="M63" i="8"/>
  <c r="M69" i="8" s="1"/>
  <c r="M73" i="8" s="1"/>
  <c r="I69" i="8"/>
  <c r="I73" i="8" s="1"/>
  <c r="I94" i="8" s="1"/>
  <c r="I96" i="8" s="1"/>
  <c r="K69" i="8"/>
  <c r="K73" i="8" l="1"/>
  <c r="O63" i="8"/>
  <c r="O69" i="8" s="1"/>
  <c r="N63" i="8"/>
  <c r="N69" i="8" s="1"/>
  <c r="N73" i="8" s="1"/>
  <c r="Q69" i="8"/>
  <c r="Q73" i="8" s="1"/>
  <c r="K85" i="8" l="1"/>
  <c r="K88" i="8" s="1"/>
  <c r="K92" i="8" s="1"/>
  <c r="I97" i="8" s="1"/>
  <c r="O73" i="8"/>
  <c r="J47" i="1" l="1"/>
  <c r="J48" i="1" s="1"/>
  <c r="J49" i="1" s="1"/>
  <c r="G97" i="8"/>
  <c r="H9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Lloyd E. Keyser</author>
    <author>tc={AF4B2374-586C-47F0-9A15-E4888D69AD60}</author>
  </authors>
  <commentList>
    <comment ref="Y14" authorId="0" shapeId="0" xr:uid="{35F73E66-7203-4A17-8CC8-DEEC6CFF01C1}">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AF4B2374-586C-47F0-9A15-E4888D69AD60}">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Lloyd E. Keyser</author>
    <author>tc={A3F2E28A-AE9F-4229-B677-9D1A372B8006}</author>
  </authors>
  <commentList>
    <comment ref="Y14" authorId="0" shapeId="0" xr:uid="{514CF305-710A-4935-B878-E767E5623D89}">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A3F2E28A-AE9F-4229-B677-9D1A372B8006}">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Lloyd E. Keyser</author>
    <author>tc={C4CB7BEA-FC3B-4A5F-85F6-3EB308EBA795}</author>
  </authors>
  <commentList>
    <comment ref="Y14" authorId="0" shapeId="0" xr:uid="{1BC75A54-39EC-4EA8-AAF4-6C8DA5E9E396}">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C4CB7BEA-FC3B-4A5F-85F6-3EB308EBA795}">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Lloyd E. Keyser</author>
  </authors>
  <commentList>
    <comment ref="Y14" authorId="0" shapeId="0" xr:uid="{DFA29805-445B-4172-A9DA-1A69513C43C1}">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Lloyd E. Keyser</author>
    <author>tc={6D98BFB9-0CD8-4DCB-9CC4-2E8CE1228CE3}</author>
  </authors>
  <commentList>
    <comment ref="Y14" authorId="0" shapeId="0" xr:uid="{4370AA7A-ED48-4063-A214-5702D610F145}">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6D98BFB9-0CD8-4DCB-9CC4-2E8CE1228CE3}">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Lloyd E. Keyser</author>
    <author>tc={378FEB01-A08F-44AC-A4F7-40828CB01FBD}</author>
  </authors>
  <commentList>
    <comment ref="Y14" authorId="0" shapeId="0" xr:uid="{1FA6EBCF-43E5-4009-99DF-71A7A2B07650}">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2" authorId="1" shapeId="0" xr:uid="{378FEB01-A08F-44AC-A4F7-40828CB01FBD}">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Lloyd E. Keyser</author>
    <author>tc={63014D64-3FA4-4027-9B26-8AD5EBA9881A}</author>
  </authors>
  <commentList>
    <comment ref="Y14" authorId="0" shapeId="0" xr:uid="{3D64CE1C-CEF3-4B17-BCFD-4DC21A3981D7}">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2" authorId="1" shapeId="0" xr:uid="{63014D64-3FA4-4027-9B26-8AD5EBA9881A}">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Lloyd E. Keyser</author>
    <author>tc={A76E7434-6873-4386-BFA8-164190924097}</author>
  </authors>
  <commentList>
    <comment ref="Y14" authorId="0" shapeId="0" xr:uid="{A1D18BC0-4801-47D0-9FD1-740B9E4B0571}">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A76E7434-6873-4386-BFA8-164190924097}">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Lloyd E. Keyser</author>
    <author>tc={62339020-61B0-4005-802C-0714D064B174}</author>
  </authors>
  <commentList>
    <comment ref="Y14" authorId="0" shapeId="0" xr:uid="{E2617DD6-C586-4952-B176-1785861F931C}">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62339020-61B0-4005-802C-0714D064B174}">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sharedStrings.xml><?xml version="1.0" encoding="utf-8"?>
<sst xmlns="http://schemas.openxmlformats.org/spreadsheetml/2006/main" count="1142" uniqueCount="198">
  <si>
    <t>KENTUCKY POWER COMPANY</t>
  </si>
  <si>
    <t>EXPENSE DEFERRAL REQUEST</t>
  </si>
  <si>
    <t>Incremental</t>
  </si>
  <si>
    <t>Major Storms</t>
  </si>
  <si>
    <t>Storm Dates</t>
  </si>
  <si>
    <t>O&amp;M</t>
  </si>
  <si>
    <t>Kentucky Power</t>
  </si>
  <si>
    <t>Major Event Cost Recap</t>
  </si>
  <si>
    <t>A</t>
  </si>
  <si>
    <t>B</t>
  </si>
  <si>
    <t>C</t>
  </si>
  <si>
    <t>D</t>
  </si>
  <si>
    <t>A+B+C+D</t>
  </si>
  <si>
    <t>Detailed Restoration Costs</t>
  </si>
  <si>
    <t>Capitalized</t>
  </si>
  <si>
    <t>Accumulated</t>
  </si>
  <si>
    <t>Expensed</t>
  </si>
  <si>
    <t>Unallocated</t>
  </si>
  <si>
    <t>Total Cost</t>
  </si>
  <si>
    <t>Depreciation</t>
  </si>
  <si>
    <t>(Capital)</t>
  </si>
  <si>
    <t>(Removal)</t>
  </si>
  <si>
    <t>(O&amp;M)</t>
  </si>
  <si>
    <t>to Restore</t>
  </si>
  <si>
    <t>In House Costs</t>
  </si>
  <si>
    <t>Regular Time</t>
  </si>
  <si>
    <t>Dollars</t>
  </si>
  <si>
    <t>Salary &amp; Wages</t>
  </si>
  <si>
    <t>Hours</t>
  </si>
  <si>
    <t>Overtime</t>
  </si>
  <si>
    <t>Incremental Fleet Calculation:</t>
  </si>
  <si>
    <t>Salary &amp; Wage</t>
  </si>
  <si>
    <t>ST Fringes</t>
  </si>
  <si>
    <t>Overheads</t>
  </si>
  <si>
    <t>OT Fringes</t>
  </si>
  <si>
    <t>2009 Storms 8 &amp; 9 - Total Fleet Cost</t>
  </si>
  <si>
    <t>Other Labor Fringes</t>
  </si>
  <si>
    <t>Incentives</t>
  </si>
  <si>
    <t>Construction/Retirement</t>
  </si>
  <si>
    <t>2009 Storms 8 &amp; 9 - Calculated Incremental Fleet Cost</t>
  </si>
  <si>
    <t>All Other Overheads</t>
  </si>
  <si>
    <t>Total Salary &amp; Wages</t>
  </si>
  <si>
    <t>Historical % Of Incremental to Total</t>
  </si>
  <si>
    <t>Transportation</t>
  </si>
  <si>
    <t>Fleet</t>
  </si>
  <si>
    <t>Total Transportation</t>
  </si>
  <si>
    <t>Other Cost Category</t>
  </si>
  <si>
    <t>Cell Phone</t>
  </si>
  <si>
    <t>Lump Sum Pmts</t>
  </si>
  <si>
    <t>External Communications</t>
  </si>
  <si>
    <t>Employee Expenses</t>
  </si>
  <si>
    <t>Misc</t>
  </si>
  <si>
    <t>Total Other Cost Category</t>
  </si>
  <si>
    <t>Materials &amp;</t>
  </si>
  <si>
    <t xml:space="preserve">Towers, Poles, </t>
  </si>
  <si>
    <t>Poles</t>
  </si>
  <si>
    <t>Supplies</t>
  </si>
  <si>
    <t>&amp; Fixtures</t>
  </si>
  <si>
    <t>Cross arms</t>
  </si>
  <si>
    <t>Overhead Conductors</t>
  </si>
  <si>
    <t>Wire</t>
  </si>
  <si>
    <t>&amp; Devices</t>
  </si>
  <si>
    <t>Cutouts</t>
  </si>
  <si>
    <t>Splices</t>
  </si>
  <si>
    <t>Transformer</t>
  </si>
  <si>
    <t>Insulator</t>
  </si>
  <si>
    <t>Other</t>
  </si>
  <si>
    <t>Line Transformers</t>
  </si>
  <si>
    <t>Services</t>
  </si>
  <si>
    <t>Meters</t>
  </si>
  <si>
    <t>Lighting &amp; Signal</t>
  </si>
  <si>
    <t>Systems</t>
  </si>
  <si>
    <t xml:space="preserve">Total Materials </t>
  </si>
  <si>
    <t>Cost of Providing</t>
  </si>
  <si>
    <t>Temporary Electric Svc</t>
  </si>
  <si>
    <t>TOTAL IN HOUSE COSTS</t>
  </si>
  <si>
    <t>Outside Contracted Services</t>
  </si>
  <si>
    <t>D.H. Elliot</t>
  </si>
  <si>
    <t>Other Contractor</t>
  </si>
  <si>
    <t>TOTAL OUTSIDE CONTRACTED SERVICES</t>
  </si>
  <si>
    <t>Total Restoration Costs</t>
  </si>
  <si>
    <t>Cognos</t>
  </si>
  <si>
    <t>Less: Accrual not yet reversed</t>
  </si>
  <si>
    <t xml:space="preserve">Total </t>
  </si>
  <si>
    <t>Less: Asplundh &amp; Wright Tree(all O&amp;M)</t>
  </si>
  <si>
    <t>Less: Materials (all Captial)</t>
  </si>
  <si>
    <t>Total  for Splits</t>
  </si>
  <si>
    <t>Other Bud Cat</t>
  </si>
  <si>
    <t>Less: Above items</t>
  </si>
  <si>
    <t>Total for Splits</t>
  </si>
  <si>
    <t>% Split</t>
  </si>
  <si>
    <t>Capital</t>
  </si>
  <si>
    <t>Removal</t>
  </si>
  <si>
    <t>Total</t>
  </si>
  <si>
    <t xml:space="preserve">Forestry </t>
  </si>
  <si>
    <t>Distribution O&amp;M</t>
  </si>
  <si>
    <t>Allocation Factor</t>
  </si>
  <si>
    <t>JMED</t>
  </si>
  <si>
    <t>Storm Project</t>
  </si>
  <si>
    <t>2025 Storms</t>
  </si>
  <si>
    <t>Costs</t>
  </si>
  <si>
    <t>Kentucky Power Company</t>
  </si>
  <si>
    <t>Normalization of Storm Damage Expense</t>
  </si>
  <si>
    <t>Test Year Ended March 31, 2023</t>
  </si>
  <si>
    <t>W16</t>
  </si>
  <si>
    <t>Twelve Months Ended March 31,</t>
  </si>
  <si>
    <t>Line No.</t>
  </si>
  <si>
    <t>Description</t>
  </si>
  <si>
    <t>Three-Year Average</t>
  </si>
  <si>
    <t>FERC Account</t>
  </si>
  <si>
    <t>(a)</t>
  </si>
  <si>
    <t>(b)</t>
  </si>
  <si>
    <t>(c)</t>
  </si>
  <si>
    <t>(d)</t>
  </si>
  <si>
    <t>(e)</t>
  </si>
  <si>
    <t>(f)</t>
  </si>
  <si>
    <t>Storm Expense - Distribution</t>
  </si>
  <si>
    <t>Storm Expense - Transmission</t>
  </si>
  <si>
    <t>Total (Ln 1 +2)</t>
  </si>
  <si>
    <t>Distribution Adjustment</t>
  </si>
  <si>
    <t>Not Representative</t>
  </si>
  <si>
    <t>Requested Baseline:  Level Approved in Case No. 2020-00174</t>
  </si>
  <si>
    <t>Test-Year Expense</t>
  </si>
  <si>
    <t xml:space="preserve">Distribution Adjustment (Ln 6 - Ln 7) </t>
  </si>
  <si>
    <t>Allocation Factor - GP-DIST</t>
  </si>
  <si>
    <t>KPSC Jurisdiction Amount (Ln 8 X Ln 9)</t>
  </si>
  <si>
    <t>Transmission Adjustment</t>
  </si>
  <si>
    <t xml:space="preserve">Three-Year Average </t>
  </si>
  <si>
    <t>Requested Baseline:  Test Year Expense</t>
  </si>
  <si>
    <t>Transmission Adjustment (Ln 13 - Ln 14)</t>
  </si>
  <si>
    <t xml:space="preserve">$— </t>
  </si>
  <si>
    <t>Allocation Factor - GP-TRANS</t>
  </si>
  <si>
    <t>KPSC Jurisdiction Amount (Ln 15 X Ln 16)</t>
  </si>
  <si>
    <t>—</t>
  </si>
  <si>
    <t>Witness:</t>
  </si>
  <si>
    <t>H.M. Whitney</t>
  </si>
  <si>
    <t>DMS25KK08</t>
  </si>
  <si>
    <t>DMS25KK02</t>
  </si>
  <si>
    <t>2025 Feb 11 Snow event</t>
  </si>
  <si>
    <t>02/11/2025 Snow storm TOTAL COST</t>
  </si>
  <si>
    <t>02/11/2025 Snow storm  INCREMENTAL COST</t>
  </si>
  <si>
    <t>Thunderstorm:02/11/2025</t>
  </si>
  <si>
    <t>DMS25KK05</t>
  </si>
  <si>
    <t>03/31/2025 Flood ThunderStorm TOTAL COST</t>
  </si>
  <si>
    <t>03/31/2025 Flood ThunderStorm  INCREMENTAL COST</t>
  </si>
  <si>
    <t>2025 Mar 31 Flood/Thunderstorm event</t>
  </si>
  <si>
    <t>04/03/2025 Thunderstorm TOTAL COST</t>
  </si>
  <si>
    <t>04/03/2025  Thunderstorm INCREMENTAL COST</t>
  </si>
  <si>
    <t>Thunderstorm 04/03/2025</t>
  </si>
  <si>
    <t>DMS25KK06</t>
  </si>
  <si>
    <t>Foestry</t>
  </si>
  <si>
    <t>2025 April 3 Thunderstorm</t>
  </si>
  <si>
    <t>Thunderstorm 05/01/2025</t>
  </si>
  <si>
    <t>DMS25KK07</t>
  </si>
  <si>
    <t>05/01/2025 Thunderstorm TOTAL COST</t>
  </si>
  <si>
    <t>05/01/2025  Thunderstorm INCREMENTAL COST</t>
  </si>
  <si>
    <t>2025 May 1 Thunderstorm</t>
  </si>
  <si>
    <t>2025 May 16 Thunderstorm</t>
  </si>
  <si>
    <t>2025 20 May Thunderstorm</t>
  </si>
  <si>
    <t>DMS25KK09</t>
  </si>
  <si>
    <t>05/16/2025 Thunderstorm TOTAL COST</t>
  </si>
  <si>
    <t>05/16/2025  Thunderstorm INCREMENTAL COST</t>
  </si>
  <si>
    <t>05/20/2025 Thunderstorm TOTAL COST</t>
  </si>
  <si>
    <t>05/20/2025  Thunderstorm INCREMENTAL COST</t>
  </si>
  <si>
    <t>Thunderstorm:05/16/2025</t>
  </si>
  <si>
    <t>Thunderstorm:05/20/2025</t>
  </si>
  <si>
    <t>Snow Storm 03/31/25</t>
  </si>
  <si>
    <t>01/05/2025 Snow/Ice Storm TOTAL COST</t>
  </si>
  <si>
    <t>01/05/2025 Snow/Ice Storm INCREMENTAL COST</t>
  </si>
  <si>
    <t>Snow Storm 01/05/25</t>
  </si>
  <si>
    <t>DMS25KK01</t>
  </si>
  <si>
    <t>02/15/2025 Thunderstorm TOTAL COST</t>
  </si>
  <si>
    <t>02/15/2025  Thunderstorm INCREMENTAL COST</t>
  </si>
  <si>
    <t>Thunderstorm:02/15/2025</t>
  </si>
  <si>
    <t>DMS25KK03</t>
  </si>
  <si>
    <t>2025 Jan 5 Snow-Ice Storm</t>
  </si>
  <si>
    <t>Distribution Storm TY Amount</t>
  </si>
  <si>
    <t>Jurisdiction Amount - Distribution - Base Rate Level</t>
  </si>
  <si>
    <t>Transmission Storm TY Amount</t>
  </si>
  <si>
    <t>Jurisdiction Amount - Transmission - Base Rate Level</t>
  </si>
  <si>
    <t>Jurisdictional Base Level</t>
  </si>
  <si>
    <t>Thunderstorm 02/15/2025</t>
  </si>
  <si>
    <t>KEPCS2502</t>
  </si>
  <si>
    <t>2025 Feb 15 Thunderstorm</t>
  </si>
  <si>
    <t>Total Distribution YTD</t>
  </si>
  <si>
    <t>Total Transmission YTD</t>
  </si>
  <si>
    <t>Total JMED Distribution YTD</t>
  </si>
  <si>
    <t>Total non-JMED Distribution YTD</t>
  </si>
  <si>
    <t>Total Distribution YTD above Base Rate Level</t>
  </si>
  <si>
    <t>Total Transmission YTD Above Base Rate level</t>
  </si>
  <si>
    <t>*JMED Associated with Case No. 2025-00031</t>
  </si>
  <si>
    <r>
      <t xml:space="preserve">*Commission's March 31, 2025 Order  in Case No. 2025-00031 approved </t>
    </r>
    <r>
      <rPr>
        <u/>
        <sz val="10"/>
        <rFont val="Tahoma"/>
        <family val="2"/>
      </rPr>
      <t>only</t>
    </r>
    <r>
      <rPr>
        <sz val="10"/>
        <rFont val="Tahoma"/>
        <family val="2"/>
      </rPr>
      <t xml:space="preserve"> deferral of incremental amount above base level</t>
    </r>
  </si>
  <si>
    <t>JMED Associated with Case No. 2025-00264</t>
  </si>
  <si>
    <t>Non-JMED Totals</t>
  </si>
  <si>
    <t>Total JMED Storm Costs</t>
  </si>
  <si>
    <t>Less: Jurisdictional Base Level (absorbed in Case No. 2025-00031)</t>
  </si>
  <si>
    <t>Less: Total Deferral Approved in 2025-00031</t>
  </si>
  <si>
    <t>Total Deferral Request in this Case (2025-00264)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</si>
</sst>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_);[Red]\(#,##0.0\)"/>
    <numFmt numFmtId="166" formatCode="&quot;$&quot;#,##0"/>
    <numFmt numFmtId="167" formatCode="0.00000%"/>
    <numFmt numFmtId="168" formatCode="#,##0.0_);\(#,##0.0\)"/>
    <numFmt numFmtId="169" formatCode="&quot;$&quot;#,##0.0000"/>
    <numFmt numFmtId="170" formatCode="0.000000000000000%"/>
    <numFmt numFmtId="171" formatCode="0.000%"/>
    <numFmt numFmtId="172" formatCode="0.000000%"/>
    <numFmt numFmtId="173" formatCode="0.0000%"/>
    <numFmt numFmtId="174" formatCode="0.000"/>
    <numFmt numFmtId="175" formatCode="_(* #,##0_);_(* \(#,##0\);_(* &quot;-&quot;??_);_(@_)"/>
    <numFmt numFmtId="176" formatCode="_(* #,##0.000_);_(* \(#,##0.000\);_(* &quot;-&quot;??_);_(@_)"/>
  </numFmts>
  <fonts count="26" x14ac:knownFonts="1">
    <font>
      <sz val="11"/>
      <color theme="1"/>
      <name val="Calibri"/>
      <family val="2"/>
      <scheme val="minor"/>
    </font>
    <font>
      <sz val="11"/>
      <color theme="1"/>
      <name val="Calibri"/>
      <family val="2"/>
      <scheme val="minor"/>
    </font>
    <font>
      <sz val="10"/>
      <name val="Tahoma"/>
      <family val="2"/>
    </font>
    <font>
      <b/>
      <sz val="10"/>
      <name val="Tahoma"/>
      <family val="2"/>
    </font>
    <font>
      <u/>
      <sz val="10"/>
      <name val="Tahoma"/>
      <family val="2"/>
    </font>
    <font>
      <sz val="10"/>
      <color theme="0"/>
      <name val="Tahoma"/>
      <family val="2"/>
    </font>
    <font>
      <b/>
      <sz val="16"/>
      <name val="Tahoma"/>
      <family val="2"/>
    </font>
    <font>
      <b/>
      <sz val="12"/>
      <name val="Tahoma"/>
      <family val="2"/>
    </font>
    <font>
      <b/>
      <i/>
      <sz val="8"/>
      <name val="Tahoma"/>
      <family val="2"/>
    </font>
    <font>
      <b/>
      <sz val="11"/>
      <name val="Tahoma"/>
      <family val="2"/>
    </font>
    <font>
      <b/>
      <i/>
      <sz val="10"/>
      <color theme="0"/>
      <name val="Tahoma"/>
      <family val="2"/>
    </font>
    <font>
      <b/>
      <sz val="10"/>
      <color theme="0"/>
      <name val="Tahoma"/>
      <family val="2"/>
    </font>
    <font>
      <b/>
      <i/>
      <sz val="10"/>
      <name val="Tahoma"/>
      <family val="2"/>
    </font>
    <font>
      <sz val="10"/>
      <color rgb="FFFF0000"/>
      <name val="Tahoma"/>
      <family val="2"/>
    </font>
    <font>
      <b/>
      <i/>
      <sz val="10"/>
      <color rgb="FFFF0000"/>
      <name val="Tahoma"/>
      <family val="2"/>
    </font>
    <font>
      <i/>
      <sz val="8"/>
      <name val="Tahoma"/>
      <family val="2"/>
    </font>
    <font>
      <strike/>
      <sz val="10"/>
      <name val="Tahoma"/>
      <family val="2"/>
    </font>
    <font>
      <b/>
      <sz val="8"/>
      <color indexed="81"/>
      <name val="Tahoma"/>
      <family val="2"/>
    </font>
    <font>
      <sz val="8"/>
      <color indexed="81"/>
      <name val="Tahoma"/>
      <family val="2"/>
    </font>
    <font>
      <u/>
      <sz val="8"/>
      <color indexed="81"/>
      <name val="Tahoma"/>
      <family val="2"/>
    </font>
    <font>
      <sz val="10"/>
      <color theme="1"/>
      <name val="Tahoma"/>
      <family val="2"/>
    </font>
    <font>
      <b/>
      <u/>
      <sz val="10"/>
      <name val="Tahoma"/>
      <family val="2"/>
    </font>
    <font>
      <sz val="10"/>
      <color rgb="FF000000"/>
      <name val="Arial"/>
      <family val="2"/>
    </font>
    <font>
      <sz val="10"/>
      <name val="Arial"/>
      <family val="2"/>
    </font>
    <font>
      <b/>
      <u/>
      <sz val="10"/>
      <color rgb="FFFF0000"/>
      <name val="Arial"/>
      <family val="2"/>
    </font>
    <font>
      <i/>
      <sz val="10"/>
      <name val="Tahoma"/>
      <family val="2"/>
    </font>
  </fonts>
  <fills count="4">
    <fill>
      <patternFill patternType="none"/>
    </fill>
    <fill>
      <patternFill patternType="gray125"/>
    </fill>
    <fill>
      <patternFill patternType="solid">
        <fgColor rgb="FF8FFFC7"/>
        <bgColor indexed="64"/>
      </patternFill>
    </fill>
    <fill>
      <patternFill patternType="solid">
        <fgColor theme="4" tint="0.59999389629810485"/>
        <bgColor indexed="64"/>
      </patternFill>
    </fill>
  </fills>
  <borders count="46">
    <border>
      <left/>
      <right/>
      <top/>
      <bottom/>
      <diagonal/>
    </border>
    <border>
      <left/>
      <right/>
      <top/>
      <bottom style="thin">
        <color indexed="64"/>
      </bottom>
      <diagonal/>
    </border>
    <border>
      <left/>
      <right/>
      <top/>
      <bottom style="double">
        <color indexed="64"/>
      </bottom>
      <diagonal/>
    </border>
    <border>
      <left/>
      <right/>
      <top/>
      <bottom style="medium">
        <color indexed="64"/>
      </bottom>
      <diagonal/>
    </border>
    <border>
      <left/>
      <right/>
      <top style="mediumDashDotDot">
        <color indexed="64"/>
      </top>
      <bottom/>
      <diagonal/>
    </border>
    <border>
      <left/>
      <right/>
      <top style="thin">
        <color indexed="64"/>
      </top>
      <bottom/>
      <diagonal/>
    </border>
    <border>
      <left/>
      <right/>
      <top style="medium">
        <color indexed="64"/>
      </top>
      <bottom/>
      <diagonal/>
    </border>
    <border>
      <left/>
      <right/>
      <top style="medium">
        <color indexed="64"/>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right style="slantDashDot">
        <color indexed="64"/>
      </right>
      <top style="thin">
        <color indexed="64"/>
      </top>
      <bottom/>
      <diagonal/>
    </border>
    <border>
      <left/>
      <right style="slantDashDot">
        <color indexed="64"/>
      </right>
      <top style="thin">
        <color indexed="64"/>
      </top>
      <bottom style="double">
        <color indexed="64"/>
      </bottom>
      <diagonal/>
    </border>
    <border>
      <left/>
      <right/>
      <top style="thin">
        <color indexed="64"/>
      </top>
      <bottom style="double">
        <color indexed="64"/>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mediumDashed">
        <color theme="2" tint="-0.499984740745262"/>
      </left>
      <right/>
      <top style="mediumDashed">
        <color theme="2" tint="-0.499984740745262"/>
      </top>
      <bottom/>
      <diagonal/>
    </border>
    <border>
      <left/>
      <right/>
      <top style="mediumDashed">
        <color theme="2" tint="-0.499984740745262"/>
      </top>
      <bottom/>
      <diagonal/>
    </border>
    <border>
      <left/>
      <right style="mediumDashed">
        <color theme="2" tint="-0.499984740745262"/>
      </right>
      <top style="mediumDashed">
        <color theme="2" tint="-0.499984740745262"/>
      </top>
      <bottom/>
      <diagonal/>
    </border>
    <border>
      <left style="mediumDashed">
        <color theme="2" tint="-0.499984740745262"/>
      </left>
      <right/>
      <top/>
      <bottom/>
      <diagonal/>
    </border>
    <border>
      <left/>
      <right style="mediumDashed">
        <color theme="2" tint="-0.499984740745262"/>
      </right>
      <top/>
      <bottom/>
      <diagonal/>
    </border>
    <border>
      <left style="mediumDashed">
        <color theme="2" tint="-0.499984740745262"/>
      </left>
      <right/>
      <top/>
      <bottom style="mediumDashed">
        <color theme="2" tint="-0.499984740745262"/>
      </bottom>
      <diagonal/>
    </border>
    <border>
      <left/>
      <right/>
      <top/>
      <bottom style="mediumDashed">
        <color theme="2" tint="-0.499984740745262"/>
      </bottom>
      <diagonal/>
    </border>
    <border>
      <left/>
      <right style="mediumDashed">
        <color theme="2" tint="-0.499984740745262"/>
      </right>
      <top/>
      <bottom style="mediumDashed">
        <color theme="2" tint="-0.499984740745262"/>
      </bottom>
      <diagonal/>
    </border>
    <border>
      <left/>
      <right style="mediumDashed">
        <color theme="2" tint="-0.499984740745262"/>
      </right>
      <top/>
      <bottom style="double">
        <color indexed="64"/>
      </bottom>
      <diagonal/>
    </border>
    <border>
      <left/>
      <right style="mediumDashed">
        <color theme="2" tint="-0.499984740745262"/>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double">
        <color rgb="FF000000"/>
      </bottom>
      <diagonal/>
    </border>
    <border>
      <left/>
      <right/>
      <top style="double">
        <color rgb="FF000000"/>
      </top>
      <bottom/>
      <diagonal/>
    </border>
    <border>
      <left/>
      <right style="mediumDashed">
        <color theme="2" tint="-0.499984740745262"/>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Dashed">
        <color theme="2" tint="-0.499984740745262"/>
      </left>
      <right/>
      <top/>
      <bottom style="medium">
        <color indexed="64"/>
      </bottom>
      <diagonal/>
    </border>
    <border>
      <left/>
      <right style="mediumDashed">
        <color theme="2" tint="-0.499984740745262"/>
      </right>
      <top/>
      <bottom style="medium">
        <color indexed="64"/>
      </bottom>
      <diagonal/>
    </border>
  </borders>
  <cellStyleXfs count="6">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89">
    <xf numFmtId="0" fontId="0" fillId="0" borderId="0" xfId="0"/>
    <xf numFmtId="0" fontId="2" fillId="0" borderId="0" xfId="2"/>
    <xf numFmtId="0" fontId="2" fillId="0" borderId="0" xfId="2" applyAlignment="1">
      <alignment horizontal="center"/>
    </xf>
    <xf numFmtId="0" fontId="5" fillId="0" borderId="0" xfId="2" applyFont="1" applyFill="1" applyBorder="1" applyProtection="1"/>
    <xf numFmtId="0" fontId="3" fillId="0" borderId="0" xfId="2" applyFont="1" applyFill="1" applyBorder="1" applyAlignment="1" applyProtection="1">
      <alignment horizontal="center"/>
    </xf>
    <xf numFmtId="0" fontId="8" fillId="0" borderId="0" xfId="2" applyFont="1" applyFill="1" applyAlignment="1" applyProtection="1">
      <alignment horizontal="right"/>
    </xf>
    <xf numFmtId="0" fontId="2" fillId="0" borderId="0" xfId="2" applyFill="1" applyProtection="1"/>
    <xf numFmtId="0" fontId="3" fillId="0" borderId="0" xfId="2" applyFont="1" applyFill="1" applyAlignment="1" applyProtection="1">
      <alignment horizontal="center"/>
    </xf>
    <xf numFmtId="0" fontId="2" fillId="0" borderId="0" xfId="2" applyFill="1" applyAlignment="1" applyProtection="1">
      <alignment horizontal="right"/>
    </xf>
    <xf numFmtId="42" fontId="2" fillId="0" borderId="0" xfId="2" applyNumberFormat="1" applyFill="1" applyProtection="1"/>
    <xf numFmtId="165" fontId="2" fillId="0" borderId="4" xfId="2" applyNumberFormat="1" applyFill="1" applyBorder="1" applyProtection="1"/>
    <xf numFmtId="0" fontId="10" fillId="0" borderId="0" xfId="2" applyFont="1" applyFill="1" applyBorder="1" applyAlignment="1" applyProtection="1">
      <alignment horizontal="center"/>
    </xf>
    <xf numFmtId="166" fontId="5" fillId="0" borderId="0" xfId="2" applyNumberFormat="1" applyFont="1" applyFill="1" applyBorder="1" applyAlignment="1" applyProtection="1">
      <alignment horizontal="center"/>
    </xf>
    <xf numFmtId="42" fontId="2" fillId="0" borderId="1" xfId="2" applyNumberFormat="1" applyFill="1" applyBorder="1" applyProtection="1"/>
    <xf numFmtId="42" fontId="3" fillId="0" borderId="0" xfId="2" applyNumberFormat="1" applyFont="1" applyFill="1" applyProtection="1"/>
    <xf numFmtId="42" fontId="3" fillId="0" borderId="5" xfId="2" applyNumberFormat="1" applyFont="1" applyFill="1" applyBorder="1" applyProtection="1"/>
    <xf numFmtId="0" fontId="2" fillId="0" borderId="0" xfId="2" applyNumberFormat="1" applyFill="1" applyProtection="1"/>
    <xf numFmtId="42" fontId="2" fillId="0" borderId="0" xfId="2" applyNumberFormat="1" applyFill="1" applyBorder="1" applyProtection="1"/>
    <xf numFmtId="42" fontId="5" fillId="0" borderId="0" xfId="2" applyNumberFormat="1" applyFont="1" applyFill="1" applyBorder="1" applyProtection="1"/>
    <xf numFmtId="167" fontId="11" fillId="0" borderId="0" xfId="2" applyNumberFormat="1" applyFont="1" applyFill="1" applyBorder="1" applyAlignment="1" applyProtection="1">
      <alignment horizontal="center"/>
    </xf>
    <xf numFmtId="165" fontId="2" fillId="0" borderId="0" xfId="2" applyNumberFormat="1" applyFill="1" applyBorder="1" applyProtection="1"/>
    <xf numFmtId="42" fontId="3" fillId="0" borderId="7" xfId="2" applyNumberFormat="1" applyFont="1" applyFill="1" applyBorder="1" applyProtection="1"/>
    <xf numFmtId="166" fontId="2" fillId="0" borderId="0" xfId="2" applyNumberFormat="1" applyFill="1" applyAlignment="1" applyProtection="1">
      <alignment horizontal="right"/>
    </xf>
    <xf numFmtId="0" fontId="12" fillId="0" borderId="0" xfId="2" applyFont="1" applyFill="1" applyProtection="1"/>
    <xf numFmtId="169" fontId="2" fillId="0" borderId="0" xfId="2" applyNumberFormat="1" applyFill="1" applyAlignment="1" applyProtection="1">
      <alignment horizontal="right"/>
    </xf>
    <xf numFmtId="0" fontId="14" fillId="0" borderId="0" xfId="2" applyFont="1" applyFill="1" applyProtection="1"/>
    <xf numFmtId="0" fontId="13" fillId="0" borderId="0" xfId="2" quotePrefix="1" applyFont="1" applyFill="1" applyBorder="1" applyAlignment="1" applyProtection="1">
      <alignment horizontal="center"/>
    </xf>
    <xf numFmtId="38" fontId="13" fillId="0" borderId="0" xfId="2" applyNumberFormat="1" applyFont="1" applyFill="1" applyBorder="1" applyProtection="1"/>
    <xf numFmtId="0" fontId="2" fillId="0" borderId="0" xfId="2" applyFill="1" applyBorder="1" applyAlignment="1" applyProtection="1">
      <alignment horizontal="center"/>
    </xf>
    <xf numFmtId="38" fontId="2" fillId="0" borderId="0" xfId="2" applyNumberFormat="1" applyFill="1" applyBorder="1" applyProtection="1"/>
    <xf numFmtId="14" fontId="2" fillId="0" borderId="0" xfId="2" applyNumberFormat="1" applyFill="1" applyBorder="1" applyProtection="1"/>
    <xf numFmtId="0" fontId="2" fillId="0" borderId="0" xfId="2" applyFill="1" applyBorder="1" applyProtection="1"/>
    <xf numFmtId="38" fontId="16" fillId="0" borderId="0" xfId="2" applyNumberFormat="1" applyFont="1" applyFill="1" applyBorder="1" applyProtection="1"/>
    <xf numFmtId="172" fontId="2" fillId="0" borderId="0" xfId="2" applyNumberFormat="1" applyFill="1" applyBorder="1" applyProtection="1"/>
    <xf numFmtId="38" fontId="2" fillId="0" borderId="0" xfId="2" applyNumberFormat="1" applyFont="1" applyFill="1" applyBorder="1" applyAlignment="1" applyProtection="1">
      <alignment horizontal="center"/>
    </xf>
    <xf numFmtId="10" fontId="12" fillId="0" borderId="0" xfId="2" applyNumberFormat="1" applyFont="1" applyFill="1" applyProtection="1"/>
    <xf numFmtId="0" fontId="2" fillId="0" borderId="22" xfId="2" applyFill="1" applyBorder="1"/>
    <xf numFmtId="0" fontId="2" fillId="0" borderId="0" xfId="2" applyFill="1" applyBorder="1"/>
    <xf numFmtId="0" fontId="2" fillId="0" borderId="0" xfId="2" applyFill="1" applyBorder="1" applyAlignment="1">
      <alignment horizontal="center"/>
    </xf>
    <xf numFmtId="0" fontId="2" fillId="0" borderId="23" xfId="2" applyBorder="1"/>
    <xf numFmtId="0" fontId="2" fillId="0" borderId="22" xfId="2" applyFont="1" applyFill="1" applyBorder="1"/>
    <xf numFmtId="0" fontId="2" fillId="0" borderId="0" xfId="2" applyFont="1" applyFill="1" applyBorder="1"/>
    <xf numFmtId="42" fontId="2" fillId="0" borderId="0" xfId="2" applyNumberFormat="1" applyFill="1" applyBorder="1"/>
    <xf numFmtId="0" fontId="0" fillId="0" borderId="22" xfId="0" applyFill="1" applyBorder="1"/>
    <xf numFmtId="0" fontId="0" fillId="0" borderId="0" xfId="0" applyFill="1" applyBorder="1"/>
    <xf numFmtId="0" fontId="2" fillId="0" borderId="22" xfId="2" applyBorder="1"/>
    <xf numFmtId="0" fontId="2" fillId="0" borderId="0" xfId="2" applyBorder="1"/>
    <xf numFmtId="0" fontId="2" fillId="0" borderId="24" xfId="2" applyBorder="1"/>
    <xf numFmtId="0" fontId="2" fillId="0" borderId="25" xfId="2" applyBorder="1"/>
    <xf numFmtId="0" fontId="2" fillId="0" borderId="26" xfId="2" applyBorder="1"/>
    <xf numFmtId="0" fontId="2" fillId="0" borderId="11" xfId="2" applyFill="1" applyBorder="1" applyProtection="1"/>
    <xf numFmtId="42" fontId="2" fillId="0" borderId="0" xfId="2" applyNumberFormat="1"/>
    <xf numFmtId="0" fontId="3" fillId="0" borderId="3" xfId="2" applyFont="1" applyFill="1" applyBorder="1" applyAlignment="1" applyProtection="1">
      <alignment horizontal="center"/>
    </xf>
    <xf numFmtId="0" fontId="3" fillId="0" borderId="0" xfId="2" applyFont="1" applyFill="1" applyProtection="1"/>
    <xf numFmtId="0" fontId="0" fillId="0" borderId="0" xfId="0" applyFill="1"/>
    <xf numFmtId="0" fontId="6" fillId="0" borderId="0" xfId="2" applyFont="1" applyFill="1" applyProtection="1"/>
    <xf numFmtId="0" fontId="7" fillId="0" borderId="0" xfId="2" applyFont="1" applyFill="1" applyProtection="1"/>
    <xf numFmtId="0" fontId="9" fillId="0" borderId="0" xfId="2" applyFont="1" applyFill="1" applyProtection="1"/>
    <xf numFmtId="42" fontId="5" fillId="0" borderId="0" xfId="2" applyNumberFormat="1" applyFont="1" applyFill="1" applyProtection="1"/>
    <xf numFmtId="165" fontId="5" fillId="0" borderId="0" xfId="2" applyNumberFormat="1" applyFont="1" applyFill="1" applyBorder="1" applyProtection="1"/>
    <xf numFmtId="0" fontId="5" fillId="0" borderId="0" xfId="2" applyFont="1" applyFill="1" applyProtection="1"/>
    <xf numFmtId="44" fontId="2" fillId="0" borderId="0" xfId="2" applyNumberFormat="1" applyFill="1" applyProtection="1"/>
    <xf numFmtId="42" fontId="3" fillId="0" borderId="0" xfId="2" applyNumberFormat="1" applyFont="1" applyFill="1" applyBorder="1" applyProtection="1"/>
    <xf numFmtId="42" fontId="11" fillId="0" borderId="0" xfId="2" applyNumberFormat="1" applyFont="1" applyFill="1" applyBorder="1" applyProtection="1"/>
    <xf numFmtId="42" fontId="11" fillId="0" borderId="0" xfId="2" applyNumberFormat="1" applyFont="1" applyFill="1" applyProtection="1"/>
    <xf numFmtId="42" fontId="2" fillId="0" borderId="3" xfId="2" applyNumberFormat="1" applyFont="1" applyFill="1" applyBorder="1" applyProtection="1"/>
    <xf numFmtId="42" fontId="2" fillId="0" borderId="0" xfId="2" applyNumberFormat="1" applyFont="1" applyFill="1" applyBorder="1" applyProtection="1"/>
    <xf numFmtId="42" fontId="3" fillId="0" borderId="6" xfId="2" applyNumberFormat="1" applyFont="1" applyFill="1" applyBorder="1" applyProtection="1"/>
    <xf numFmtId="0" fontId="3" fillId="0" borderId="6" xfId="2" applyFont="1" applyFill="1" applyBorder="1" applyProtection="1"/>
    <xf numFmtId="168" fontId="3" fillId="0" borderId="0" xfId="2" applyNumberFormat="1" applyFont="1" applyFill="1" applyBorder="1" applyProtection="1"/>
    <xf numFmtId="0" fontId="13" fillId="0" borderId="0" xfId="2" applyFont="1" applyFill="1" applyProtection="1"/>
    <xf numFmtId="170" fontId="2" fillId="0" borderId="0" xfId="2" applyNumberFormat="1" applyFill="1" applyProtection="1"/>
    <xf numFmtId="0" fontId="2" fillId="0" borderId="8" xfId="2" applyFill="1" applyBorder="1" applyProtection="1"/>
    <xf numFmtId="0" fontId="2" fillId="0" borderId="9" xfId="2" applyFill="1" applyBorder="1" applyProtection="1"/>
    <xf numFmtId="10" fontId="2" fillId="0" borderId="9" xfId="2" applyNumberFormat="1" applyFill="1" applyBorder="1" applyProtection="1"/>
    <xf numFmtId="171" fontId="13" fillId="0" borderId="0" xfId="2" applyNumberFormat="1" applyFont="1" applyFill="1" applyProtection="1"/>
    <xf numFmtId="44" fontId="5" fillId="0" borderId="0" xfId="1" applyFont="1" applyFill="1" applyProtection="1"/>
    <xf numFmtId="44" fontId="5" fillId="0" borderId="0" xfId="2" applyNumberFormat="1" applyFont="1" applyFill="1" applyProtection="1"/>
    <xf numFmtId="0" fontId="2" fillId="0" borderId="12" xfId="2" applyFill="1" applyBorder="1" applyProtection="1"/>
    <xf numFmtId="38" fontId="2" fillId="0" borderId="12" xfId="2" applyNumberFormat="1" applyFill="1" applyBorder="1" applyProtection="1"/>
    <xf numFmtId="38" fontId="2" fillId="0" borderId="13" xfId="2" applyNumberFormat="1" applyFill="1" applyBorder="1" applyProtection="1"/>
    <xf numFmtId="4" fontId="5" fillId="0" borderId="0" xfId="2" applyNumberFormat="1" applyFont="1" applyFill="1" applyProtection="1"/>
    <xf numFmtId="38" fontId="2" fillId="0" borderId="14" xfId="2" applyNumberFormat="1" applyFill="1" applyBorder="1" applyProtection="1"/>
    <xf numFmtId="0" fontId="15" fillId="0" borderId="0" xfId="2" applyFont="1" applyFill="1" applyBorder="1" applyAlignment="1" applyProtection="1">
      <alignment horizontal="center"/>
    </xf>
    <xf numFmtId="38" fontId="2" fillId="0" borderId="1" xfId="2" applyNumberFormat="1" applyFill="1" applyBorder="1" applyProtection="1"/>
    <xf numFmtId="38" fontId="2" fillId="0" borderId="15" xfId="2" applyNumberFormat="1" applyFill="1" applyBorder="1" applyProtection="1"/>
    <xf numFmtId="10" fontId="2" fillId="0" borderId="2" xfId="2" applyNumberFormat="1" applyFill="1" applyBorder="1" applyProtection="1"/>
    <xf numFmtId="0" fontId="2" fillId="0" borderId="16" xfId="2" applyFill="1" applyBorder="1" applyProtection="1"/>
    <xf numFmtId="0" fontId="2" fillId="0" borderId="17" xfId="2" applyFill="1" applyBorder="1" applyProtection="1"/>
    <xf numFmtId="38" fontId="2" fillId="0" borderId="17" xfId="2" applyNumberFormat="1" applyFont="1" applyFill="1" applyBorder="1" applyAlignment="1" applyProtection="1">
      <alignment horizontal="center"/>
    </xf>
    <xf numFmtId="38" fontId="2" fillId="0" borderId="18" xfId="2" applyNumberFormat="1" applyFill="1" applyBorder="1" applyProtection="1"/>
    <xf numFmtId="10" fontId="5" fillId="0" borderId="0" xfId="2" applyNumberFormat="1" applyFont="1" applyFill="1" applyProtection="1"/>
    <xf numFmtId="38" fontId="2" fillId="0" borderId="9" xfId="2" applyNumberFormat="1" applyFill="1" applyBorder="1" applyProtection="1"/>
    <xf numFmtId="0" fontId="16" fillId="0" borderId="0" xfId="2" applyFont="1" applyFill="1" applyBorder="1" applyProtection="1"/>
    <xf numFmtId="38" fontId="13" fillId="0" borderId="0" xfId="2" applyNumberFormat="1" applyFont="1" applyFill="1" applyProtection="1"/>
    <xf numFmtId="173" fontId="5" fillId="0" borderId="0" xfId="2" applyNumberFormat="1" applyFont="1" applyFill="1" applyProtection="1"/>
    <xf numFmtId="0" fontId="2" fillId="0" borderId="10" xfId="2" applyFill="1" applyBorder="1" applyProtection="1"/>
    <xf numFmtId="9" fontId="2" fillId="0" borderId="0" xfId="4" applyFont="1" applyFill="1" applyAlignment="1" applyProtection="1">
      <alignment horizontal="right"/>
    </xf>
    <xf numFmtId="0" fontId="3" fillId="0" borderId="3" xfId="2" applyFont="1" applyFill="1" applyBorder="1" applyAlignment="1" applyProtection="1">
      <alignment horizontal="center"/>
    </xf>
    <xf numFmtId="0" fontId="2" fillId="0" borderId="19" xfId="2" applyBorder="1" applyAlignment="1"/>
    <xf numFmtId="0" fontId="2" fillId="0" borderId="20" xfId="2" applyBorder="1" applyAlignment="1"/>
    <xf numFmtId="0" fontId="2" fillId="0" borderId="21" xfId="2" applyBorder="1" applyAlignment="1"/>
    <xf numFmtId="175" fontId="2" fillId="0" borderId="0" xfId="5" applyNumberFormat="1" applyFont="1"/>
    <xf numFmtId="0" fontId="3" fillId="0" borderId="3" xfId="2" applyFont="1" applyFill="1" applyBorder="1" applyAlignment="1" applyProtection="1">
      <alignment horizontal="center"/>
    </xf>
    <xf numFmtId="42" fontId="13" fillId="0" borderId="0" xfId="2" applyNumberFormat="1" applyFont="1" applyFill="1" applyProtection="1"/>
    <xf numFmtId="0" fontId="2" fillId="0" borderId="0" xfId="2" applyFont="1" applyAlignment="1">
      <alignment horizontal="center" vertical="center"/>
    </xf>
    <xf numFmtId="0" fontId="2" fillId="0" borderId="20" xfId="2" applyFont="1" applyBorder="1" applyAlignment="1">
      <alignment horizontal="center" vertical="center"/>
    </xf>
    <xf numFmtId="0" fontId="2" fillId="0" borderId="0" xfId="2" applyFont="1" applyFill="1" applyBorder="1" applyAlignment="1">
      <alignment horizontal="center" vertical="center"/>
    </xf>
    <xf numFmtId="0" fontId="0" fillId="0" borderId="0" xfId="0" applyFont="1" applyFill="1" applyBorder="1" applyAlignment="1">
      <alignment horizontal="center" vertical="center"/>
    </xf>
    <xf numFmtId="0" fontId="2" fillId="0" borderId="0" xfId="2" applyFont="1" applyBorder="1" applyAlignment="1">
      <alignment horizontal="center" vertical="center"/>
    </xf>
    <xf numFmtId="0" fontId="2" fillId="0" borderId="25" xfId="2" applyFont="1" applyBorder="1" applyAlignment="1">
      <alignment horizontal="center" vertical="center"/>
    </xf>
    <xf numFmtId="44" fontId="2" fillId="0" borderId="0" xfId="2" applyNumberFormat="1"/>
    <xf numFmtId="42" fontId="2" fillId="0" borderId="23" xfId="2" applyNumberFormat="1" applyBorder="1"/>
    <xf numFmtId="166" fontId="2" fillId="0" borderId="0" xfId="2" applyNumberFormat="1" applyFill="1" applyProtection="1"/>
    <xf numFmtId="14" fontId="2" fillId="0" borderId="0" xfId="2" applyNumberFormat="1" applyFont="1" applyFill="1" applyBorder="1" applyAlignment="1">
      <alignment horizontal="center"/>
    </xf>
    <xf numFmtId="14" fontId="2" fillId="0" borderId="0" xfId="2" applyNumberFormat="1" applyFill="1" applyBorder="1" applyAlignment="1">
      <alignment horizontal="center"/>
    </xf>
    <xf numFmtId="0" fontId="2" fillId="0" borderId="0" xfId="2" applyFont="1" applyFill="1" applyBorder="1" applyAlignment="1">
      <alignment horizontal="center"/>
    </xf>
    <xf numFmtId="0" fontId="0" fillId="0" borderId="0" xfId="0" applyFill="1" applyBorder="1" applyAlignment="1">
      <alignment horizontal="center"/>
    </xf>
    <xf numFmtId="42" fontId="2" fillId="0" borderId="0" xfId="2" applyNumberFormat="1" applyFont="1" applyFill="1" applyBorder="1"/>
    <xf numFmtId="0" fontId="3" fillId="0" borderId="22" xfId="2" applyFont="1" applyFill="1" applyBorder="1"/>
    <xf numFmtId="0" fontId="3" fillId="0" borderId="0" xfId="2" applyFont="1" applyFill="1" applyBorder="1" applyAlignment="1">
      <alignment horizontal="center" vertical="center"/>
    </xf>
    <xf numFmtId="0" fontId="3" fillId="0" borderId="0" xfId="2" applyFont="1" applyFill="1" applyBorder="1"/>
    <xf numFmtId="0" fontId="21" fillId="0" borderId="22" xfId="2" applyFont="1" applyFill="1" applyBorder="1" applyAlignment="1">
      <alignment horizontal="center"/>
    </xf>
    <xf numFmtId="0" fontId="21" fillId="0" borderId="0" xfId="2" applyFont="1" applyFill="1" applyBorder="1" applyAlignment="1">
      <alignment horizontal="center" vertical="center"/>
    </xf>
    <xf numFmtId="0" fontId="21" fillId="0" borderId="0" xfId="2" applyFont="1" applyFill="1" applyBorder="1" applyAlignment="1">
      <alignment horizontal="center"/>
    </xf>
    <xf numFmtId="0" fontId="3" fillId="0" borderId="23" xfId="2" applyFont="1" applyFill="1" applyBorder="1" applyAlignment="1">
      <alignment horizontal="center"/>
    </xf>
    <xf numFmtId="0" fontId="21" fillId="0" borderId="23" xfId="2" applyFont="1" applyFill="1" applyBorder="1" applyAlignment="1">
      <alignment horizontal="center"/>
    </xf>
    <xf numFmtId="0" fontId="2" fillId="0" borderId="23" xfId="2" applyFill="1" applyBorder="1"/>
    <xf numFmtId="42" fontId="2" fillId="0" borderId="23" xfId="2" applyNumberFormat="1" applyFill="1" applyBorder="1"/>
    <xf numFmtId="0" fontId="0" fillId="0" borderId="23" xfId="0" applyFill="1" applyBorder="1"/>
    <xf numFmtId="174" fontId="2" fillId="0" borderId="27" xfId="2" applyNumberFormat="1" applyFill="1" applyBorder="1"/>
    <xf numFmtId="42" fontId="2" fillId="0" borderId="28" xfId="2" applyNumberFormat="1" applyFill="1" applyBorder="1"/>
    <xf numFmtId="0" fontId="2" fillId="0" borderId="2" xfId="2" applyFill="1" applyBorder="1"/>
    <xf numFmtId="0" fontId="2" fillId="0" borderId="0" xfId="2" applyAlignment="1">
      <alignment horizontal="center" vertical="center"/>
    </xf>
    <xf numFmtId="0" fontId="2" fillId="0" borderId="0" xfId="2" applyAlignment="1">
      <alignment horizontal="right"/>
    </xf>
    <xf numFmtId="176" fontId="2" fillId="0" borderId="23" xfId="5" applyNumberFormat="1" applyFont="1" applyFill="1" applyBorder="1"/>
    <xf numFmtId="0" fontId="20" fillId="0" borderId="0" xfId="0" applyFont="1" applyAlignment="1">
      <alignment horizontal="center"/>
    </xf>
    <xf numFmtId="0" fontId="20" fillId="0" borderId="0" xfId="0" applyFont="1"/>
    <xf numFmtId="0" fontId="3" fillId="0" borderId="0" xfId="2" applyFont="1" applyAlignment="1">
      <alignment horizontal="right"/>
    </xf>
    <xf numFmtId="42" fontId="3" fillId="0" borderId="28" xfId="2" applyNumberFormat="1" applyFont="1" applyBorder="1"/>
    <xf numFmtId="0" fontId="23" fillId="0" borderId="0" xfId="0" applyFont="1"/>
    <xf numFmtId="0" fontId="22" fillId="0" borderId="32" xfId="0" applyFont="1" applyBorder="1" applyAlignment="1">
      <alignment wrapText="1"/>
    </xf>
    <xf numFmtId="0" fontId="22" fillId="0" borderId="35" xfId="0" applyFont="1" applyBorder="1" applyAlignment="1">
      <alignment horizontal="center" wrapText="1"/>
    </xf>
    <xf numFmtId="0" fontId="22" fillId="0" borderId="35" xfId="0" applyFont="1" applyBorder="1" applyAlignment="1">
      <alignment wrapText="1"/>
    </xf>
    <xf numFmtId="6" fontId="22" fillId="0" borderId="35" xfId="0" applyNumberFormat="1" applyFont="1" applyBorder="1" applyAlignment="1">
      <alignment wrapText="1"/>
    </xf>
    <xf numFmtId="0" fontId="22" fillId="0" borderId="0" xfId="0" applyFont="1" applyAlignment="1">
      <alignment horizontal="center" wrapText="1"/>
    </xf>
    <xf numFmtId="3" fontId="22" fillId="0" borderId="36" xfId="0" applyNumberFormat="1" applyFont="1" applyBorder="1" applyAlignment="1">
      <alignment wrapText="1"/>
    </xf>
    <xf numFmtId="6" fontId="22" fillId="0" borderId="37" xfId="0" applyNumberFormat="1" applyFont="1" applyBorder="1" applyAlignment="1">
      <alignment wrapText="1"/>
    </xf>
    <xf numFmtId="0" fontId="22" fillId="0" borderId="38" xfId="0" applyFont="1" applyBorder="1" applyAlignment="1">
      <alignment wrapText="1"/>
    </xf>
    <xf numFmtId="0" fontId="22" fillId="0" borderId="36" xfId="0" applyFont="1" applyBorder="1" applyAlignment="1">
      <alignment wrapText="1"/>
    </xf>
    <xf numFmtId="3" fontId="22" fillId="0" borderId="0" xfId="0" applyNumberFormat="1" applyFont="1" applyAlignment="1">
      <alignment wrapText="1"/>
    </xf>
    <xf numFmtId="6" fontId="22" fillId="0" borderId="30" xfId="0" applyNumberFormat="1" applyFont="1" applyBorder="1" applyAlignment="1">
      <alignment wrapText="1"/>
    </xf>
    <xf numFmtId="0" fontId="24" fillId="0" borderId="0" xfId="0" applyFont="1" applyAlignment="1">
      <alignment horizontal="center" wrapText="1"/>
    </xf>
    <xf numFmtId="0" fontId="22" fillId="0" borderId="30" xfId="0" applyFont="1" applyBorder="1" applyAlignment="1">
      <alignment wrapText="1"/>
    </xf>
    <xf numFmtId="3" fontId="22" fillId="0" borderId="37" xfId="0" applyNumberFormat="1" applyFont="1" applyBorder="1" applyAlignment="1">
      <alignment wrapText="1"/>
    </xf>
    <xf numFmtId="0" fontId="22" fillId="0" borderId="37" xfId="0" applyFont="1" applyBorder="1" applyAlignment="1">
      <alignment wrapText="1"/>
    </xf>
    <xf numFmtId="0" fontId="22" fillId="0" borderId="0" xfId="0" applyFont="1" applyAlignment="1">
      <alignment horizontal="right" wrapText="1"/>
    </xf>
    <xf numFmtId="0" fontId="2" fillId="2" borderId="0" xfId="2" applyFont="1" applyFill="1" applyBorder="1" applyAlignment="1">
      <alignment horizontal="center" vertical="center"/>
    </xf>
    <xf numFmtId="0" fontId="2" fillId="2" borderId="0" xfId="2" applyFill="1" applyBorder="1"/>
    <xf numFmtId="0" fontId="25" fillId="0" borderId="0" xfId="2" applyFont="1" applyAlignment="1">
      <alignment vertical="top"/>
    </xf>
    <xf numFmtId="44" fontId="0" fillId="0" borderId="0" xfId="0" applyNumberFormat="1"/>
    <xf numFmtId="0" fontId="3" fillId="0" borderId="3" xfId="2" applyFont="1" applyFill="1" applyBorder="1" applyAlignment="1" applyProtection="1">
      <alignment horizontal="center"/>
    </xf>
    <xf numFmtId="0" fontId="3" fillId="0" borderId="3" xfId="2" applyFont="1" applyFill="1" applyBorder="1" applyAlignment="1" applyProtection="1">
      <alignment horizontal="center"/>
    </xf>
    <xf numFmtId="43" fontId="2" fillId="0" borderId="0" xfId="5" applyFont="1" applyFill="1" applyAlignment="1" applyProtection="1">
      <alignment horizontal="right"/>
    </xf>
    <xf numFmtId="0" fontId="3" fillId="0" borderId="3" xfId="2" applyFont="1" applyFill="1" applyBorder="1" applyAlignment="1" applyProtection="1">
      <alignment horizontal="center"/>
    </xf>
    <xf numFmtId="175" fontId="0" fillId="0" borderId="0" xfId="5" applyNumberFormat="1" applyFont="1"/>
    <xf numFmtId="164" fontId="2" fillId="0" borderId="0" xfId="2" applyNumberFormat="1"/>
    <xf numFmtId="0" fontId="3" fillId="0" borderId="0" xfId="2" applyFont="1" applyAlignment="1">
      <alignment horizontal="center"/>
    </xf>
    <xf numFmtId="0" fontId="3" fillId="0" borderId="0" xfId="2" applyFont="1"/>
    <xf numFmtId="0" fontId="5" fillId="0" borderId="0" xfId="2" applyFont="1"/>
    <xf numFmtId="0" fontId="6" fillId="0" borderId="0" xfId="2" applyFont="1"/>
    <xf numFmtId="0" fontId="7" fillId="0" borderId="0" xfId="2" applyFont="1"/>
    <xf numFmtId="0" fontId="8" fillId="0" borderId="0" xfId="2" applyFont="1" applyAlignment="1">
      <alignment horizontal="right"/>
    </xf>
    <xf numFmtId="0" fontId="3" fillId="0" borderId="3" xfId="2" applyFont="1" applyBorder="1" applyAlignment="1">
      <alignment horizontal="center"/>
    </xf>
    <xf numFmtId="0" fontId="9" fillId="0" borderId="0" xfId="2" applyFont="1"/>
    <xf numFmtId="165" fontId="2" fillId="0" borderId="4" xfId="2" applyNumberFormat="1" applyBorder="1"/>
    <xf numFmtId="165" fontId="2" fillId="0" borderId="0" xfId="2" applyNumberFormat="1"/>
    <xf numFmtId="42" fontId="5" fillId="0" borderId="0" xfId="2" applyNumberFormat="1" applyFont="1"/>
    <xf numFmtId="165" fontId="5" fillId="0" borderId="0" xfId="2" applyNumberFormat="1" applyFont="1"/>
    <xf numFmtId="0" fontId="10" fillId="0" borderId="0" xfId="2" applyFont="1" applyAlignment="1">
      <alignment horizontal="center"/>
    </xf>
    <xf numFmtId="166" fontId="5" fillId="0" borderId="0" xfId="2" applyNumberFormat="1" applyFont="1" applyAlignment="1">
      <alignment horizontal="center"/>
    </xf>
    <xf numFmtId="42" fontId="2" fillId="0" borderId="1" xfId="2" applyNumberFormat="1" applyBorder="1"/>
    <xf numFmtId="42" fontId="3" fillId="0" borderId="0" xfId="2" applyNumberFormat="1" applyFont="1"/>
    <xf numFmtId="42" fontId="3" fillId="0" borderId="5" xfId="2" applyNumberFormat="1" applyFont="1" applyBorder="1"/>
    <xf numFmtId="42" fontId="11" fillId="0" borderId="0" xfId="2" applyNumberFormat="1" applyFont="1"/>
    <xf numFmtId="167" fontId="11" fillId="0" borderId="0" xfId="2" applyNumberFormat="1" applyFont="1" applyAlignment="1">
      <alignment horizontal="center"/>
    </xf>
    <xf numFmtId="42" fontId="2" fillId="0" borderId="3" xfId="2" applyNumberFormat="1" applyBorder="1"/>
    <xf numFmtId="42" fontId="3" fillId="0" borderId="6" xfId="2" applyNumberFormat="1" applyFont="1" applyBorder="1"/>
    <xf numFmtId="0" fontId="3" fillId="0" borderId="6" xfId="2" applyFont="1" applyBorder="1"/>
    <xf numFmtId="168" fontId="3" fillId="0" borderId="0" xfId="2" applyNumberFormat="1" applyFont="1"/>
    <xf numFmtId="42" fontId="3" fillId="0" borderId="7" xfId="2" applyNumberFormat="1" applyFont="1" applyBorder="1"/>
    <xf numFmtId="166" fontId="2" fillId="0" borderId="0" xfId="2" applyNumberFormat="1" applyAlignment="1">
      <alignment horizontal="right"/>
    </xf>
    <xf numFmtId="0" fontId="12" fillId="0" borderId="0" xfId="2" applyFont="1"/>
    <xf numFmtId="10" fontId="12" fillId="0" borderId="0" xfId="2" applyNumberFormat="1" applyFont="1"/>
    <xf numFmtId="169" fontId="2" fillId="0" borderId="0" xfId="2" applyNumberFormat="1" applyAlignment="1">
      <alignment horizontal="right"/>
    </xf>
    <xf numFmtId="0" fontId="13" fillId="0" borderId="0" xfId="2" applyFont="1"/>
    <xf numFmtId="0" fontId="14" fillId="0" borderId="0" xfId="2" applyFont="1"/>
    <xf numFmtId="170" fontId="2" fillId="0" borderId="0" xfId="2" applyNumberFormat="1"/>
    <xf numFmtId="0" fontId="2" fillId="0" borderId="8" xfId="2" applyBorder="1"/>
    <xf numFmtId="0" fontId="2" fillId="0" borderId="9" xfId="2" applyBorder="1"/>
    <xf numFmtId="10" fontId="2" fillId="0" borderId="9" xfId="2" applyNumberFormat="1" applyBorder="1"/>
    <xf numFmtId="0" fontId="2" fillId="0" borderId="10" xfId="2" applyBorder="1"/>
    <xf numFmtId="171" fontId="13" fillId="0" borderId="0" xfId="2" applyNumberFormat="1" applyFont="1"/>
    <xf numFmtId="44" fontId="5" fillId="0" borderId="0" xfId="2" applyNumberFormat="1" applyFont="1"/>
    <xf numFmtId="0" fontId="2" fillId="0" borderId="11" xfId="2" applyBorder="1"/>
    <xf numFmtId="0" fontId="2" fillId="0" borderId="12" xfId="2" applyBorder="1"/>
    <xf numFmtId="0" fontId="13" fillId="0" borderId="0" xfId="2" quotePrefix="1" applyFont="1" applyAlignment="1">
      <alignment horizontal="center"/>
    </xf>
    <xf numFmtId="38" fontId="2" fillId="0" borderId="12" xfId="2" applyNumberFormat="1" applyBorder="1"/>
    <xf numFmtId="38" fontId="13" fillId="0" borderId="0" xfId="2" applyNumberFormat="1" applyFont="1"/>
    <xf numFmtId="38" fontId="2" fillId="0" borderId="13" xfId="2" applyNumberFormat="1" applyBorder="1"/>
    <xf numFmtId="4" fontId="5" fillId="0" borderId="0" xfId="2" applyNumberFormat="1" applyFont="1"/>
    <xf numFmtId="38" fontId="2" fillId="0" borderId="14" xfId="2" applyNumberFormat="1" applyBorder="1"/>
    <xf numFmtId="0" fontId="15" fillId="0" borderId="0" xfId="2" applyFont="1" applyAlignment="1">
      <alignment horizontal="center"/>
    </xf>
    <xf numFmtId="38" fontId="2" fillId="0" borderId="0" xfId="2" applyNumberFormat="1"/>
    <xf numFmtId="38" fontId="2" fillId="0" borderId="1" xfId="2" applyNumberFormat="1" applyBorder="1"/>
    <xf numFmtId="38" fontId="2" fillId="0" borderId="15" xfId="2" applyNumberFormat="1" applyBorder="1"/>
    <xf numFmtId="10" fontId="2" fillId="0" borderId="2" xfId="2" applyNumberFormat="1" applyBorder="1"/>
    <xf numFmtId="0" fontId="2" fillId="0" borderId="16" xfId="2" applyBorder="1"/>
    <xf numFmtId="0" fontId="2" fillId="0" borderId="17" xfId="2" applyBorder="1"/>
    <xf numFmtId="38" fontId="2" fillId="0" borderId="17" xfId="2" applyNumberFormat="1" applyBorder="1" applyAlignment="1">
      <alignment horizontal="center"/>
    </xf>
    <xf numFmtId="38" fontId="2" fillId="0" borderId="18" xfId="2" applyNumberFormat="1" applyBorder="1"/>
    <xf numFmtId="10" fontId="5" fillId="0" borderId="0" xfId="2" applyNumberFormat="1" applyFont="1"/>
    <xf numFmtId="38" fontId="2" fillId="0" borderId="9" xfId="2" applyNumberFormat="1" applyBorder="1"/>
    <xf numFmtId="14" fontId="2" fillId="0" borderId="0" xfId="2" applyNumberFormat="1"/>
    <xf numFmtId="38" fontId="16" fillId="0" borderId="0" xfId="2" applyNumberFormat="1" applyFont="1"/>
    <xf numFmtId="0" fontId="16" fillId="0" borderId="0" xfId="2" applyFont="1"/>
    <xf numFmtId="173" fontId="5" fillId="0" borderId="0" xfId="2" applyNumberFormat="1" applyFont="1"/>
    <xf numFmtId="172" fontId="2" fillId="0" borderId="0" xfId="2" applyNumberFormat="1"/>
    <xf numFmtId="38" fontId="2" fillId="0" borderId="0" xfId="2" applyNumberFormat="1" applyAlignment="1">
      <alignment horizontal="center"/>
    </xf>
    <xf numFmtId="42" fontId="13" fillId="0" borderId="0" xfId="2" applyNumberFormat="1" applyFont="1"/>
    <xf numFmtId="166" fontId="2" fillId="0" borderId="0" xfId="2" applyNumberFormat="1"/>
    <xf numFmtId="0" fontId="2" fillId="2" borderId="0" xfId="2" applyFill="1" applyBorder="1" applyAlignment="1">
      <alignment horizontal="center"/>
    </xf>
    <xf numFmtId="42" fontId="2" fillId="0" borderId="39" xfId="2" applyNumberFormat="1" applyFill="1" applyBorder="1"/>
    <xf numFmtId="42" fontId="2" fillId="0" borderId="39" xfId="2" applyNumberFormat="1" applyBorder="1"/>
    <xf numFmtId="0" fontId="22" fillId="0" borderId="0" xfId="0" applyFont="1" applyAlignment="1">
      <alignment wrapText="1"/>
    </xf>
    <xf numFmtId="0" fontId="22" fillId="0" borderId="0" xfId="0" applyFont="1" applyAlignment="1">
      <alignment horizontal="left" wrapText="1"/>
    </xf>
    <xf numFmtId="0" fontId="22" fillId="0" borderId="33" xfId="0" applyFont="1" applyBorder="1" applyAlignment="1">
      <alignment horizontal="center" wrapText="1"/>
    </xf>
    <xf numFmtId="0" fontId="22" fillId="0" borderId="34" xfId="0" applyFont="1" applyBorder="1" applyAlignment="1">
      <alignment horizontal="center" wrapText="1"/>
    </xf>
    <xf numFmtId="0" fontId="3" fillId="2" borderId="22" xfId="2" applyFont="1" applyFill="1" applyBorder="1"/>
    <xf numFmtId="42" fontId="3" fillId="2" borderId="0" xfId="2" applyNumberFormat="1" applyFont="1" applyFill="1" applyBorder="1"/>
    <xf numFmtId="0" fontId="3" fillId="2" borderId="0" xfId="2" applyFont="1" applyFill="1" applyBorder="1"/>
    <xf numFmtId="42" fontId="3" fillId="2" borderId="23" xfId="2" applyNumberFormat="1" applyFont="1" applyFill="1" applyBorder="1"/>
    <xf numFmtId="0" fontId="2" fillId="0" borderId="40" xfId="2" applyBorder="1" applyAlignment="1">
      <alignment horizontal="right"/>
    </xf>
    <xf numFmtId="42" fontId="2" fillId="0" borderId="41" xfId="2" applyNumberFormat="1" applyBorder="1"/>
    <xf numFmtId="176" fontId="2" fillId="0" borderId="41" xfId="5" applyNumberFormat="1" applyFont="1" applyFill="1" applyBorder="1"/>
    <xf numFmtId="42" fontId="2" fillId="0" borderId="40" xfId="2" applyNumberFormat="1" applyBorder="1"/>
    <xf numFmtId="0" fontId="2" fillId="0" borderId="40" xfId="2" applyBorder="1"/>
    <xf numFmtId="0" fontId="3" fillId="0" borderId="42" xfId="2" applyFont="1" applyBorder="1" applyAlignment="1">
      <alignment horizontal="right"/>
    </xf>
    <xf numFmtId="0" fontId="20" fillId="0" borderId="1" xfId="0" applyFont="1" applyBorder="1"/>
    <xf numFmtId="42" fontId="3" fillId="0" borderId="43" xfId="2" applyNumberFormat="1" applyFont="1" applyBorder="1"/>
    <xf numFmtId="0" fontId="2" fillId="0" borderId="40" xfId="2" applyFill="1" applyBorder="1"/>
    <xf numFmtId="42" fontId="2" fillId="0" borderId="41" xfId="2" applyNumberFormat="1" applyFill="1" applyBorder="1"/>
    <xf numFmtId="0" fontId="3" fillId="0" borderId="44" xfId="2" applyFont="1" applyFill="1" applyBorder="1"/>
    <xf numFmtId="0" fontId="2" fillId="0" borderId="3" xfId="2" applyFont="1" applyFill="1" applyBorder="1" applyAlignment="1">
      <alignment horizontal="center" vertical="center"/>
    </xf>
    <xf numFmtId="14" fontId="2" fillId="0" borderId="3" xfId="2" applyNumberFormat="1" applyFill="1" applyBorder="1" applyAlignment="1">
      <alignment horizontal="center"/>
    </xf>
    <xf numFmtId="0" fontId="2" fillId="0" borderId="3" xfId="2" applyFill="1" applyBorder="1"/>
    <xf numFmtId="0" fontId="2" fillId="0" borderId="3" xfId="2" applyFill="1" applyBorder="1" applyAlignment="1">
      <alignment horizontal="center"/>
    </xf>
    <xf numFmtId="42" fontId="3" fillId="0" borderId="3" xfId="2" applyNumberFormat="1" applyFont="1" applyFill="1" applyBorder="1"/>
    <xf numFmtId="0" fontId="3" fillId="0" borderId="3" xfId="2" applyFont="1" applyFill="1" applyBorder="1"/>
    <xf numFmtId="42" fontId="3" fillId="0" borderId="45" xfId="2" applyNumberFormat="1" applyFont="1" applyFill="1" applyBorder="1"/>
    <xf numFmtId="0" fontId="7" fillId="0" borderId="0" xfId="2" applyFont="1" applyAlignment="1">
      <alignment horizontal="center"/>
    </xf>
    <xf numFmtId="0" fontId="3" fillId="0" borderId="0" xfId="2" applyFont="1" applyAlignment="1">
      <alignment horizontal="center"/>
    </xf>
    <xf numFmtId="0" fontId="25" fillId="0" borderId="0" xfId="2" applyFont="1" applyAlignment="1">
      <alignment horizontal="left" vertical="top" wrapText="1"/>
    </xf>
    <xf numFmtId="0" fontId="2" fillId="2" borderId="0" xfId="2" applyFill="1" applyAlignment="1">
      <alignment horizontal="center" wrapText="1"/>
    </xf>
    <xf numFmtId="0" fontId="22" fillId="0" borderId="0" xfId="0" applyFont="1" applyAlignment="1">
      <alignment wrapText="1"/>
    </xf>
    <xf numFmtId="0" fontId="22" fillId="0" borderId="0" xfId="0" applyFont="1" applyAlignment="1">
      <alignment horizontal="left" wrapText="1"/>
    </xf>
    <xf numFmtId="0" fontId="22" fillId="0" borderId="29" xfId="0" applyFont="1" applyBorder="1" applyAlignment="1">
      <alignment horizontal="center" wrapText="1"/>
    </xf>
    <xf numFmtId="0" fontId="22" fillId="0" borderId="30" xfId="0" applyFont="1" applyBorder="1" applyAlignment="1">
      <alignment horizontal="center" wrapText="1"/>
    </xf>
    <xf numFmtId="0" fontId="22" fillId="0" borderId="31" xfId="0" applyFont="1" applyBorder="1" applyAlignment="1">
      <alignment horizontal="center" wrapText="1"/>
    </xf>
    <xf numFmtId="0" fontId="22" fillId="0" borderId="33" xfId="0" applyFont="1" applyBorder="1" applyAlignment="1">
      <alignment horizontal="center" wrapText="1"/>
    </xf>
    <xf numFmtId="0" fontId="22" fillId="0" borderId="34" xfId="0" applyFont="1" applyBorder="1" applyAlignment="1">
      <alignment horizontal="center" wrapText="1"/>
    </xf>
    <xf numFmtId="0" fontId="3" fillId="0" borderId="3" xfId="2" applyFont="1" applyBorder="1" applyAlignment="1">
      <alignment horizontal="center"/>
    </xf>
    <xf numFmtId="0" fontId="3" fillId="0" borderId="3" xfId="2" applyFont="1" applyFill="1" applyBorder="1" applyAlignment="1" applyProtection="1">
      <alignment horizontal="center"/>
    </xf>
    <xf numFmtId="42" fontId="3" fillId="0" borderId="0" xfId="2" applyNumberFormat="1" applyFont="1" applyFill="1" applyBorder="1"/>
    <xf numFmtId="42" fontId="3" fillId="0" borderId="23" xfId="2" applyNumberFormat="1" applyFont="1" applyFill="1" applyBorder="1"/>
    <xf numFmtId="0" fontId="21" fillId="0" borderId="22" xfId="2" applyFont="1" applyFill="1" applyBorder="1"/>
    <xf numFmtId="0" fontId="21" fillId="0" borderId="0" xfId="2" applyFont="1" applyFill="1" applyAlignment="1">
      <alignment horizontal="center" vertical="center"/>
    </xf>
    <xf numFmtId="0" fontId="21" fillId="0" borderId="0" xfId="2" applyFont="1" applyFill="1"/>
    <xf numFmtId="0" fontId="3" fillId="3" borderId="44" xfId="2" applyFont="1" applyFill="1" applyBorder="1"/>
    <xf numFmtId="0" fontId="2" fillId="3" borderId="3" xfId="2" applyFont="1" applyFill="1" applyBorder="1" applyAlignment="1">
      <alignment horizontal="center" vertical="center"/>
    </xf>
    <xf numFmtId="14" fontId="2" fillId="3" borderId="3" xfId="2" applyNumberFormat="1" applyFill="1" applyBorder="1" applyAlignment="1">
      <alignment horizontal="center"/>
    </xf>
    <xf numFmtId="0" fontId="2" fillId="3" borderId="3" xfId="2" applyFill="1" applyBorder="1"/>
    <xf numFmtId="0" fontId="2" fillId="3" borderId="3" xfId="2" applyFill="1" applyBorder="1" applyAlignment="1">
      <alignment horizontal="center"/>
    </xf>
    <xf numFmtId="42" fontId="3" fillId="3" borderId="3" xfId="2" applyNumberFormat="1" applyFont="1" applyFill="1" applyBorder="1"/>
    <xf numFmtId="0" fontId="3" fillId="3" borderId="3" xfId="2" applyFont="1" applyFill="1" applyBorder="1"/>
    <xf numFmtId="42" fontId="3" fillId="3" borderId="45" xfId="2" applyNumberFormat="1" applyFont="1" applyFill="1" applyBorder="1"/>
    <xf numFmtId="0" fontId="21" fillId="3" borderId="0" xfId="2" applyFont="1" applyFill="1" applyBorder="1"/>
    <xf numFmtId="0" fontId="21" fillId="3" borderId="0" xfId="2" applyFont="1" applyFill="1"/>
    <xf numFmtId="42" fontId="21" fillId="3" borderId="23" xfId="2" applyNumberFormat="1" applyFont="1" applyFill="1" applyBorder="1"/>
  </cellXfs>
  <cellStyles count="6">
    <cellStyle name="Comma" xfId="5" builtinId="3"/>
    <cellStyle name="Currency" xfId="1" builtinId="4"/>
    <cellStyle name="Currency 2" xfId="3" xr:uid="{00000000-0005-0000-0000-000001000000}"/>
    <cellStyle name="Normal" xfId="0" builtinId="0"/>
    <cellStyle name="Normal 2" xfId="2" xr:uid="{00000000-0005-0000-0000-000003000000}"/>
    <cellStyle name="Percent" xfId="4" builtinId="5"/>
  </cellStyles>
  <dxfs count="0"/>
  <tableStyles count="0" defaultTableStyle="TableStyleMedium2" defaultPivotStyle="PivotStyleLight16"/>
  <colors>
    <mruColors>
      <color rgb="FF8FFFC7"/>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66675</xdr:colOff>
      <xdr:row>6</xdr:row>
      <xdr:rowOff>76200</xdr:rowOff>
    </xdr:from>
    <xdr:to>
      <xdr:col>20</xdr:col>
      <xdr:colOff>572591</xdr:colOff>
      <xdr:row>35</xdr:row>
      <xdr:rowOff>181815</xdr:rowOff>
    </xdr:to>
    <xdr:pic>
      <xdr:nvPicPr>
        <xdr:cNvPr id="2" name="Picture 1">
          <a:extLst>
            <a:ext uri="{FF2B5EF4-FFF2-40B4-BE49-F238E27FC236}">
              <a16:creationId xmlns:a16="http://schemas.microsoft.com/office/drawing/2014/main" id="{FE306D03-4CD7-4C57-9A2B-74B71BBFF118}"/>
            </a:ext>
          </a:extLst>
        </xdr:cNvPr>
        <xdr:cNvPicPr>
          <a:picLocks noChangeAspect="1"/>
        </xdr:cNvPicPr>
      </xdr:nvPicPr>
      <xdr:blipFill>
        <a:blip xmlns:r="http://schemas.openxmlformats.org/officeDocument/2006/relationships" r:embed="rId1"/>
        <a:stretch>
          <a:fillRect/>
        </a:stretch>
      </xdr:blipFill>
      <xdr:spPr>
        <a:xfrm>
          <a:off x="12792075" y="1352550"/>
          <a:ext cx="7821116" cy="5630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857250</xdr:colOff>
      <xdr:row>78</xdr:row>
      <xdr:rowOff>126999</xdr:rowOff>
    </xdr:from>
    <xdr:to>
      <xdr:col>16</xdr:col>
      <xdr:colOff>347641</xdr:colOff>
      <xdr:row>84</xdr:row>
      <xdr:rowOff>31869</xdr:rowOff>
    </xdr:to>
    <xdr:pic>
      <xdr:nvPicPr>
        <xdr:cNvPr id="2" name="Picture 1">
          <a:extLst>
            <a:ext uri="{FF2B5EF4-FFF2-40B4-BE49-F238E27FC236}">
              <a16:creationId xmlns:a16="http://schemas.microsoft.com/office/drawing/2014/main" id="{1E4A6DDE-0B48-4082-AFBD-D58916807D3E}"/>
            </a:ext>
          </a:extLst>
        </xdr:cNvPr>
        <xdr:cNvPicPr>
          <a:picLocks noChangeAspect="1"/>
        </xdr:cNvPicPr>
      </xdr:nvPicPr>
      <xdr:blipFill>
        <a:blip xmlns:r="http://schemas.openxmlformats.org/officeDocument/2006/relationships" r:embed="rId1"/>
        <a:stretch>
          <a:fillRect/>
        </a:stretch>
      </xdr:blipFill>
      <xdr:spPr>
        <a:xfrm>
          <a:off x="12544425" y="13042899"/>
          <a:ext cx="3633766" cy="87642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shley D Livingood" id="{9BE57E42-A58E-48BD-B6A7-48F61D637E9D}" userId="S::s275077@corp.aepsc.com::e49d7f2a-98ba-46ee-a195-601126cdaf0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63" dT="2022-08-23T22:26:57.16" personId="{9BE57E42-A58E-48BD-B6A7-48F61D637E9D}" id="{AF4B2374-586C-47F0-9A15-E4888D69AD60}">
    <text>storm restoration Friday-Monday; DHE weekend time would all be incremental</text>
  </threadedComment>
</ThreadedComments>
</file>

<file path=xl/threadedComments/threadedComment2.xml><?xml version="1.0" encoding="utf-8"?>
<ThreadedComments xmlns="http://schemas.microsoft.com/office/spreadsheetml/2018/threadedcomments" xmlns:x="http://schemas.openxmlformats.org/spreadsheetml/2006/main">
  <threadedComment ref="Q63" dT="2022-08-23T22:26:57.16" personId="{9BE57E42-A58E-48BD-B6A7-48F61D637E9D}" id="{A3F2E28A-AE9F-4229-B677-9D1A372B8006}">
    <text>storm restoration Friday-Monday; DHE weekend time would all be incremental</text>
  </threadedComment>
</ThreadedComments>
</file>

<file path=xl/threadedComments/threadedComment3.xml><?xml version="1.0" encoding="utf-8"?>
<ThreadedComments xmlns="http://schemas.microsoft.com/office/spreadsheetml/2018/threadedcomments" xmlns:x="http://schemas.openxmlformats.org/spreadsheetml/2006/main">
  <threadedComment ref="Q63" dT="2022-08-23T22:26:57.16" personId="{9BE57E42-A58E-48BD-B6A7-48F61D637E9D}" id="{C4CB7BEA-FC3B-4A5F-85F6-3EB308EBA795}">
    <text>storm restoration Friday-Monday; DHE weekend time would all be incremental</text>
  </threadedComment>
</ThreadedComments>
</file>

<file path=xl/threadedComments/threadedComment4.xml><?xml version="1.0" encoding="utf-8"?>
<ThreadedComments xmlns="http://schemas.microsoft.com/office/spreadsheetml/2018/threadedcomments" xmlns:x="http://schemas.openxmlformats.org/spreadsheetml/2006/main">
  <threadedComment ref="Q63" dT="2022-08-23T22:26:57.16" personId="{9BE57E42-A58E-48BD-B6A7-48F61D637E9D}" id="{6D98BFB9-0CD8-4DCB-9CC4-2E8CE1228CE3}">
    <text>storm restoration Friday-Monday; DHE weekend time would all be incremental</text>
  </threadedComment>
</ThreadedComments>
</file>

<file path=xl/threadedComments/threadedComment5.xml><?xml version="1.0" encoding="utf-8"?>
<ThreadedComments xmlns="http://schemas.microsoft.com/office/spreadsheetml/2018/threadedcomments" xmlns:x="http://schemas.openxmlformats.org/spreadsheetml/2006/main">
  <threadedComment ref="Q62" dT="2022-08-23T22:26:57.16" personId="{9BE57E42-A58E-48BD-B6A7-48F61D637E9D}" id="{378FEB01-A08F-44AC-A4F7-40828CB01FBD}">
    <text>storm restoration Friday-Monday; DHE weekend time would all be incremental</text>
  </threadedComment>
</ThreadedComments>
</file>

<file path=xl/threadedComments/threadedComment6.xml><?xml version="1.0" encoding="utf-8"?>
<ThreadedComments xmlns="http://schemas.microsoft.com/office/spreadsheetml/2018/threadedcomments" xmlns:x="http://schemas.openxmlformats.org/spreadsheetml/2006/main">
  <threadedComment ref="Q62" dT="2022-08-23T22:26:57.16" personId="{9BE57E42-A58E-48BD-B6A7-48F61D637E9D}" id="{63014D64-3FA4-4027-9B26-8AD5EBA9881A}">
    <text>storm restoration Friday-Monday; DHE weekend time would all be incremental</text>
  </threadedComment>
</ThreadedComments>
</file>

<file path=xl/threadedComments/threadedComment7.xml><?xml version="1.0" encoding="utf-8"?>
<ThreadedComments xmlns="http://schemas.microsoft.com/office/spreadsheetml/2018/threadedcomments" xmlns:x="http://schemas.openxmlformats.org/spreadsheetml/2006/main">
  <threadedComment ref="Q63" dT="2022-08-23T22:26:57.16" personId="{9BE57E42-A58E-48BD-B6A7-48F61D637E9D}" id="{A76E7434-6873-4386-BFA8-164190924097}">
    <text>storm restoration Friday-Monday; DHE weekend time would all be incremental</text>
  </threadedComment>
</ThreadedComments>
</file>

<file path=xl/threadedComments/threadedComment8.xml><?xml version="1.0" encoding="utf-8"?>
<ThreadedComments xmlns="http://schemas.microsoft.com/office/spreadsheetml/2018/threadedcomments" xmlns:x="http://schemas.openxmlformats.org/spreadsheetml/2006/main">
  <threadedComment ref="Q63" dT="2022-08-23T22:26:57.16" personId="{9BE57E42-A58E-48BD-B6A7-48F61D637E9D}" id="{62339020-61B0-4005-802C-0714D064B174}">
    <text>storm restoration Friday-Monday; DHE weekend time would all be incremental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7.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5.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 Id="rId4" Type="http://schemas.microsoft.com/office/2017/10/relationships/threadedComment" Target="../threadedComments/threadedComment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4"/>
  <sheetViews>
    <sheetView tabSelected="1" zoomScale="90" zoomScaleNormal="90" workbookViewId="0">
      <selection activeCell="B57" sqref="B57"/>
    </sheetView>
  </sheetViews>
  <sheetFormatPr defaultColWidth="9.140625" defaultRowHeight="12.75" x14ac:dyDescent="0.2"/>
  <cols>
    <col min="1" max="1" width="9.140625" style="1"/>
    <col min="2" max="2" width="46" style="1" customWidth="1"/>
    <col min="3" max="3" width="6" style="105" customWidth="1"/>
    <col min="4" max="4" width="17" style="1" customWidth="1"/>
    <col min="5" max="5" width="3.42578125" style="1" customWidth="1"/>
    <col min="6" max="6" width="14.85546875" style="1" bestFit="1" customWidth="1"/>
    <col min="7" max="7" width="3.42578125" style="1" customWidth="1"/>
    <col min="8" max="8" width="59.7109375" style="1" bestFit="1" customWidth="1"/>
    <col min="9" max="9" width="3.42578125" style="1" customWidth="1"/>
    <col min="10" max="10" width="19.5703125" style="1" customWidth="1"/>
    <col min="11" max="11" width="58.7109375" style="1" bestFit="1" customWidth="1"/>
    <col min="12" max="12" width="25" style="102" bestFit="1" customWidth="1"/>
    <col min="13" max="13" width="12.85546875" style="1" bestFit="1" customWidth="1"/>
    <col min="14" max="14" width="15.85546875" style="1" bestFit="1" customWidth="1"/>
    <col min="15" max="16384" width="9.140625" style="1"/>
  </cols>
  <sheetData>
    <row r="1" spans="2:14" ht="15" x14ac:dyDescent="0.2">
      <c r="B1" s="260" t="s">
        <v>0</v>
      </c>
      <c r="C1" s="260"/>
      <c r="D1" s="260"/>
      <c r="E1" s="260"/>
      <c r="F1" s="260"/>
      <c r="G1" s="260"/>
      <c r="H1" s="260"/>
      <c r="I1" s="260"/>
      <c r="J1" s="260"/>
    </row>
    <row r="2" spans="2:14" ht="15" x14ac:dyDescent="0.2">
      <c r="B2" s="260" t="s">
        <v>99</v>
      </c>
      <c r="C2" s="260"/>
      <c r="D2" s="260"/>
      <c r="E2" s="260"/>
      <c r="F2" s="260"/>
      <c r="G2" s="260"/>
      <c r="H2" s="260"/>
      <c r="I2" s="260"/>
      <c r="J2" s="260"/>
    </row>
    <row r="3" spans="2:14" hidden="1" x14ac:dyDescent="0.2">
      <c r="B3" s="261" t="s">
        <v>1</v>
      </c>
      <c r="C3" s="261"/>
      <c r="D3" s="261"/>
      <c r="E3" s="261"/>
      <c r="F3" s="261"/>
      <c r="G3" s="261"/>
      <c r="H3" s="261"/>
      <c r="I3" s="261"/>
      <c r="J3" s="261"/>
    </row>
    <row r="4" spans="2:14" x14ac:dyDescent="0.2">
      <c r="B4" s="261"/>
      <c r="C4" s="261"/>
      <c r="D4" s="261"/>
      <c r="E4" s="261"/>
      <c r="F4" s="261"/>
      <c r="G4" s="261"/>
      <c r="H4" s="261"/>
      <c r="I4" s="261"/>
      <c r="J4" s="261"/>
    </row>
    <row r="5" spans="2:14" ht="13.5" thickBot="1" x14ac:dyDescent="0.25">
      <c r="B5" s="2"/>
      <c r="D5" s="2"/>
      <c r="E5" s="2"/>
      <c r="F5" s="2"/>
      <c r="G5" s="2"/>
      <c r="H5" s="2"/>
      <c r="I5" s="2"/>
      <c r="J5" s="2"/>
    </row>
    <row r="6" spans="2:14" ht="15" customHeight="1" x14ac:dyDescent="0.2">
      <c r="B6" s="99"/>
      <c r="C6" s="106"/>
      <c r="D6" s="100"/>
      <c r="E6" s="100"/>
      <c r="F6" s="100"/>
      <c r="G6" s="100"/>
      <c r="H6" s="100"/>
      <c r="I6" s="100"/>
      <c r="J6" s="101"/>
      <c r="N6" s="51"/>
    </row>
    <row r="7" spans="2:14" x14ac:dyDescent="0.2">
      <c r="B7" s="119"/>
      <c r="C7" s="120"/>
      <c r="D7" s="121"/>
      <c r="E7" s="121"/>
      <c r="F7" s="121"/>
      <c r="G7" s="121"/>
      <c r="H7" s="120" t="s">
        <v>93</v>
      </c>
      <c r="I7" s="121"/>
      <c r="J7" s="125" t="s">
        <v>2</v>
      </c>
    </row>
    <row r="8" spans="2:14" x14ac:dyDescent="0.2">
      <c r="B8" s="122" t="s">
        <v>3</v>
      </c>
      <c r="C8" s="123"/>
      <c r="D8" s="124" t="s">
        <v>4</v>
      </c>
      <c r="E8" s="124"/>
      <c r="F8" s="124" t="s">
        <v>98</v>
      </c>
      <c r="G8" s="124"/>
      <c r="H8" s="123" t="s">
        <v>100</v>
      </c>
      <c r="I8" s="121"/>
      <c r="J8" s="126" t="s">
        <v>95</v>
      </c>
    </row>
    <row r="9" spans="2:14" x14ac:dyDescent="0.2">
      <c r="B9" s="36"/>
      <c r="C9" s="107"/>
      <c r="D9" s="38"/>
      <c r="E9" s="37"/>
      <c r="F9" s="38"/>
      <c r="G9" s="37"/>
      <c r="H9" s="37"/>
      <c r="I9" s="37"/>
      <c r="J9" s="127"/>
    </row>
    <row r="10" spans="2:14" x14ac:dyDescent="0.2">
      <c r="B10" s="36"/>
      <c r="C10" s="107"/>
      <c r="D10" s="38"/>
      <c r="E10" s="37"/>
      <c r="F10" s="38"/>
      <c r="G10" s="37"/>
      <c r="H10" s="37"/>
      <c r="I10" s="37"/>
      <c r="J10" s="127"/>
    </row>
    <row r="11" spans="2:14" x14ac:dyDescent="0.2">
      <c r="B11" s="36" t="s">
        <v>175</v>
      </c>
      <c r="C11" s="107" t="s">
        <v>97</v>
      </c>
      <c r="D11" s="115">
        <v>45662</v>
      </c>
      <c r="E11" s="37"/>
      <c r="F11" s="38" t="s">
        <v>170</v>
      </c>
      <c r="G11" s="37"/>
      <c r="H11" s="42">
        <v>6896941</v>
      </c>
      <c r="I11" s="37"/>
      <c r="J11" s="128">
        <v>4374496.9605647689</v>
      </c>
      <c r="L11" s="1"/>
    </row>
    <row r="12" spans="2:14" x14ac:dyDescent="0.2">
      <c r="B12" s="36"/>
      <c r="C12" s="107"/>
      <c r="D12" s="115"/>
      <c r="E12" s="37"/>
      <c r="F12" s="38"/>
      <c r="G12" s="37"/>
      <c r="H12" s="42"/>
      <c r="I12" s="37"/>
      <c r="J12" s="128"/>
      <c r="L12" s="1"/>
    </row>
    <row r="13" spans="2:14" x14ac:dyDescent="0.2">
      <c r="B13" s="40" t="s">
        <v>183</v>
      </c>
      <c r="C13" s="107" t="s">
        <v>97</v>
      </c>
      <c r="D13" s="114">
        <v>45703</v>
      </c>
      <c r="E13" s="41"/>
      <c r="F13" s="116" t="s">
        <v>174</v>
      </c>
      <c r="G13" s="41"/>
      <c r="H13" s="118">
        <v>8083829.5</v>
      </c>
      <c r="I13" s="37"/>
      <c r="J13" s="128">
        <v>4773670.5606724471</v>
      </c>
      <c r="L13" s="1"/>
    </row>
    <row r="14" spans="2:14" x14ac:dyDescent="0.2">
      <c r="B14" s="40"/>
      <c r="C14" s="107"/>
      <c r="D14" s="114"/>
      <c r="E14" s="41"/>
      <c r="F14" s="116"/>
      <c r="G14" s="41"/>
      <c r="H14" s="41"/>
      <c r="I14" s="37"/>
      <c r="J14" s="128"/>
      <c r="M14" s="51"/>
      <c r="N14" s="111"/>
    </row>
    <row r="15" spans="2:14" x14ac:dyDescent="0.2">
      <c r="B15" s="40" t="s">
        <v>183</v>
      </c>
      <c r="C15" s="107" t="s">
        <v>97</v>
      </c>
      <c r="D15" s="114">
        <v>45703</v>
      </c>
      <c r="E15" s="41"/>
      <c r="F15" s="116" t="s">
        <v>182</v>
      </c>
      <c r="G15" s="41"/>
      <c r="H15" s="118">
        <v>259918</v>
      </c>
      <c r="I15" s="37"/>
      <c r="J15" s="128">
        <v>187566</v>
      </c>
    </row>
    <row r="16" spans="2:14" x14ac:dyDescent="0.2">
      <c r="B16" s="36"/>
      <c r="C16" s="107"/>
      <c r="D16" s="38"/>
      <c r="E16" s="37"/>
      <c r="F16" s="38"/>
      <c r="G16" s="37"/>
      <c r="H16" s="37"/>
      <c r="I16" s="37"/>
      <c r="J16" s="127"/>
    </row>
    <row r="17" spans="2:13" x14ac:dyDescent="0.2">
      <c r="B17" s="238" t="s">
        <v>190</v>
      </c>
      <c r="C17" s="157"/>
      <c r="D17" s="231"/>
      <c r="E17" s="158"/>
      <c r="F17" s="231"/>
      <c r="G17" s="158"/>
      <c r="H17" s="239">
        <f>SUM(H11:H15)</f>
        <v>15240688.5</v>
      </c>
      <c r="I17" s="240"/>
      <c r="J17" s="241">
        <f>SUM(J11:J15)</f>
        <v>9335733.5212372169</v>
      </c>
    </row>
    <row r="18" spans="2:13" x14ac:dyDescent="0.2">
      <c r="B18" s="36"/>
      <c r="C18" s="107"/>
      <c r="D18" s="38"/>
      <c r="E18" s="37"/>
      <c r="F18" s="38"/>
      <c r="G18" s="37"/>
      <c r="H18" s="37"/>
      <c r="I18" s="37"/>
      <c r="J18" s="127"/>
    </row>
    <row r="19" spans="2:13" x14ac:dyDescent="0.2">
      <c r="B19" s="40" t="s">
        <v>157</v>
      </c>
      <c r="C19" s="107" t="s">
        <v>97</v>
      </c>
      <c r="D19" s="115">
        <v>45793</v>
      </c>
      <c r="E19" s="37"/>
      <c r="F19" s="38" t="s">
        <v>136</v>
      </c>
      <c r="G19" s="37"/>
      <c r="H19" s="42">
        <v>5068278</v>
      </c>
      <c r="I19" s="37"/>
      <c r="J19" s="112">
        <v>3070915.3878824008</v>
      </c>
    </row>
    <row r="20" spans="2:13" x14ac:dyDescent="0.2">
      <c r="B20" s="40"/>
      <c r="C20" s="107"/>
      <c r="D20" s="115"/>
      <c r="E20" s="37"/>
      <c r="F20" s="38"/>
      <c r="G20" s="37"/>
      <c r="H20" s="37"/>
      <c r="I20" s="37"/>
      <c r="J20" s="128"/>
    </row>
    <row r="21" spans="2:13" ht="13.5" thickBot="1" x14ac:dyDescent="0.25">
      <c r="B21" s="278" t="s">
        <v>192</v>
      </c>
      <c r="C21" s="279"/>
      <c r="D21" s="280"/>
      <c r="E21" s="281"/>
      <c r="F21" s="282"/>
      <c r="G21" s="281"/>
      <c r="H21" s="283">
        <f>SUM(H19)</f>
        <v>5068278</v>
      </c>
      <c r="I21" s="284"/>
      <c r="J21" s="285">
        <f>SUM(J19)</f>
        <v>3070915.3878824008</v>
      </c>
    </row>
    <row r="22" spans="2:13" x14ac:dyDescent="0.2">
      <c r="B22" s="40"/>
      <c r="C22" s="107"/>
      <c r="D22" s="115"/>
      <c r="E22" s="37"/>
      <c r="F22" s="38"/>
      <c r="G22" s="37"/>
      <c r="H22" s="37"/>
      <c r="I22" s="37"/>
      <c r="J22" s="128"/>
    </row>
    <row r="23" spans="2:13" x14ac:dyDescent="0.2">
      <c r="B23" s="40" t="s">
        <v>138</v>
      </c>
      <c r="C23" s="107"/>
      <c r="D23" s="114">
        <v>45699</v>
      </c>
      <c r="E23" s="41"/>
      <c r="F23" s="116" t="s">
        <v>137</v>
      </c>
      <c r="G23" s="41"/>
      <c r="H23" s="118">
        <v>801892</v>
      </c>
      <c r="I23" s="37"/>
      <c r="J23" s="128">
        <v>445645.52383124596</v>
      </c>
    </row>
    <row r="24" spans="2:13" x14ac:dyDescent="0.2">
      <c r="B24" s="40"/>
      <c r="C24" s="107"/>
      <c r="D24" s="114"/>
      <c r="E24" s="41"/>
      <c r="F24" s="116"/>
      <c r="G24" s="41"/>
      <c r="H24" s="41"/>
      <c r="I24" s="37"/>
      <c r="J24" s="128"/>
      <c r="M24" s="51"/>
    </row>
    <row r="25" spans="2:13" x14ac:dyDescent="0.2">
      <c r="B25" s="40" t="s">
        <v>145</v>
      </c>
      <c r="C25" s="107"/>
      <c r="D25" s="114">
        <v>45747</v>
      </c>
      <c r="E25" s="41"/>
      <c r="F25" s="116" t="s">
        <v>142</v>
      </c>
      <c r="G25" s="41"/>
      <c r="H25" s="118">
        <v>1647685</v>
      </c>
      <c r="I25" s="37"/>
      <c r="J25" s="128">
        <v>954885.45559999999</v>
      </c>
    </row>
    <row r="26" spans="2:13" x14ac:dyDescent="0.2">
      <c r="B26" s="40"/>
      <c r="C26" s="107"/>
      <c r="D26" s="114"/>
      <c r="E26" s="41"/>
      <c r="F26" s="116"/>
      <c r="G26" s="41"/>
      <c r="H26" s="41"/>
      <c r="I26" s="37"/>
      <c r="J26" s="128"/>
      <c r="M26" s="51"/>
    </row>
    <row r="27" spans="2:13" x14ac:dyDescent="0.2">
      <c r="B27" s="40" t="s">
        <v>151</v>
      </c>
      <c r="C27" s="107"/>
      <c r="D27" s="114">
        <v>45750</v>
      </c>
      <c r="E27" s="41"/>
      <c r="F27" s="116" t="s">
        <v>149</v>
      </c>
      <c r="G27" s="41"/>
      <c r="H27" s="118">
        <v>758547</v>
      </c>
      <c r="I27" s="37"/>
      <c r="J27" s="128">
        <v>409711.2626504717</v>
      </c>
    </row>
    <row r="28" spans="2:13" x14ac:dyDescent="0.2">
      <c r="B28" s="36"/>
      <c r="C28" s="107"/>
      <c r="D28" s="38"/>
      <c r="E28" s="37"/>
      <c r="F28" s="38"/>
      <c r="G28" s="37"/>
      <c r="H28" s="37"/>
      <c r="I28" s="37"/>
      <c r="J28" s="127"/>
    </row>
    <row r="29" spans="2:13" x14ac:dyDescent="0.2">
      <c r="B29" s="40" t="s">
        <v>156</v>
      </c>
      <c r="C29" s="107"/>
      <c r="D29" s="115">
        <v>45778</v>
      </c>
      <c r="E29" s="37"/>
      <c r="F29" s="38" t="s">
        <v>153</v>
      </c>
      <c r="G29" s="37"/>
      <c r="H29" s="42">
        <v>170301</v>
      </c>
      <c r="I29" s="37"/>
      <c r="J29" s="128">
        <v>77260.805995608331</v>
      </c>
    </row>
    <row r="30" spans="2:13" x14ac:dyDescent="0.2">
      <c r="B30" s="36"/>
      <c r="C30" s="107"/>
      <c r="D30" s="38"/>
      <c r="E30" s="37"/>
      <c r="F30" s="38"/>
      <c r="G30" s="37"/>
      <c r="H30" s="37"/>
      <c r="I30" s="37"/>
      <c r="J30" s="127"/>
    </row>
    <row r="31" spans="2:13" x14ac:dyDescent="0.2">
      <c r="B31" s="40" t="s">
        <v>158</v>
      </c>
      <c r="C31" s="107"/>
      <c r="D31" s="115">
        <v>45797</v>
      </c>
      <c r="E31" s="37"/>
      <c r="F31" s="38" t="s">
        <v>159</v>
      </c>
      <c r="G31" s="37"/>
      <c r="H31" s="42">
        <v>224590</v>
      </c>
      <c r="I31" s="37"/>
      <c r="J31" s="128">
        <v>132110.72434290827</v>
      </c>
    </row>
    <row r="32" spans="2:13" x14ac:dyDescent="0.2">
      <c r="B32" s="40"/>
      <c r="C32" s="107"/>
      <c r="D32" s="115"/>
      <c r="E32" s="37"/>
      <c r="F32" s="38"/>
      <c r="G32" s="37"/>
      <c r="H32" s="37"/>
      <c r="I32" s="37"/>
      <c r="J32" s="128"/>
      <c r="M32" s="51"/>
    </row>
    <row r="33" spans="2:13" ht="13.5" thickBot="1" x14ac:dyDescent="0.25">
      <c r="B33" s="252" t="s">
        <v>193</v>
      </c>
      <c r="C33" s="253"/>
      <c r="D33" s="254"/>
      <c r="E33" s="255"/>
      <c r="F33" s="256"/>
      <c r="G33" s="255"/>
      <c r="H33" s="257">
        <f>SUM(H23:H31)</f>
        <v>3603015</v>
      </c>
      <c r="I33" s="258"/>
      <c r="J33" s="259">
        <f>SUM(J23:J31)</f>
        <v>2019613.772420234</v>
      </c>
      <c r="M33" s="51"/>
    </row>
    <row r="34" spans="2:13" x14ac:dyDescent="0.2">
      <c r="B34" s="40"/>
      <c r="C34" s="107"/>
      <c r="D34" s="115"/>
      <c r="E34" s="37"/>
      <c r="F34" s="38"/>
      <c r="G34" s="37"/>
      <c r="H34" s="250"/>
      <c r="I34" s="37"/>
      <c r="J34" s="251"/>
    </row>
    <row r="35" spans="2:13" x14ac:dyDescent="0.2">
      <c r="B35" s="40"/>
      <c r="C35" s="107"/>
      <c r="D35" s="115"/>
      <c r="E35" s="37"/>
      <c r="H35" s="242" t="s">
        <v>176</v>
      </c>
      <c r="I35" s="46"/>
      <c r="J35" s="243">
        <v>1013489</v>
      </c>
    </row>
    <row r="36" spans="2:13" x14ac:dyDescent="0.2">
      <c r="B36" s="40"/>
      <c r="C36" s="107"/>
      <c r="D36" s="115"/>
      <c r="E36" s="37"/>
      <c r="H36" s="242" t="s">
        <v>96</v>
      </c>
      <c r="I36" s="46"/>
      <c r="J36" s="244">
        <v>0.999</v>
      </c>
    </row>
    <row r="37" spans="2:13" x14ac:dyDescent="0.2">
      <c r="B37" s="40"/>
      <c r="C37" s="107"/>
      <c r="D37" s="115"/>
      <c r="E37" s="37"/>
      <c r="H37" s="242" t="s">
        <v>177</v>
      </c>
      <c r="I37" s="46"/>
      <c r="J37" s="243">
        <v>1012476</v>
      </c>
    </row>
    <row r="38" spans="2:13" x14ac:dyDescent="0.2">
      <c r="B38" s="263" t="s">
        <v>191</v>
      </c>
      <c r="C38" s="107"/>
      <c r="D38" s="115"/>
      <c r="E38" s="37"/>
      <c r="H38" s="245"/>
      <c r="I38" s="46"/>
      <c r="J38" s="243"/>
    </row>
    <row r="39" spans="2:13" x14ac:dyDescent="0.2">
      <c r="B39" s="263"/>
      <c r="C39" s="107"/>
      <c r="D39" s="115"/>
      <c r="E39" s="37"/>
      <c r="F39" s="2"/>
      <c r="H39" s="242" t="s">
        <v>178</v>
      </c>
      <c r="I39" s="46"/>
      <c r="J39" s="243">
        <v>89872</v>
      </c>
    </row>
    <row r="40" spans="2:13" x14ac:dyDescent="0.2">
      <c r="B40" s="263"/>
      <c r="C40" s="107"/>
      <c r="D40" s="38"/>
      <c r="E40" s="37"/>
      <c r="F40" s="2"/>
      <c r="H40" s="242" t="s">
        <v>96</v>
      </c>
      <c r="I40" s="46"/>
      <c r="J40" s="244">
        <v>0.98499999999999999</v>
      </c>
    </row>
    <row r="41" spans="2:13" x14ac:dyDescent="0.2">
      <c r="B41" s="36"/>
      <c r="C41" s="107"/>
      <c r="D41" s="38"/>
      <c r="E41" s="37"/>
      <c r="F41" s="2"/>
      <c r="H41" s="242" t="s">
        <v>179</v>
      </c>
      <c r="I41" s="46"/>
      <c r="J41" s="243">
        <v>88524</v>
      </c>
    </row>
    <row r="42" spans="2:13" x14ac:dyDescent="0.2">
      <c r="B42" s="36"/>
      <c r="C42" s="107"/>
      <c r="D42" s="38"/>
      <c r="E42" s="37"/>
      <c r="H42" s="246"/>
      <c r="I42" s="46"/>
      <c r="J42" s="243"/>
    </row>
    <row r="43" spans="2:13" x14ac:dyDescent="0.2">
      <c r="B43" s="36"/>
      <c r="C43" s="107"/>
      <c r="D43" s="38"/>
      <c r="E43" s="37"/>
      <c r="F43" s="136"/>
      <c r="G43" s="137"/>
      <c r="H43" s="247" t="s">
        <v>180</v>
      </c>
      <c r="I43" s="248"/>
      <c r="J43" s="249">
        <f>ROUND(J37+J41,0)</f>
        <v>1101000</v>
      </c>
    </row>
    <row r="44" spans="2:13" x14ac:dyDescent="0.2">
      <c r="B44" s="40"/>
      <c r="C44" s="107"/>
      <c r="D44" s="116"/>
      <c r="E44" s="41"/>
      <c r="F44" s="38"/>
      <c r="G44" s="37"/>
      <c r="H44" s="37"/>
      <c r="I44" s="37"/>
      <c r="J44" s="128"/>
    </row>
    <row r="45" spans="2:13" x14ac:dyDescent="0.2">
      <c r="B45" s="40"/>
      <c r="C45" s="107"/>
      <c r="D45" s="116"/>
      <c r="E45" s="41"/>
      <c r="F45" s="38"/>
      <c r="G45" s="37"/>
      <c r="H45" s="37"/>
      <c r="I45" s="37"/>
      <c r="J45" s="128"/>
    </row>
    <row r="46" spans="2:13" x14ac:dyDescent="0.2">
      <c r="B46" s="40"/>
      <c r="C46" s="107"/>
      <c r="D46" s="116"/>
      <c r="E46" s="41"/>
      <c r="F46" s="38"/>
      <c r="G46" s="37"/>
      <c r="H46" s="37" t="s">
        <v>186</v>
      </c>
      <c r="I46" s="37"/>
      <c r="J46" s="128">
        <f>J11+J13+J19</f>
        <v>12219082.909119617</v>
      </c>
    </row>
    <row r="47" spans="2:13" x14ac:dyDescent="0.2">
      <c r="B47" s="40"/>
      <c r="C47" s="107"/>
      <c r="D47" s="116"/>
      <c r="E47" s="41"/>
      <c r="F47" s="38"/>
      <c r="G47" s="37"/>
      <c r="H47" s="37" t="s">
        <v>187</v>
      </c>
      <c r="I47" s="37"/>
      <c r="J47" s="131">
        <f>J23+J25+J27+J29+J31</f>
        <v>2019613.772420234</v>
      </c>
    </row>
    <row r="48" spans="2:13" x14ac:dyDescent="0.2">
      <c r="B48" s="40"/>
      <c r="C48" s="107"/>
      <c r="D48" s="116"/>
      <c r="E48" s="41"/>
      <c r="F48" s="38"/>
      <c r="G48" s="37"/>
      <c r="H48" s="37" t="s">
        <v>184</v>
      </c>
      <c r="I48" s="37"/>
      <c r="J48" s="128">
        <f>J47+J46</f>
        <v>14238696.681539852</v>
      </c>
    </row>
    <row r="49" spans="1:14" ht="15.75" thickBot="1" x14ac:dyDescent="0.3">
      <c r="B49" s="43"/>
      <c r="C49" s="108"/>
      <c r="D49" s="117"/>
      <c r="E49" s="44"/>
      <c r="F49" s="117"/>
      <c r="G49" s="44"/>
      <c r="H49" s="37" t="s">
        <v>188</v>
      </c>
      <c r="I49" s="37"/>
      <c r="J49" s="232">
        <f>J48-J37</f>
        <v>13226220.681539852</v>
      </c>
    </row>
    <row r="50" spans="1:14" ht="15.75" thickTop="1" x14ac:dyDescent="0.25">
      <c r="B50" s="43"/>
      <c r="C50" s="108"/>
      <c r="D50" s="117"/>
      <c r="E50" s="44"/>
      <c r="F50" s="117"/>
      <c r="G50" s="44"/>
      <c r="H50" s="37"/>
      <c r="I50" s="44"/>
      <c r="J50" s="129"/>
    </row>
    <row r="51" spans="1:14" x14ac:dyDescent="0.2">
      <c r="B51" s="36"/>
      <c r="C51" s="107"/>
      <c r="D51" s="115"/>
      <c r="E51" s="37"/>
      <c r="F51" s="38"/>
      <c r="G51" s="37"/>
      <c r="H51" s="42" t="s">
        <v>185</v>
      </c>
      <c r="I51" s="37"/>
      <c r="J51" s="131">
        <f>J15</f>
        <v>187566</v>
      </c>
      <c r="K51" s="166"/>
    </row>
    <row r="52" spans="1:14" ht="13.5" thickBot="1" x14ac:dyDescent="0.25">
      <c r="B52" s="36"/>
      <c r="C52" s="107"/>
      <c r="D52" s="115"/>
      <c r="E52" s="37"/>
      <c r="F52" s="38"/>
      <c r="G52" s="37"/>
      <c r="H52" s="42" t="s">
        <v>189</v>
      </c>
      <c r="I52" s="37"/>
      <c r="J52" s="233">
        <f>J51-J41</f>
        <v>99042</v>
      </c>
      <c r="K52" s="166"/>
      <c r="N52" s="111"/>
    </row>
    <row r="53" spans="1:14" ht="13.5" thickTop="1" x14ac:dyDescent="0.2">
      <c r="B53" s="36"/>
      <c r="C53" s="107"/>
      <c r="D53" s="115"/>
      <c r="E53" s="37"/>
      <c r="F53" s="38"/>
      <c r="G53" s="37"/>
      <c r="H53" s="42"/>
      <c r="I53" s="37"/>
      <c r="J53" s="112"/>
      <c r="K53" s="166"/>
      <c r="N53" s="111"/>
    </row>
    <row r="54" spans="1:14" x14ac:dyDescent="0.2">
      <c r="B54" s="36"/>
      <c r="C54" s="107"/>
      <c r="D54" s="38"/>
      <c r="E54" s="37"/>
      <c r="F54" s="38"/>
      <c r="G54" s="37"/>
      <c r="H54" s="37"/>
      <c r="I54" s="37"/>
      <c r="J54" s="127"/>
      <c r="N54" s="111"/>
    </row>
    <row r="55" spans="1:14" x14ac:dyDescent="0.2">
      <c r="B55" s="36"/>
      <c r="C55" s="107"/>
      <c r="D55" s="115"/>
      <c r="E55" s="37"/>
      <c r="F55" s="38"/>
      <c r="G55" s="37"/>
      <c r="H55" s="42"/>
      <c r="I55" s="37"/>
      <c r="J55" s="128"/>
    </row>
    <row r="56" spans="1:14" ht="13.5" thickBot="1" x14ac:dyDescent="0.25">
      <c r="B56" s="36"/>
      <c r="C56" s="107"/>
      <c r="D56" s="37"/>
      <c r="E56" s="37"/>
      <c r="F56" s="37"/>
      <c r="G56" s="37"/>
      <c r="H56" s="132"/>
      <c r="I56" s="37"/>
      <c r="J56" s="130"/>
      <c r="N56" s="51"/>
    </row>
    <row r="57" spans="1:14" ht="13.5" thickTop="1" x14ac:dyDescent="0.2">
      <c r="B57" s="119" t="s">
        <v>194</v>
      </c>
      <c r="C57" s="107"/>
      <c r="D57" s="37"/>
      <c r="E57" s="37"/>
      <c r="F57" s="37"/>
      <c r="G57" s="37"/>
      <c r="H57" s="273">
        <f>H11+H13+H15+H19</f>
        <v>20308966.5</v>
      </c>
      <c r="I57" s="121"/>
      <c r="J57" s="274">
        <f>J11+J13+J15+J19</f>
        <v>12406648.909119617</v>
      </c>
    </row>
    <row r="58" spans="1:14" x14ac:dyDescent="0.2">
      <c r="B58" s="36"/>
      <c r="C58" s="107"/>
      <c r="D58" s="37"/>
      <c r="E58" s="37"/>
      <c r="F58" s="37"/>
      <c r="G58" s="37"/>
      <c r="H58" s="37"/>
      <c r="I58" s="37"/>
      <c r="J58" s="128"/>
    </row>
    <row r="59" spans="1:14" x14ac:dyDescent="0.2">
      <c r="B59" s="36"/>
      <c r="C59" s="107"/>
      <c r="D59" s="37"/>
      <c r="E59" s="37"/>
      <c r="F59" s="37"/>
      <c r="G59" s="37"/>
      <c r="H59" s="37" t="s">
        <v>195</v>
      </c>
      <c r="I59" s="37"/>
      <c r="J59" s="128">
        <f>J43</f>
        <v>1101000</v>
      </c>
    </row>
    <row r="60" spans="1:14" x14ac:dyDescent="0.2">
      <c r="B60" s="36"/>
      <c r="C60" s="107"/>
      <c r="D60" s="37"/>
      <c r="E60" s="37"/>
      <c r="F60" s="37"/>
      <c r="G60" s="37"/>
      <c r="H60" s="37" t="s">
        <v>196</v>
      </c>
      <c r="I60" s="37"/>
      <c r="J60" s="128">
        <f>J17-J59</f>
        <v>8234733.5212372169</v>
      </c>
    </row>
    <row r="61" spans="1:14" ht="15" x14ac:dyDescent="0.25">
      <c r="B61" s="275"/>
      <c r="C61" s="276"/>
      <c r="D61" s="277"/>
      <c r="E61" s="277"/>
      <c r="F61" s="277"/>
      <c r="G61" s="277"/>
      <c r="H61" s="286" t="s">
        <v>197</v>
      </c>
      <c r="I61" s="287"/>
      <c r="J61" s="288">
        <f>J57-J59-J60</f>
        <v>3070915.3878824003</v>
      </c>
      <c r="K61"/>
    </row>
    <row r="62" spans="1:14" customFormat="1" ht="15.75" hidden="1" thickBot="1" x14ac:dyDescent="0.3">
      <c r="A62" s="1"/>
      <c r="B62" s="45"/>
      <c r="C62" s="133"/>
      <c r="D62" s="1"/>
      <c r="E62" s="1"/>
      <c r="F62" s="1"/>
      <c r="G62" s="1"/>
      <c r="H62" s="134"/>
      <c r="I62" s="1"/>
      <c r="J62" s="135"/>
      <c r="L62" s="165"/>
      <c r="N62" s="160"/>
    </row>
    <row r="63" spans="1:14" customFormat="1" ht="15.75" hidden="1" thickBot="1" x14ac:dyDescent="0.3">
      <c r="A63" s="1"/>
      <c r="B63" s="45"/>
      <c r="C63" s="133"/>
      <c r="D63" s="1"/>
      <c r="E63" s="1"/>
      <c r="F63" s="1"/>
      <c r="G63" s="1"/>
      <c r="H63" s="134"/>
      <c r="I63" s="1"/>
      <c r="J63" s="112"/>
      <c r="L63" s="165"/>
    </row>
    <row r="64" spans="1:14" customFormat="1" ht="15.75" hidden="1" thickBot="1" x14ac:dyDescent="0.3">
      <c r="A64" s="1"/>
      <c r="B64" s="45"/>
      <c r="C64" s="133"/>
      <c r="D64" s="1"/>
      <c r="E64" s="1"/>
      <c r="F64" s="1"/>
      <c r="G64" s="1"/>
      <c r="H64" s="51"/>
      <c r="I64" s="1"/>
      <c r="J64" s="112"/>
      <c r="L64" s="165"/>
    </row>
    <row r="65" spans="1:12" customFormat="1" ht="15.75" hidden="1" thickBot="1" x14ac:dyDescent="0.3">
      <c r="A65" s="1"/>
      <c r="B65" s="45"/>
      <c r="C65" s="133"/>
      <c r="D65" s="2"/>
      <c r="E65" s="1"/>
      <c r="F65" s="2"/>
      <c r="G65" s="1"/>
      <c r="H65" s="134"/>
      <c r="I65" s="1"/>
      <c r="J65" s="112"/>
      <c r="L65" s="165"/>
    </row>
    <row r="66" spans="1:12" customFormat="1" ht="15.75" hidden="1" thickBot="1" x14ac:dyDescent="0.3">
      <c r="A66" s="1"/>
      <c r="B66" s="45"/>
      <c r="C66" s="133"/>
      <c r="D66" s="2"/>
      <c r="E66" s="1"/>
      <c r="F66" s="2"/>
      <c r="G66" s="1"/>
      <c r="H66" s="134"/>
      <c r="I66" s="1"/>
      <c r="J66" s="135"/>
      <c r="L66" s="165"/>
    </row>
    <row r="67" spans="1:12" customFormat="1" ht="15.75" hidden="1" thickBot="1" x14ac:dyDescent="0.3">
      <c r="A67" s="1"/>
      <c r="B67" s="45"/>
      <c r="C67" s="133"/>
      <c r="D67" s="2"/>
      <c r="E67" s="1"/>
      <c r="F67" s="2"/>
      <c r="G67" s="1"/>
      <c r="H67" s="134"/>
      <c r="I67" s="1"/>
      <c r="J67" s="112"/>
      <c r="L67" s="165"/>
    </row>
    <row r="68" spans="1:12" customFormat="1" ht="15.75" hidden="1" thickBot="1" x14ac:dyDescent="0.3">
      <c r="A68" s="1"/>
      <c r="B68" s="45"/>
      <c r="C68" s="133"/>
      <c r="D68" s="1"/>
      <c r="E68" s="1"/>
      <c r="F68" s="1"/>
      <c r="G68" s="1"/>
      <c r="H68" s="1"/>
      <c r="I68" s="1"/>
      <c r="J68" s="112"/>
      <c r="L68" s="165"/>
    </row>
    <row r="69" spans="1:12" customFormat="1" ht="15.75" hidden="1" thickBot="1" x14ac:dyDescent="0.3">
      <c r="A69" s="1"/>
      <c r="B69" s="45"/>
      <c r="C69" s="133"/>
      <c r="D69" s="2"/>
      <c r="E69" s="1"/>
      <c r="F69" s="136"/>
      <c r="G69" s="137"/>
      <c r="H69" s="138"/>
      <c r="I69" s="137"/>
      <c r="J69" s="139"/>
      <c r="L69" s="165"/>
    </row>
    <row r="70" spans="1:12" customFormat="1" ht="15.75" hidden="1" thickBot="1" x14ac:dyDescent="0.3">
      <c r="A70" s="1"/>
      <c r="B70" s="36"/>
      <c r="C70" s="107"/>
      <c r="D70" s="37"/>
      <c r="E70" s="37"/>
      <c r="F70" s="37"/>
      <c r="G70" s="37"/>
      <c r="H70" s="37"/>
      <c r="I70" s="37"/>
      <c r="J70" s="128"/>
      <c r="K70" s="1"/>
      <c r="L70" s="165"/>
    </row>
    <row r="71" spans="1:12" ht="13.5" hidden="1" thickBot="1" x14ac:dyDescent="0.25">
      <c r="B71" s="36"/>
      <c r="C71" s="107"/>
      <c r="D71" s="37"/>
      <c r="E71" s="37"/>
      <c r="F71" s="37"/>
      <c r="G71" s="37"/>
      <c r="H71" s="37"/>
      <c r="I71" s="37"/>
      <c r="J71" s="131"/>
    </row>
    <row r="72" spans="1:12" ht="13.5" hidden="1" thickBot="1" x14ac:dyDescent="0.25">
      <c r="B72" s="36"/>
      <c r="C72" s="107"/>
      <c r="D72" s="37"/>
      <c r="E72" s="37"/>
      <c r="F72" s="37"/>
      <c r="G72" s="37"/>
      <c r="H72" s="37"/>
      <c r="I72" s="37"/>
      <c r="J72" s="127"/>
    </row>
    <row r="73" spans="1:12" x14ac:dyDescent="0.2">
      <c r="B73" s="45"/>
      <c r="C73" s="109"/>
      <c r="D73" s="46"/>
      <c r="E73" s="46"/>
      <c r="F73" s="46"/>
      <c r="G73" s="46"/>
      <c r="H73" s="46"/>
      <c r="I73" s="46"/>
      <c r="J73" s="39"/>
    </row>
    <row r="74" spans="1:12" ht="13.5" thickBot="1" x14ac:dyDescent="0.25">
      <c r="B74" s="47"/>
      <c r="C74" s="110"/>
      <c r="D74" s="48"/>
      <c r="E74" s="48"/>
      <c r="F74" s="48"/>
      <c r="G74" s="48"/>
      <c r="H74" s="48"/>
      <c r="I74" s="48"/>
      <c r="J74" s="49"/>
    </row>
    <row r="77" spans="1:12" x14ac:dyDescent="0.2">
      <c r="B77" s="159"/>
      <c r="C77" s="159"/>
      <c r="D77" s="159"/>
      <c r="E77" s="159"/>
      <c r="F77" s="159"/>
      <c r="G77" s="159"/>
      <c r="H77" s="159"/>
      <c r="I77" s="159"/>
      <c r="J77" s="159"/>
    </row>
    <row r="78" spans="1:12" x14ac:dyDescent="0.2">
      <c r="B78" s="159"/>
      <c r="C78" s="159"/>
      <c r="D78" s="159"/>
      <c r="E78" s="159"/>
      <c r="F78" s="159"/>
      <c r="G78" s="159"/>
      <c r="H78" s="159"/>
      <c r="I78" s="159"/>
      <c r="J78" s="159"/>
    </row>
    <row r="79" spans="1:12" x14ac:dyDescent="0.2">
      <c r="B79" s="262"/>
      <c r="C79" s="262"/>
      <c r="D79" s="262"/>
      <c r="E79" s="262"/>
      <c r="F79" s="262"/>
      <c r="G79" s="262"/>
      <c r="H79" s="262"/>
      <c r="I79" s="262"/>
      <c r="J79" s="262"/>
    </row>
    <row r="80" spans="1:12" x14ac:dyDescent="0.2">
      <c r="B80" s="262"/>
      <c r="C80" s="262"/>
      <c r="D80" s="262"/>
      <c r="E80" s="262"/>
      <c r="F80" s="262"/>
      <c r="G80" s="262"/>
      <c r="H80" s="262"/>
      <c r="I80" s="262"/>
      <c r="J80" s="262"/>
    </row>
    <row r="81" spans="6:10" x14ac:dyDescent="0.2">
      <c r="F81" s="51"/>
      <c r="G81" s="51"/>
      <c r="H81" s="51"/>
    </row>
    <row r="83" spans="6:10" x14ac:dyDescent="0.2">
      <c r="J83" s="51"/>
    </row>
    <row r="84" spans="6:10" x14ac:dyDescent="0.2">
      <c r="J84" s="51"/>
    </row>
  </sheetData>
  <mergeCells count="6">
    <mergeCell ref="B1:J1"/>
    <mergeCell ref="B2:J2"/>
    <mergeCell ref="B3:J3"/>
    <mergeCell ref="B4:J4"/>
    <mergeCell ref="B79:J80"/>
    <mergeCell ref="B38:B40"/>
  </mergeCells>
  <pageMargins left="1" right="1" top="1" bottom="1" header="0.5" footer="0.5"/>
  <pageSetup scale="41"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37101-BAE0-442E-88FF-074613DF91E3}">
  <sheetPr>
    <tabColor theme="4" tint="0.59999389629810485"/>
    <pageSetUpPr fitToPage="1"/>
  </sheetPr>
  <dimension ref="A1:Y109"/>
  <sheetViews>
    <sheetView topLeftCell="A20" zoomScale="90" zoomScaleNormal="90" workbookViewId="0">
      <selection activeCell="P78" sqref="P78"/>
    </sheetView>
  </sheetViews>
  <sheetFormatPr defaultColWidth="9.140625" defaultRowHeight="12.75" x14ac:dyDescent="0.2"/>
  <cols>
    <col min="1" max="1" width="0.85546875" style="6" customWidth="1"/>
    <col min="2" max="2" width="22.140625" style="6" customWidth="1"/>
    <col min="3" max="3" width="0.85546875" style="6" customWidth="1"/>
    <col min="4" max="4" width="36.140625" style="6" customWidth="1"/>
    <col min="5" max="5" width="22" style="6" bestFit="1" customWidth="1"/>
    <col min="6" max="6" width="1.28515625" style="6" customWidth="1"/>
    <col min="7" max="7" width="22.5703125" style="6" customWidth="1"/>
    <col min="8" max="8" width="20" style="6" customWidth="1"/>
    <col min="9" max="9" width="16.140625" style="6" customWidth="1"/>
    <col min="10" max="10" width="14.7109375" style="6" customWidth="1"/>
    <col min="11" max="11" width="16.85546875" style="6" customWidth="1"/>
    <col min="12" max="12" width="1.7109375" style="6" customWidth="1"/>
    <col min="13" max="13" width="14.7109375" style="6" customWidth="1"/>
    <col min="14" max="14" width="15.85546875" style="6" customWidth="1"/>
    <col min="15" max="15" width="16.85546875" style="6" customWidth="1"/>
    <col min="16" max="16" width="14.7109375" style="6" customWidth="1"/>
    <col min="17" max="17" width="16.140625" style="6" customWidth="1"/>
    <col min="18" max="19" width="2.5703125" style="6" customWidth="1"/>
    <col min="20" max="23" width="16.140625" style="6" customWidth="1"/>
    <col min="24" max="24" width="2.7109375" style="6" customWidth="1"/>
    <col min="25" max="25" width="47" style="3" hidden="1" customWidth="1"/>
    <col min="26" max="16384" width="9.140625" style="6"/>
  </cols>
  <sheetData>
    <row r="1" spans="2:25" ht="15" x14ac:dyDescent="0.25">
      <c r="E1" s="53"/>
      <c r="F1" s="53"/>
      <c r="I1" s="54"/>
    </row>
    <row r="2" spans="2:25" ht="20.25" thickBot="1" x14ac:dyDescent="0.3">
      <c r="B2" s="55" t="s">
        <v>6</v>
      </c>
      <c r="C2" s="53"/>
      <c r="D2" s="53"/>
      <c r="E2" s="53"/>
      <c r="F2" s="53"/>
      <c r="G2" s="272" t="s">
        <v>160</v>
      </c>
      <c r="H2" s="272"/>
      <c r="I2" s="272"/>
      <c r="J2" s="272"/>
      <c r="K2" s="272"/>
      <c r="M2" s="272" t="s">
        <v>161</v>
      </c>
      <c r="N2" s="272"/>
      <c r="O2" s="272"/>
      <c r="P2" s="272"/>
      <c r="Q2" s="272"/>
      <c r="R2" s="4"/>
      <c r="S2" s="4"/>
      <c r="T2" s="4"/>
      <c r="U2" s="4"/>
      <c r="V2" s="4"/>
      <c r="W2" s="4"/>
    </row>
    <row r="3" spans="2:25" ht="19.5" x14ac:dyDescent="0.25">
      <c r="B3" s="55" t="s">
        <v>7</v>
      </c>
      <c r="C3" s="53"/>
      <c r="D3" s="53"/>
    </row>
    <row r="4" spans="2:25" x14ac:dyDescent="0.2">
      <c r="B4" s="53" t="s">
        <v>164</v>
      </c>
      <c r="C4" s="53"/>
      <c r="D4" s="53"/>
      <c r="G4" s="7" t="s">
        <v>8</v>
      </c>
      <c r="H4" s="7" t="s">
        <v>9</v>
      </c>
      <c r="I4" s="7" t="s">
        <v>10</v>
      </c>
      <c r="J4" s="7" t="s">
        <v>11</v>
      </c>
      <c r="K4" s="7" t="s">
        <v>12</v>
      </c>
      <c r="M4" s="7" t="s">
        <v>8</v>
      </c>
      <c r="N4" s="7" t="s">
        <v>9</v>
      </c>
      <c r="O4" s="7" t="s">
        <v>10</v>
      </c>
      <c r="P4" s="7" t="s">
        <v>11</v>
      </c>
      <c r="Q4" s="7" t="s">
        <v>12</v>
      </c>
      <c r="R4" s="7"/>
      <c r="S4" s="7"/>
      <c r="T4" s="7"/>
      <c r="U4" s="7"/>
      <c r="V4" s="7"/>
      <c r="W4" s="7"/>
    </row>
    <row r="5" spans="2:25" ht="15" x14ac:dyDescent="0.2">
      <c r="B5" s="56"/>
      <c r="C5" s="53"/>
      <c r="D5" s="56" t="s">
        <v>13</v>
      </c>
      <c r="G5" s="7" t="s">
        <v>14</v>
      </c>
      <c r="H5" s="7" t="s">
        <v>15</v>
      </c>
      <c r="I5" s="7" t="s">
        <v>16</v>
      </c>
      <c r="J5" s="7" t="s">
        <v>17</v>
      </c>
      <c r="K5" s="7" t="s">
        <v>18</v>
      </c>
      <c r="M5" s="7" t="s">
        <v>14</v>
      </c>
      <c r="N5" s="7" t="s">
        <v>15</v>
      </c>
      <c r="O5" s="7" t="s">
        <v>16</v>
      </c>
      <c r="P5" s="7" t="s">
        <v>17</v>
      </c>
      <c r="Q5" s="7" t="s">
        <v>18</v>
      </c>
      <c r="R5" s="7"/>
      <c r="S5" s="7"/>
      <c r="T5" s="7"/>
      <c r="U5" s="7"/>
      <c r="V5" s="7"/>
      <c r="W5" s="7"/>
    </row>
    <row r="6" spans="2:25" x14ac:dyDescent="0.2">
      <c r="B6" s="6" t="s">
        <v>136</v>
      </c>
      <c r="D6" s="5"/>
      <c r="G6" s="7"/>
      <c r="H6" s="7" t="s">
        <v>19</v>
      </c>
      <c r="I6" s="7"/>
      <c r="J6" s="7"/>
      <c r="K6" s="7"/>
      <c r="M6" s="7"/>
      <c r="N6" s="7" t="s">
        <v>19</v>
      </c>
      <c r="O6" s="7"/>
      <c r="P6" s="7"/>
      <c r="Q6" s="7"/>
      <c r="R6" s="7"/>
      <c r="S6" s="7"/>
      <c r="T6" s="7"/>
      <c r="U6" s="7"/>
      <c r="V6" s="7"/>
      <c r="W6" s="7"/>
    </row>
    <row r="7" spans="2:25" ht="13.5" thickBot="1" x14ac:dyDescent="0.25">
      <c r="B7" s="53" t="s">
        <v>97</v>
      </c>
      <c r="G7" s="161" t="s">
        <v>20</v>
      </c>
      <c r="H7" s="161" t="s">
        <v>21</v>
      </c>
      <c r="I7" s="161" t="s">
        <v>22</v>
      </c>
      <c r="J7" s="161"/>
      <c r="K7" s="161" t="s">
        <v>23</v>
      </c>
      <c r="M7" s="161" t="s">
        <v>20</v>
      </c>
      <c r="N7" s="161" t="s">
        <v>21</v>
      </c>
      <c r="O7" s="161" t="s">
        <v>22</v>
      </c>
      <c r="P7" s="161"/>
      <c r="Q7" s="161" t="s">
        <v>23</v>
      </c>
      <c r="R7" s="4"/>
      <c r="S7" s="4"/>
      <c r="T7" s="4"/>
      <c r="U7" s="4"/>
      <c r="V7" s="4"/>
      <c r="W7" s="4"/>
    </row>
    <row r="8" spans="2:25" ht="5.0999999999999996" customHeight="1" x14ac:dyDescent="0.2">
      <c r="B8" s="53"/>
      <c r="G8" s="7"/>
      <c r="H8" s="7"/>
      <c r="I8" s="7"/>
      <c r="J8" s="7"/>
      <c r="K8" s="7"/>
      <c r="M8" s="7"/>
      <c r="N8" s="7"/>
      <c r="O8" s="7"/>
      <c r="P8" s="7"/>
      <c r="Q8" s="7"/>
      <c r="R8" s="7"/>
      <c r="S8" s="7"/>
      <c r="T8" s="7"/>
      <c r="U8" s="7"/>
      <c r="V8" s="7"/>
      <c r="W8" s="7"/>
    </row>
    <row r="9" spans="2:25" ht="15" thickBot="1" x14ac:dyDescent="0.25">
      <c r="B9" s="57" t="s">
        <v>24</v>
      </c>
      <c r="D9" s="6" t="s">
        <v>25</v>
      </c>
      <c r="E9" s="8" t="s">
        <v>26</v>
      </c>
      <c r="G9" s="9">
        <v>46814</v>
      </c>
      <c r="H9" s="9">
        <v>4682</v>
      </c>
      <c r="I9" s="9">
        <v>104553</v>
      </c>
      <c r="J9" s="9"/>
      <c r="K9" s="9">
        <f>J9+I9+H9+G9</f>
        <v>156049</v>
      </c>
      <c r="M9" s="9">
        <v>0</v>
      </c>
      <c r="N9" s="9">
        <v>0</v>
      </c>
      <c r="O9" s="9">
        <v>0</v>
      </c>
      <c r="P9" s="9">
        <v>0</v>
      </c>
      <c r="Q9" s="9">
        <f>SUM(M9:P9)</f>
        <v>0</v>
      </c>
      <c r="R9" s="9"/>
      <c r="S9" s="9"/>
      <c r="T9" s="9"/>
      <c r="U9" s="9"/>
      <c r="V9" s="9"/>
      <c r="W9" s="9"/>
    </row>
    <row r="10" spans="2:25" x14ac:dyDescent="0.2">
      <c r="B10" s="53" t="s">
        <v>27</v>
      </c>
      <c r="E10" s="8" t="s">
        <v>28</v>
      </c>
      <c r="G10" s="10">
        <v>621.4</v>
      </c>
      <c r="H10" s="10">
        <v>62.4</v>
      </c>
      <c r="I10" s="10">
        <v>1390.4</v>
      </c>
      <c r="J10" s="10">
        <v>0</v>
      </c>
      <c r="K10" s="10"/>
      <c r="M10" s="10">
        <f>G10</f>
        <v>621.4</v>
      </c>
      <c r="N10" s="10">
        <f>H10</f>
        <v>62.4</v>
      </c>
      <c r="O10" s="10">
        <f>I10</f>
        <v>1390.4</v>
      </c>
      <c r="P10" s="10">
        <v>0</v>
      </c>
      <c r="Q10" s="10">
        <f>SUM(M10:P10)</f>
        <v>2074.1999999999998</v>
      </c>
      <c r="R10" s="20"/>
      <c r="S10" s="20"/>
      <c r="T10" s="20"/>
      <c r="U10" s="20"/>
      <c r="V10" s="20"/>
      <c r="W10" s="20"/>
    </row>
    <row r="11" spans="2:25" x14ac:dyDescent="0.2">
      <c r="E11" s="8"/>
    </row>
    <row r="12" spans="2:25" ht="13.5" thickBot="1" x14ac:dyDescent="0.25">
      <c r="D12" s="6" t="s">
        <v>29</v>
      </c>
      <c r="E12" s="8" t="s">
        <v>26</v>
      </c>
      <c r="G12" s="9">
        <v>116557</v>
      </c>
      <c r="H12" s="9">
        <v>11656</v>
      </c>
      <c r="I12" s="9">
        <v>260311</v>
      </c>
      <c r="J12" s="9"/>
      <c r="K12" s="9">
        <f>J12+I12+H12+G12</f>
        <v>388524</v>
      </c>
      <c r="M12" s="9">
        <f t="shared" ref="M12:P13" si="0">G12</f>
        <v>116557</v>
      </c>
      <c r="N12" s="9">
        <f t="shared" si="0"/>
        <v>11656</v>
      </c>
      <c r="O12" s="9">
        <f t="shared" si="0"/>
        <v>260311</v>
      </c>
      <c r="P12" s="9">
        <f t="shared" si="0"/>
        <v>0</v>
      </c>
      <c r="Q12" s="9">
        <f>SUM(M12:P12)</f>
        <v>388524</v>
      </c>
      <c r="R12" s="9"/>
      <c r="S12" s="9"/>
      <c r="T12" s="58">
        <f>223294-K12</f>
        <v>-165230</v>
      </c>
      <c r="U12" s="9"/>
      <c r="V12" s="9"/>
      <c r="W12" s="9"/>
    </row>
    <row r="13" spans="2:25" x14ac:dyDescent="0.2">
      <c r="E13" s="8" t="s">
        <v>28</v>
      </c>
      <c r="G13" s="10">
        <v>1481.6</v>
      </c>
      <c r="H13" s="10">
        <v>148.5</v>
      </c>
      <c r="I13" s="10">
        <v>3309</v>
      </c>
      <c r="J13" s="10">
        <v>0</v>
      </c>
      <c r="K13" s="10">
        <f>G13+H13+I13+J13</f>
        <v>4939.1000000000004</v>
      </c>
      <c r="M13" s="10">
        <f t="shared" si="0"/>
        <v>1481.6</v>
      </c>
      <c r="N13" s="10">
        <f t="shared" si="0"/>
        <v>148.5</v>
      </c>
      <c r="O13" s="10">
        <f t="shared" si="0"/>
        <v>3309</v>
      </c>
      <c r="P13" s="10">
        <v>0</v>
      </c>
      <c r="Q13" s="10">
        <f>SUM(M13:P13)</f>
        <v>4939.1000000000004</v>
      </c>
      <c r="R13" s="20"/>
      <c r="S13" s="20"/>
      <c r="T13" s="59"/>
      <c r="U13" s="20"/>
      <c r="V13" s="20"/>
      <c r="W13" s="20"/>
    </row>
    <row r="14" spans="2:25" x14ac:dyDescent="0.2">
      <c r="T14" s="60"/>
      <c r="Y14" s="11" t="s">
        <v>30</v>
      </c>
    </row>
    <row r="15" spans="2:25" x14ac:dyDescent="0.2">
      <c r="D15" s="6" t="s">
        <v>31</v>
      </c>
      <c r="E15" s="8" t="s">
        <v>32</v>
      </c>
      <c r="G15" s="9">
        <v>18456</v>
      </c>
      <c r="H15" s="9">
        <v>1846</v>
      </c>
      <c r="I15" s="9">
        <f>41025+194</f>
        <v>41219</v>
      </c>
      <c r="J15" s="9"/>
      <c r="K15" s="9">
        <f>G15+H15+I15+J15</f>
        <v>61521</v>
      </c>
      <c r="M15" s="9">
        <v>0</v>
      </c>
      <c r="N15" s="9">
        <v>0</v>
      </c>
      <c r="O15" s="9">
        <v>0</v>
      </c>
      <c r="P15" s="9">
        <v>0</v>
      </c>
      <c r="Q15" s="9">
        <f t="shared" ref="Q15:Q20" si="1">SUM(M15:P15)</f>
        <v>0</v>
      </c>
      <c r="R15" s="9"/>
      <c r="S15" s="9"/>
      <c r="T15" s="58"/>
      <c r="U15" s="9"/>
      <c r="V15" s="9"/>
      <c r="W15" s="9"/>
    </row>
    <row r="16" spans="2:25" x14ac:dyDescent="0.2">
      <c r="D16" s="6" t="s">
        <v>33</v>
      </c>
      <c r="E16" s="8" t="s">
        <v>34</v>
      </c>
      <c r="G16" s="9">
        <v>13171</v>
      </c>
      <c r="H16" s="9">
        <v>1317</v>
      </c>
      <c r="I16" s="9">
        <f>311+29104</f>
        <v>29415</v>
      </c>
      <c r="J16" s="9"/>
      <c r="K16" s="9">
        <f t="shared" ref="K16:K20" si="2">G16+H16+I16+J16</f>
        <v>43903</v>
      </c>
      <c r="M16" s="9">
        <f>G16</f>
        <v>13171</v>
      </c>
      <c r="N16" s="9">
        <f>H16</f>
        <v>1317</v>
      </c>
      <c r="O16" s="9">
        <f>I16</f>
        <v>29415</v>
      </c>
      <c r="P16" s="9">
        <f>J16</f>
        <v>0</v>
      </c>
      <c r="Q16" s="9">
        <f t="shared" si="1"/>
        <v>43903</v>
      </c>
      <c r="R16" s="9"/>
      <c r="S16" s="9"/>
      <c r="T16" s="58"/>
      <c r="U16" s="9"/>
      <c r="V16" s="9"/>
      <c r="W16" s="9"/>
      <c r="Y16" s="3" t="s">
        <v>35</v>
      </c>
    </row>
    <row r="17" spans="2:25" x14ac:dyDescent="0.2">
      <c r="D17" s="61"/>
      <c r="E17" s="8" t="s">
        <v>36</v>
      </c>
      <c r="G17" s="9">
        <v>461</v>
      </c>
      <c r="H17" s="9">
        <v>46</v>
      </c>
      <c r="I17" s="9">
        <v>1030</v>
      </c>
      <c r="J17" s="9"/>
      <c r="K17" s="9">
        <f t="shared" si="2"/>
        <v>1537</v>
      </c>
      <c r="M17" s="9">
        <v>0</v>
      </c>
      <c r="N17" s="9">
        <v>0</v>
      </c>
      <c r="O17" s="9">
        <v>0</v>
      </c>
      <c r="P17" s="9">
        <v>0</v>
      </c>
      <c r="Q17" s="9">
        <f t="shared" si="1"/>
        <v>0</v>
      </c>
      <c r="R17" s="9"/>
      <c r="S17" s="9"/>
      <c r="T17" s="58"/>
      <c r="U17" s="9"/>
      <c r="V17" s="9"/>
      <c r="W17" s="9"/>
      <c r="Y17" s="12">
        <v>614800</v>
      </c>
    </row>
    <row r="18" spans="2:25" x14ac:dyDescent="0.2">
      <c r="E18" s="8" t="s">
        <v>37</v>
      </c>
      <c r="G18" s="9">
        <v>6207</v>
      </c>
      <c r="H18" s="9">
        <v>600</v>
      </c>
      <c r="I18" s="9">
        <v>13888</v>
      </c>
      <c r="J18" s="9"/>
      <c r="K18" s="9">
        <f t="shared" si="2"/>
        <v>20695</v>
      </c>
      <c r="M18" s="9">
        <v>0</v>
      </c>
      <c r="N18" s="9">
        <v>0</v>
      </c>
      <c r="O18" s="9">
        <v>0</v>
      </c>
      <c r="P18" s="9">
        <v>0</v>
      </c>
      <c r="Q18" s="9">
        <f t="shared" si="1"/>
        <v>0</v>
      </c>
      <c r="R18" s="9"/>
      <c r="S18" s="9"/>
      <c r="T18" s="58"/>
      <c r="U18" s="9"/>
      <c r="V18" s="9"/>
      <c r="W18" s="9"/>
    </row>
    <row r="19" spans="2:25" x14ac:dyDescent="0.2">
      <c r="E19" s="8" t="s">
        <v>38</v>
      </c>
      <c r="G19" s="9">
        <f>61223+1244</f>
        <v>62467</v>
      </c>
      <c r="H19" s="9">
        <v>3486</v>
      </c>
      <c r="I19" s="9"/>
      <c r="J19" s="9"/>
      <c r="K19" s="9">
        <f t="shared" si="2"/>
        <v>65953</v>
      </c>
      <c r="M19" s="9">
        <f>G19</f>
        <v>62467</v>
      </c>
      <c r="N19" s="9">
        <f>H19</f>
        <v>3486</v>
      </c>
      <c r="O19" s="9">
        <f>I19</f>
        <v>0</v>
      </c>
      <c r="P19" s="9">
        <f>J19</f>
        <v>0</v>
      </c>
      <c r="Q19" s="9">
        <f t="shared" si="1"/>
        <v>65953</v>
      </c>
      <c r="R19" s="9"/>
      <c r="S19" s="9"/>
      <c r="T19" s="58"/>
      <c r="U19" s="9"/>
      <c r="V19" s="9"/>
      <c r="W19" s="9"/>
      <c r="Y19" s="3" t="s">
        <v>39</v>
      </c>
    </row>
    <row r="20" spans="2:25" x14ac:dyDescent="0.2">
      <c r="E20" s="8" t="s">
        <v>40</v>
      </c>
      <c r="G20" s="13">
        <v>-2417</v>
      </c>
      <c r="H20" s="13">
        <v>-292</v>
      </c>
      <c r="I20" s="13">
        <v>-6569</v>
      </c>
      <c r="J20" s="13"/>
      <c r="K20" s="13">
        <f t="shared" si="2"/>
        <v>-9278</v>
      </c>
      <c r="M20" s="9">
        <v>0</v>
      </c>
      <c r="N20" s="9">
        <v>0</v>
      </c>
      <c r="O20" s="9">
        <v>0</v>
      </c>
      <c r="P20" s="9">
        <v>0</v>
      </c>
      <c r="Q20" s="9">
        <f t="shared" si="1"/>
        <v>0</v>
      </c>
      <c r="R20" s="9"/>
      <c r="S20" s="9"/>
      <c r="T20" s="58"/>
      <c r="U20" s="9"/>
      <c r="V20" s="9"/>
      <c r="W20" s="9"/>
      <c r="Y20" s="12">
        <f>31030+1679</f>
        <v>32709</v>
      </c>
    </row>
    <row r="21" spans="2:25" x14ac:dyDescent="0.2">
      <c r="D21" s="53" t="s">
        <v>41</v>
      </c>
      <c r="E21" s="8"/>
      <c r="G21" s="14">
        <f>SUM(G15:G20)+G12+G9</f>
        <v>261716</v>
      </c>
      <c r="H21" s="14">
        <f t="shared" ref="H21:K21" si="3">SUM(H15:H20)+H12+H9</f>
        <v>23341</v>
      </c>
      <c r="I21" s="14">
        <f t="shared" si="3"/>
        <v>443847</v>
      </c>
      <c r="J21" s="14">
        <f t="shared" si="3"/>
        <v>0</v>
      </c>
      <c r="K21" s="14">
        <f t="shared" si="3"/>
        <v>728904</v>
      </c>
      <c r="M21" s="15">
        <f>M9+M12+SUM(M15:M20)</f>
        <v>192195</v>
      </c>
      <c r="N21" s="15">
        <f>N9+N12+SUM(N15:N20)</f>
        <v>16459</v>
      </c>
      <c r="O21" s="15">
        <f>O9+O12+SUM(O15:O20)</f>
        <v>289726</v>
      </c>
      <c r="P21" s="15">
        <f>P9+P12+SUM(P15:P20)</f>
        <v>0</v>
      </c>
      <c r="Q21" s="15">
        <f>Q9+Q12+SUM(Q15:Q20)</f>
        <v>498380</v>
      </c>
      <c r="R21" s="62"/>
      <c r="S21" s="62"/>
      <c r="T21" s="63">
        <f>464310+207900+20790</f>
        <v>693000</v>
      </c>
      <c r="U21" s="62"/>
      <c r="V21" s="62"/>
      <c r="W21" s="62"/>
    </row>
    <row r="22" spans="2:25" x14ac:dyDescent="0.2">
      <c r="E22" s="8"/>
      <c r="G22" s="9"/>
      <c r="H22" s="9"/>
      <c r="I22" s="9"/>
      <c r="J22" s="9"/>
      <c r="K22" s="9"/>
      <c r="M22" s="16"/>
      <c r="N22" s="9"/>
      <c r="O22" s="9"/>
      <c r="P22" s="9"/>
      <c r="Q22" s="9"/>
      <c r="R22" s="9"/>
      <c r="S22" s="9"/>
      <c r="T22" s="104"/>
      <c r="U22" s="9"/>
      <c r="V22" s="9"/>
      <c r="W22" s="9"/>
      <c r="Y22" s="3" t="s">
        <v>42</v>
      </c>
    </row>
    <row r="23" spans="2:25" x14ac:dyDescent="0.2">
      <c r="B23" s="53" t="s">
        <v>43</v>
      </c>
      <c r="E23" s="8" t="s">
        <v>44</v>
      </c>
      <c r="G23" s="13">
        <v>26239</v>
      </c>
      <c r="H23" s="13">
        <v>2422</v>
      </c>
      <c r="I23" s="13">
        <v>58697</v>
      </c>
      <c r="J23" s="13"/>
      <c r="K23" s="13">
        <f>J23+I23+H23+G23</f>
        <v>87358</v>
      </c>
      <c r="M23" s="13">
        <f>$Q$23*G$83</f>
        <v>1394.3035891346781</v>
      </c>
      <c r="N23" s="13">
        <f>$Q$23*H$83</f>
        <v>139.43035891346781</v>
      </c>
      <c r="O23" s="13">
        <f>$Q$23*I$83</f>
        <v>3113.9446824007814</v>
      </c>
      <c r="P23" s="13">
        <v>0</v>
      </c>
      <c r="Q23" s="13">
        <f>K23*Y23</f>
        <v>4647.6786304489269</v>
      </c>
      <c r="R23" s="17"/>
      <c r="S23" s="17"/>
      <c r="T23" s="18">
        <f>251603.59-K23</f>
        <v>164245.59</v>
      </c>
      <c r="U23" s="17"/>
      <c r="V23" s="17"/>
      <c r="W23" s="17"/>
      <c r="Y23" s="19">
        <f>Y20/Y17</f>
        <v>5.320266753415745E-2</v>
      </c>
    </row>
    <row r="24" spans="2:25" x14ac:dyDescent="0.2">
      <c r="B24" s="53"/>
      <c r="D24" s="53" t="s">
        <v>45</v>
      </c>
      <c r="E24" s="8"/>
      <c r="G24" s="14">
        <f>G23</f>
        <v>26239</v>
      </c>
      <c r="H24" s="14">
        <f t="shared" ref="H24:I24" si="4">H23</f>
        <v>2422</v>
      </c>
      <c r="I24" s="14">
        <f t="shared" si="4"/>
        <v>58697</v>
      </c>
      <c r="J24" s="14"/>
      <c r="K24" s="14">
        <f>K23</f>
        <v>87358</v>
      </c>
      <c r="M24" s="14">
        <f>SUM(M23)</f>
        <v>1394.3035891346781</v>
      </c>
      <c r="N24" s="14">
        <f>SUM(N23)</f>
        <v>139.43035891346781</v>
      </c>
      <c r="O24" s="14">
        <f>SUM(O23)</f>
        <v>3113.9446824007814</v>
      </c>
      <c r="P24" s="14">
        <f>SUM(P23)</f>
        <v>0</v>
      </c>
      <c r="Q24" s="14">
        <f>SUM(M24:P24)</f>
        <v>4647.6786304489269</v>
      </c>
      <c r="R24" s="14"/>
      <c r="S24" s="14"/>
      <c r="T24" s="64"/>
      <c r="U24" s="14"/>
      <c r="V24" s="14"/>
      <c r="W24" s="14"/>
    </row>
    <row r="25" spans="2:25" x14ac:dyDescent="0.2">
      <c r="B25" s="53"/>
    </row>
    <row r="26" spans="2:25" x14ac:dyDescent="0.2">
      <c r="B26" s="53" t="s">
        <v>46</v>
      </c>
      <c r="E26" s="8" t="s">
        <v>47</v>
      </c>
      <c r="G26" s="9">
        <v>556</v>
      </c>
      <c r="H26" s="9">
        <v>39</v>
      </c>
      <c r="I26" s="9">
        <v>1244</v>
      </c>
      <c r="J26" s="9"/>
      <c r="K26" s="9">
        <f>G26+H26+I26+J26</f>
        <v>1839</v>
      </c>
      <c r="M26" s="17">
        <v>0</v>
      </c>
      <c r="N26" s="17">
        <v>0</v>
      </c>
      <c r="O26" s="17">
        <v>0</v>
      </c>
      <c r="P26" s="9">
        <v>0</v>
      </c>
      <c r="Q26" s="9">
        <f t="shared" ref="Q26:Q31" si="5">SUM(M26:P26)</f>
        <v>0</v>
      </c>
      <c r="R26" s="9"/>
      <c r="S26" s="9"/>
      <c r="T26" s="9"/>
      <c r="U26" s="9"/>
      <c r="V26" s="9"/>
      <c r="W26" s="9"/>
    </row>
    <row r="27" spans="2:25" x14ac:dyDescent="0.2">
      <c r="B27" s="53"/>
      <c r="E27" s="8" t="s">
        <v>48</v>
      </c>
      <c r="G27" s="9">
        <v>3417</v>
      </c>
      <c r="H27" s="9">
        <v>342</v>
      </c>
      <c r="I27" s="9">
        <v>7631</v>
      </c>
      <c r="J27" s="9"/>
      <c r="K27" s="9">
        <f t="shared" ref="K27:K30" si="6">G27+H27+I27+J27</f>
        <v>11390</v>
      </c>
      <c r="M27" s="9">
        <f>G27</f>
        <v>3417</v>
      </c>
      <c r="N27" s="9">
        <f>H27</f>
        <v>342</v>
      </c>
      <c r="O27" s="9">
        <f>I27</f>
        <v>7631</v>
      </c>
      <c r="P27" s="9">
        <f>J27</f>
        <v>0</v>
      </c>
      <c r="Q27" s="9">
        <f>SUM(M27:P27)</f>
        <v>11390</v>
      </c>
      <c r="R27" s="9"/>
      <c r="S27" s="9"/>
      <c r="T27" s="9"/>
      <c r="U27" s="9"/>
      <c r="V27" s="9"/>
      <c r="W27" s="9"/>
    </row>
    <row r="28" spans="2:25" x14ac:dyDescent="0.2">
      <c r="B28" s="53"/>
      <c r="E28" s="6" t="s">
        <v>49</v>
      </c>
      <c r="G28" s="9"/>
      <c r="H28" s="9"/>
      <c r="I28" s="9"/>
      <c r="J28" s="9"/>
      <c r="K28" s="9">
        <f t="shared" si="6"/>
        <v>0</v>
      </c>
      <c r="M28" s="9">
        <v>0</v>
      </c>
      <c r="N28" s="9">
        <v>0</v>
      </c>
      <c r="O28" s="9">
        <v>0</v>
      </c>
      <c r="P28" s="9">
        <v>0</v>
      </c>
      <c r="Q28" s="9">
        <f t="shared" si="5"/>
        <v>0</v>
      </c>
      <c r="R28" s="9"/>
      <c r="S28" s="9"/>
      <c r="T28" s="9"/>
      <c r="U28" s="9"/>
      <c r="V28" s="9"/>
      <c r="W28" s="9"/>
    </row>
    <row r="29" spans="2:25" x14ac:dyDescent="0.2">
      <c r="B29" s="53"/>
      <c r="E29" s="8" t="s">
        <v>50</v>
      </c>
      <c r="G29" s="9">
        <v>12099</v>
      </c>
      <c r="H29" s="9">
        <v>1210</v>
      </c>
      <c r="I29" s="9">
        <f>27021+3290</f>
        <v>30311</v>
      </c>
      <c r="J29" s="9"/>
      <c r="K29" s="9">
        <f t="shared" si="6"/>
        <v>43620</v>
      </c>
      <c r="M29" s="9">
        <f t="shared" ref="M29:P30" si="7">G29</f>
        <v>12099</v>
      </c>
      <c r="N29" s="9">
        <f t="shared" si="7"/>
        <v>1210</v>
      </c>
      <c r="O29" s="9">
        <f t="shared" si="7"/>
        <v>30311</v>
      </c>
      <c r="P29" s="9">
        <f t="shared" si="7"/>
        <v>0</v>
      </c>
      <c r="Q29" s="9">
        <f t="shared" si="5"/>
        <v>43620</v>
      </c>
      <c r="R29" s="9"/>
      <c r="S29" s="9"/>
      <c r="T29" s="9"/>
      <c r="U29" s="9"/>
      <c r="V29" s="9"/>
      <c r="W29" s="9"/>
    </row>
    <row r="30" spans="2:25" x14ac:dyDescent="0.2">
      <c r="B30" s="53"/>
      <c r="E30" s="8" t="s">
        <v>51</v>
      </c>
      <c r="G30" s="13">
        <v>1780</v>
      </c>
      <c r="H30" s="13">
        <v>174</v>
      </c>
      <c r="I30" s="13">
        <v>3979</v>
      </c>
      <c r="J30" s="13"/>
      <c r="K30" s="13">
        <f t="shared" si="6"/>
        <v>5933</v>
      </c>
      <c r="M30" s="13">
        <f t="shared" si="7"/>
        <v>1780</v>
      </c>
      <c r="N30" s="13">
        <f t="shared" si="7"/>
        <v>174</v>
      </c>
      <c r="O30" s="13">
        <f t="shared" si="7"/>
        <v>3979</v>
      </c>
      <c r="P30" s="13">
        <f>J30</f>
        <v>0</v>
      </c>
      <c r="Q30" s="13">
        <f t="shared" si="5"/>
        <v>5933</v>
      </c>
      <c r="R30" s="17"/>
      <c r="S30" s="17"/>
      <c r="T30" s="17"/>
      <c r="U30" s="17"/>
      <c r="V30" s="17"/>
      <c r="W30" s="17"/>
    </row>
    <row r="31" spans="2:25" x14ac:dyDescent="0.2">
      <c r="B31" s="53"/>
      <c r="D31" s="53" t="s">
        <v>52</v>
      </c>
      <c r="G31" s="14">
        <f>SUM(G26:G30)</f>
        <v>17852</v>
      </c>
      <c r="H31" s="14">
        <f t="shared" ref="H31:I31" si="8">SUM(H26:H30)</f>
        <v>1765</v>
      </c>
      <c r="I31" s="14">
        <f t="shared" si="8"/>
        <v>43165</v>
      </c>
      <c r="J31" s="14"/>
      <c r="K31" s="14">
        <f>SUM(K26:K30)</f>
        <v>62782</v>
      </c>
      <c r="M31" s="14">
        <f>SUM(M26:M30)</f>
        <v>17296</v>
      </c>
      <c r="N31" s="14">
        <f>SUM(N26:N30)</f>
        <v>1726</v>
      </c>
      <c r="O31" s="14">
        <f>SUM(O26:O30)</f>
        <v>41921</v>
      </c>
      <c r="P31" s="14">
        <f>SUM(P26:P30)</f>
        <v>0</v>
      </c>
      <c r="Q31" s="14">
        <f t="shared" si="5"/>
        <v>60943</v>
      </c>
      <c r="R31" s="14"/>
      <c r="S31" s="14"/>
      <c r="T31" s="14"/>
      <c r="U31" s="14"/>
      <c r="V31" s="14"/>
      <c r="W31" s="14"/>
    </row>
    <row r="32" spans="2:25" x14ac:dyDescent="0.2">
      <c r="B32" s="53"/>
    </row>
    <row r="33" spans="2:23" x14ac:dyDescent="0.2">
      <c r="B33" s="53" t="s">
        <v>53</v>
      </c>
      <c r="D33" s="53" t="s">
        <v>54</v>
      </c>
      <c r="E33" s="6" t="s">
        <v>55</v>
      </c>
      <c r="G33" s="9"/>
      <c r="H33" s="9"/>
      <c r="I33" s="9"/>
      <c r="J33" s="9"/>
      <c r="K33" s="9">
        <f>G33+H33+I33+J33</f>
        <v>0</v>
      </c>
      <c r="M33" s="9">
        <f t="shared" ref="M33:P34" si="9">G33</f>
        <v>0</v>
      </c>
      <c r="N33" s="9">
        <f t="shared" si="9"/>
        <v>0</v>
      </c>
      <c r="O33" s="9">
        <f t="shared" si="9"/>
        <v>0</v>
      </c>
      <c r="P33" s="9">
        <f t="shared" si="9"/>
        <v>0</v>
      </c>
      <c r="Q33" s="9">
        <f>SUM(M33:P33)</f>
        <v>0</v>
      </c>
      <c r="R33" s="9"/>
      <c r="S33" s="9"/>
      <c r="T33" s="9"/>
      <c r="U33" s="9"/>
      <c r="V33" s="9"/>
      <c r="W33" s="9"/>
    </row>
    <row r="34" spans="2:23" x14ac:dyDescent="0.2">
      <c r="B34" s="53" t="s">
        <v>56</v>
      </c>
      <c r="D34" s="53" t="s">
        <v>57</v>
      </c>
      <c r="E34" s="6" t="s">
        <v>58</v>
      </c>
      <c r="G34" s="9"/>
      <c r="H34" s="9"/>
      <c r="I34" s="9"/>
      <c r="J34" s="9"/>
      <c r="K34" s="9">
        <f t="shared" ref="K34:K42" si="10">G34+H34+I34+J34</f>
        <v>0</v>
      </c>
      <c r="M34" s="9">
        <f t="shared" si="9"/>
        <v>0</v>
      </c>
      <c r="N34" s="9">
        <f t="shared" si="9"/>
        <v>0</v>
      </c>
      <c r="O34" s="9">
        <f t="shared" si="9"/>
        <v>0</v>
      </c>
      <c r="P34" s="9">
        <f t="shared" si="9"/>
        <v>0</v>
      </c>
      <c r="Q34" s="9">
        <f>SUM(M34:P34)</f>
        <v>0</v>
      </c>
      <c r="R34" s="9"/>
      <c r="S34" s="9"/>
      <c r="T34" s="9"/>
      <c r="U34" s="9"/>
      <c r="V34" s="9"/>
      <c r="W34" s="9"/>
    </row>
    <row r="35" spans="2:23" x14ac:dyDescent="0.2">
      <c r="D35" s="53"/>
      <c r="K35" s="9">
        <f t="shared" si="10"/>
        <v>0</v>
      </c>
      <c r="Q35" s="9"/>
      <c r="R35" s="9"/>
      <c r="S35" s="9"/>
      <c r="T35" s="9"/>
      <c r="U35" s="9"/>
      <c r="V35" s="9"/>
      <c r="W35" s="9"/>
    </row>
    <row r="36" spans="2:23" x14ac:dyDescent="0.2">
      <c r="D36" s="53" t="s">
        <v>59</v>
      </c>
      <c r="E36" s="6" t="s">
        <v>60</v>
      </c>
      <c r="G36" s="9"/>
      <c r="H36" s="9"/>
      <c r="I36" s="9"/>
      <c r="J36" s="9"/>
      <c r="K36" s="9">
        <f t="shared" si="10"/>
        <v>0</v>
      </c>
      <c r="M36" s="9">
        <f t="shared" ref="M36:P41" si="11">G36</f>
        <v>0</v>
      </c>
      <c r="N36" s="9">
        <f t="shared" si="11"/>
        <v>0</v>
      </c>
      <c r="O36" s="9">
        <f t="shared" si="11"/>
        <v>0</v>
      </c>
      <c r="P36" s="9">
        <f t="shared" si="11"/>
        <v>0</v>
      </c>
      <c r="Q36" s="9">
        <f t="shared" ref="Q36:Q41" si="12">SUM(M36:P36)</f>
        <v>0</v>
      </c>
      <c r="R36" s="9"/>
      <c r="S36" s="9"/>
      <c r="T36" s="9"/>
      <c r="U36" s="9"/>
      <c r="V36" s="9"/>
      <c r="W36" s="9"/>
    </row>
    <row r="37" spans="2:23" x14ac:dyDescent="0.2">
      <c r="D37" s="53" t="s">
        <v>61</v>
      </c>
      <c r="E37" s="6" t="s">
        <v>62</v>
      </c>
      <c r="G37" s="9"/>
      <c r="H37" s="9"/>
      <c r="I37" s="9"/>
      <c r="J37" s="9"/>
      <c r="K37" s="9">
        <f t="shared" si="10"/>
        <v>0</v>
      </c>
      <c r="M37" s="9">
        <f t="shared" si="11"/>
        <v>0</v>
      </c>
      <c r="N37" s="9">
        <f t="shared" si="11"/>
        <v>0</v>
      </c>
      <c r="O37" s="9">
        <f t="shared" si="11"/>
        <v>0</v>
      </c>
      <c r="P37" s="9">
        <f t="shared" si="11"/>
        <v>0</v>
      </c>
      <c r="Q37" s="9">
        <f t="shared" si="12"/>
        <v>0</v>
      </c>
      <c r="R37" s="9"/>
      <c r="S37" s="9"/>
      <c r="T37" s="9"/>
      <c r="U37" s="9"/>
      <c r="V37" s="9"/>
      <c r="W37" s="9"/>
    </row>
    <row r="38" spans="2:23" x14ac:dyDescent="0.2">
      <c r="D38" s="53"/>
      <c r="E38" s="6" t="s">
        <v>63</v>
      </c>
      <c r="G38" s="9"/>
      <c r="H38" s="9"/>
      <c r="I38" s="9"/>
      <c r="J38" s="9"/>
      <c r="K38" s="9">
        <f t="shared" si="10"/>
        <v>0</v>
      </c>
      <c r="M38" s="9">
        <f t="shared" si="11"/>
        <v>0</v>
      </c>
      <c r="N38" s="9">
        <f t="shared" si="11"/>
        <v>0</v>
      </c>
      <c r="O38" s="9">
        <f t="shared" si="11"/>
        <v>0</v>
      </c>
      <c r="P38" s="9">
        <f t="shared" si="11"/>
        <v>0</v>
      </c>
      <c r="Q38" s="9">
        <f t="shared" si="12"/>
        <v>0</v>
      </c>
      <c r="R38" s="9"/>
      <c r="S38" s="9"/>
      <c r="T38" s="9"/>
      <c r="U38" s="9"/>
      <c r="V38" s="9"/>
      <c r="W38" s="9"/>
    </row>
    <row r="39" spans="2:23" x14ac:dyDescent="0.2">
      <c r="D39" s="53"/>
      <c r="E39" s="6" t="s">
        <v>64</v>
      </c>
      <c r="G39" s="9"/>
      <c r="H39" s="9"/>
      <c r="I39" s="9"/>
      <c r="J39" s="9"/>
      <c r="K39" s="9">
        <f t="shared" si="10"/>
        <v>0</v>
      </c>
      <c r="M39" s="9">
        <f t="shared" si="11"/>
        <v>0</v>
      </c>
      <c r="N39" s="9">
        <f t="shared" si="11"/>
        <v>0</v>
      </c>
      <c r="O39" s="9">
        <f t="shared" si="11"/>
        <v>0</v>
      </c>
      <c r="P39" s="9">
        <f t="shared" si="11"/>
        <v>0</v>
      </c>
      <c r="Q39" s="9">
        <f t="shared" si="12"/>
        <v>0</v>
      </c>
      <c r="R39" s="9"/>
      <c r="S39" s="9"/>
      <c r="T39" s="9"/>
      <c r="U39" s="9"/>
      <c r="V39" s="9"/>
      <c r="W39" s="9"/>
    </row>
    <row r="40" spans="2:23" x14ac:dyDescent="0.2">
      <c r="D40" s="53"/>
      <c r="E40" s="6" t="s">
        <v>65</v>
      </c>
      <c r="G40" s="9"/>
      <c r="H40" s="9"/>
      <c r="I40" s="9"/>
      <c r="J40" s="9"/>
      <c r="K40" s="9">
        <f t="shared" si="10"/>
        <v>0</v>
      </c>
      <c r="M40" s="9">
        <f t="shared" si="11"/>
        <v>0</v>
      </c>
      <c r="N40" s="9">
        <f t="shared" si="11"/>
        <v>0</v>
      </c>
      <c r="O40" s="9">
        <f t="shared" si="11"/>
        <v>0</v>
      </c>
      <c r="P40" s="9">
        <f t="shared" si="11"/>
        <v>0</v>
      </c>
      <c r="Q40" s="9">
        <f t="shared" si="12"/>
        <v>0</v>
      </c>
      <c r="R40" s="9"/>
      <c r="S40" s="9"/>
      <c r="T40" s="9"/>
      <c r="U40" s="9"/>
      <c r="V40" s="9"/>
      <c r="W40" s="9"/>
    </row>
    <row r="41" spans="2:23" x14ac:dyDescent="0.2">
      <c r="D41" s="53"/>
      <c r="E41" s="6" t="s">
        <v>66</v>
      </c>
      <c r="G41" s="9">
        <v>174736</v>
      </c>
      <c r="H41" s="9"/>
      <c r="I41" s="9"/>
      <c r="J41" s="9"/>
      <c r="K41" s="9">
        <f t="shared" si="10"/>
        <v>174736</v>
      </c>
      <c r="M41" s="9">
        <f t="shared" si="11"/>
        <v>174736</v>
      </c>
      <c r="N41" s="9">
        <f t="shared" si="11"/>
        <v>0</v>
      </c>
      <c r="O41" s="9">
        <f t="shared" si="11"/>
        <v>0</v>
      </c>
      <c r="P41" s="9">
        <f t="shared" si="11"/>
        <v>0</v>
      </c>
      <c r="Q41" s="9">
        <f t="shared" si="12"/>
        <v>174736</v>
      </c>
      <c r="R41" s="9"/>
      <c r="S41" s="9"/>
      <c r="T41" s="9"/>
      <c r="U41" s="9"/>
      <c r="V41" s="9"/>
      <c r="W41" s="9"/>
    </row>
    <row r="42" spans="2:23" x14ac:dyDescent="0.2">
      <c r="D42" s="53"/>
      <c r="K42" s="9">
        <f t="shared" si="10"/>
        <v>0</v>
      </c>
      <c r="Q42" s="9"/>
      <c r="R42" s="9"/>
      <c r="S42" s="9"/>
      <c r="T42" s="9"/>
      <c r="U42" s="9"/>
      <c r="V42" s="9"/>
      <c r="W42" s="9"/>
    </row>
    <row r="43" spans="2:23" x14ac:dyDescent="0.2">
      <c r="D43" s="53" t="s">
        <v>67</v>
      </c>
      <c r="G43" s="9"/>
      <c r="H43" s="9">
        <f>H11</f>
        <v>0</v>
      </c>
      <c r="I43" s="9">
        <v>0</v>
      </c>
      <c r="J43" s="9">
        <v>0</v>
      </c>
      <c r="K43" s="9">
        <f>SUM(G43:J43)</f>
        <v>0</v>
      </c>
      <c r="M43" s="9">
        <f>G43</f>
        <v>0</v>
      </c>
      <c r="N43" s="9">
        <f>H43</f>
        <v>0</v>
      </c>
      <c r="O43" s="9">
        <f>I43</f>
        <v>0</v>
      </c>
      <c r="P43" s="9">
        <f>J43</f>
        <v>0</v>
      </c>
      <c r="Q43" s="9">
        <f>SUM(M43:P43)</f>
        <v>0</v>
      </c>
      <c r="R43" s="9"/>
      <c r="S43" s="9"/>
      <c r="T43" s="9"/>
      <c r="U43" s="9"/>
      <c r="V43" s="9"/>
      <c r="W43" s="9"/>
    </row>
    <row r="44" spans="2:23" x14ac:dyDescent="0.2">
      <c r="D44" s="53"/>
    </row>
    <row r="45" spans="2:23" x14ac:dyDescent="0.2">
      <c r="D45" s="53" t="s">
        <v>68</v>
      </c>
      <c r="G45" s="9"/>
      <c r="H45" s="9"/>
      <c r="I45" s="9">
        <v>0</v>
      </c>
      <c r="J45" s="9">
        <v>0</v>
      </c>
      <c r="K45" s="9">
        <f>SUM(G45:J45)</f>
        <v>0</v>
      </c>
      <c r="M45" s="9">
        <f>G45</f>
        <v>0</v>
      </c>
      <c r="N45" s="9">
        <f>H45</f>
        <v>0</v>
      </c>
      <c r="O45" s="9">
        <f>I45</f>
        <v>0</v>
      </c>
      <c r="P45" s="9">
        <f>J45</f>
        <v>0</v>
      </c>
      <c r="Q45" s="9">
        <f>SUM(M45:P45)</f>
        <v>0</v>
      </c>
      <c r="R45" s="9"/>
      <c r="S45" s="9"/>
      <c r="T45" s="9"/>
      <c r="U45" s="9"/>
      <c r="V45" s="9"/>
      <c r="W45" s="9"/>
    </row>
    <row r="46" spans="2:23" x14ac:dyDescent="0.2">
      <c r="D46" s="53"/>
    </row>
    <row r="47" spans="2:23" x14ac:dyDescent="0.2">
      <c r="D47" s="53" t="s">
        <v>69</v>
      </c>
      <c r="G47" s="9"/>
      <c r="H47" s="9"/>
      <c r="I47" s="9">
        <v>0</v>
      </c>
      <c r="J47" s="9">
        <v>0</v>
      </c>
      <c r="K47" s="9">
        <f>SUM(G47:J47)</f>
        <v>0</v>
      </c>
      <c r="M47" s="9">
        <f>G47</f>
        <v>0</v>
      </c>
      <c r="N47" s="9">
        <f>H47</f>
        <v>0</v>
      </c>
      <c r="O47" s="9">
        <f>I47</f>
        <v>0</v>
      </c>
      <c r="P47" s="9">
        <f>J47</f>
        <v>0</v>
      </c>
      <c r="Q47" s="9">
        <f>SUM(M47:P47)</f>
        <v>0</v>
      </c>
      <c r="R47" s="9"/>
      <c r="S47" s="9"/>
      <c r="T47" s="9"/>
      <c r="U47" s="9"/>
      <c r="V47" s="9"/>
      <c r="W47" s="9"/>
    </row>
    <row r="48" spans="2:23" x14ac:dyDescent="0.2">
      <c r="D48" s="53"/>
    </row>
    <row r="49" spans="2:23" x14ac:dyDescent="0.2">
      <c r="D49" s="53" t="s">
        <v>70</v>
      </c>
      <c r="G49" s="9"/>
      <c r="H49" s="9">
        <v>0</v>
      </c>
      <c r="I49" s="9">
        <v>0</v>
      </c>
      <c r="J49" s="9">
        <v>0</v>
      </c>
      <c r="K49" s="9">
        <f>SUM(G49:J49)</f>
        <v>0</v>
      </c>
      <c r="M49" s="9">
        <f>G49</f>
        <v>0</v>
      </c>
      <c r="N49" s="9">
        <f>H49</f>
        <v>0</v>
      </c>
      <c r="O49" s="9">
        <f>I49</f>
        <v>0</v>
      </c>
      <c r="P49" s="9">
        <f>J49</f>
        <v>0</v>
      </c>
      <c r="Q49" s="9">
        <f>SUM(M49:P49)</f>
        <v>0</v>
      </c>
      <c r="R49" s="9"/>
      <c r="S49" s="9"/>
      <c r="T49" s="9"/>
      <c r="U49" s="9"/>
      <c r="V49" s="9"/>
      <c r="W49" s="9"/>
    </row>
    <row r="50" spans="2:23" x14ac:dyDescent="0.2">
      <c r="D50" s="53" t="s">
        <v>71</v>
      </c>
    </row>
    <row r="51" spans="2:23" x14ac:dyDescent="0.2">
      <c r="D51" s="53"/>
    </row>
    <row r="52" spans="2:23" x14ac:dyDescent="0.2">
      <c r="B52" s="53"/>
      <c r="D52" s="53" t="s">
        <v>66</v>
      </c>
      <c r="G52" s="13"/>
      <c r="H52" s="13">
        <v>0</v>
      </c>
      <c r="I52" s="13">
        <v>0</v>
      </c>
      <c r="J52" s="13">
        <v>0</v>
      </c>
      <c r="K52" s="13">
        <f>SUM(G52:J52)</f>
        <v>0</v>
      </c>
      <c r="M52" s="13">
        <f>G52</f>
        <v>0</v>
      </c>
      <c r="N52" s="13">
        <f>H52</f>
        <v>0</v>
      </c>
      <c r="O52" s="13">
        <f>I52</f>
        <v>0</v>
      </c>
      <c r="P52" s="13">
        <f>J52</f>
        <v>0</v>
      </c>
      <c r="Q52" s="13">
        <f>SUM(M52:P52)</f>
        <v>0</v>
      </c>
      <c r="R52" s="17"/>
      <c r="S52" s="17"/>
      <c r="T52" s="17"/>
      <c r="U52" s="17"/>
      <c r="V52" s="17"/>
      <c r="W52" s="17"/>
    </row>
    <row r="53" spans="2:23" x14ac:dyDescent="0.2">
      <c r="D53" s="53" t="s">
        <v>72</v>
      </c>
      <c r="G53" s="14">
        <f>SUM(G33:G52)</f>
        <v>174736</v>
      </c>
      <c r="H53" s="14">
        <f>SUM(H33:H52)</f>
        <v>0</v>
      </c>
      <c r="I53" s="14">
        <f>SUM(I33:I52)</f>
        <v>0</v>
      </c>
      <c r="J53" s="14">
        <f>SUM(J33:J52)</f>
        <v>0</v>
      </c>
      <c r="K53" s="14">
        <f>SUM(G53:J53)</f>
        <v>174736</v>
      </c>
      <c r="M53" s="14">
        <f>SUM(M33:M52)</f>
        <v>174736</v>
      </c>
      <c r="N53" s="14">
        <f>SUM(N33:N52)</f>
        <v>0</v>
      </c>
      <c r="O53" s="14">
        <f>SUM(O33:O52)</f>
        <v>0</v>
      </c>
      <c r="P53" s="14">
        <f>SUM(P33:P52)</f>
        <v>0</v>
      </c>
      <c r="Q53" s="14">
        <f>SUM(M53:P53)</f>
        <v>174736</v>
      </c>
      <c r="R53" s="14"/>
      <c r="S53" s="14"/>
      <c r="T53" s="14"/>
      <c r="U53" s="14"/>
      <c r="V53" s="14"/>
      <c r="W53" s="14"/>
    </row>
    <row r="54" spans="2:23" x14ac:dyDescent="0.2">
      <c r="B54" s="53"/>
      <c r="G54" s="9"/>
    </row>
    <row r="55" spans="2:23" x14ac:dyDescent="0.2">
      <c r="B55" s="53" t="s">
        <v>73</v>
      </c>
      <c r="G55" s="9">
        <v>0</v>
      </c>
      <c r="H55" s="9">
        <v>0</v>
      </c>
      <c r="I55" s="9">
        <v>0</v>
      </c>
      <c r="J55" s="9">
        <v>0</v>
      </c>
      <c r="K55" s="9">
        <f>SUM(G55:J55)</f>
        <v>0</v>
      </c>
      <c r="M55" s="9">
        <v>0</v>
      </c>
      <c r="N55" s="9">
        <v>0</v>
      </c>
      <c r="O55" s="9">
        <v>0</v>
      </c>
      <c r="P55" s="9">
        <v>0</v>
      </c>
      <c r="Q55" s="9">
        <f>SUM(M55:P55)</f>
        <v>0</v>
      </c>
      <c r="R55" s="9"/>
      <c r="S55" s="9"/>
      <c r="T55" s="9"/>
      <c r="U55" s="9"/>
      <c r="V55" s="9"/>
      <c r="W55" s="9"/>
    </row>
    <row r="56" spans="2:23" x14ac:dyDescent="0.2">
      <c r="B56" s="53" t="s">
        <v>74</v>
      </c>
      <c r="D56" s="9"/>
    </row>
    <row r="57" spans="2:23" ht="13.5" thickBot="1" x14ac:dyDescent="0.25">
      <c r="K57" s="9"/>
      <c r="Q57" s="65"/>
      <c r="R57" s="66"/>
      <c r="S57" s="66"/>
      <c r="T57" s="66"/>
      <c r="U57" s="66"/>
      <c r="V57" s="66"/>
      <c r="W57" s="66"/>
    </row>
    <row r="58" spans="2:23" x14ac:dyDescent="0.2">
      <c r="B58" s="53" t="s">
        <v>75</v>
      </c>
      <c r="E58" s="9"/>
      <c r="G58" s="67">
        <f>G21+G24+G31+G53+G55</f>
        <v>480543</v>
      </c>
      <c r="H58" s="67">
        <f>H21+H24+H31+H53+H55</f>
        <v>27528</v>
      </c>
      <c r="I58" s="67">
        <f>I21+I24+I31+I53+I55</f>
        <v>545709</v>
      </c>
      <c r="J58" s="67">
        <f>J21+J24+J31+J53+J55</f>
        <v>0</v>
      </c>
      <c r="K58" s="67">
        <f>SUM(G58:J58)</f>
        <v>1053780</v>
      </c>
      <c r="L58" s="68"/>
      <c r="M58" s="67">
        <f>M21+M24+M31+M53+M55</f>
        <v>385621.30358913471</v>
      </c>
      <c r="N58" s="67">
        <f>N21+N24+N31+N53+N55</f>
        <v>18324.430358913469</v>
      </c>
      <c r="O58" s="67">
        <f>O21+O24+O31+O53+O55</f>
        <v>334760.94468240079</v>
      </c>
      <c r="P58" s="67">
        <f>P21+P24+P31+P53+P55</f>
        <v>0</v>
      </c>
      <c r="Q58" s="67">
        <f>SUM(M58:P58)</f>
        <v>738706.67863044899</v>
      </c>
      <c r="R58" s="62"/>
      <c r="S58" s="62"/>
      <c r="T58" s="62"/>
      <c r="U58" s="62"/>
      <c r="V58" s="62"/>
      <c r="W58" s="62"/>
    </row>
    <row r="61" spans="2:23" ht="14.25" x14ac:dyDescent="0.2">
      <c r="B61" s="57" t="s">
        <v>76</v>
      </c>
    </row>
    <row r="62" spans="2:23" x14ac:dyDescent="0.2">
      <c r="E62" s="8"/>
    </row>
    <row r="63" spans="2:23" x14ac:dyDescent="0.2">
      <c r="D63" s="6" t="s">
        <v>77</v>
      </c>
      <c r="E63" s="8" t="s">
        <v>26</v>
      </c>
      <c r="G63" s="9">
        <v>242100</v>
      </c>
      <c r="H63" s="9">
        <v>24210</v>
      </c>
      <c r="I63" s="9">
        <v>540690</v>
      </c>
      <c r="J63" s="9"/>
      <c r="K63" s="9">
        <f>G63+H63+I63</f>
        <v>807000</v>
      </c>
      <c r="M63" s="9">
        <f>Q63*G83</f>
        <v>136512.288</v>
      </c>
      <c r="N63" s="9">
        <f>Q63*H83</f>
        <v>13651.228800000001</v>
      </c>
      <c r="O63" s="9">
        <f>Q63*I83</f>
        <v>304877.44320000004</v>
      </c>
      <c r="P63" s="9">
        <f t="shared" ref="P63" si="13">J63</f>
        <v>0</v>
      </c>
      <c r="Q63" s="9">
        <f>K63-((((96*114.57)*8)*4))</f>
        <v>455040.96</v>
      </c>
    </row>
    <row r="64" spans="2:23" x14ac:dyDescent="0.2">
      <c r="E64" s="8"/>
      <c r="G64" s="9"/>
      <c r="H64" s="9"/>
      <c r="I64" s="9"/>
      <c r="J64" s="9"/>
      <c r="K64" s="9"/>
      <c r="M64" s="9"/>
      <c r="N64" s="9"/>
      <c r="O64" s="9"/>
      <c r="P64" s="9"/>
      <c r="Q64" s="9"/>
    </row>
    <row r="65" spans="1:24" x14ac:dyDescent="0.2">
      <c r="D65" s="6" t="s">
        <v>94</v>
      </c>
      <c r="E65" s="8" t="s">
        <v>26</v>
      </c>
      <c r="G65" s="9">
        <v>0</v>
      </c>
      <c r="H65" s="9">
        <v>0</v>
      </c>
      <c r="I65" s="9">
        <v>930000</v>
      </c>
      <c r="J65" s="9">
        <v>0</v>
      </c>
      <c r="K65" s="9">
        <f>I65+H65+G65</f>
        <v>930000</v>
      </c>
      <c r="M65" s="9">
        <f>G65</f>
        <v>0</v>
      </c>
      <c r="N65" s="9">
        <f>H65</f>
        <v>0</v>
      </c>
      <c r="O65" s="9">
        <f>I65</f>
        <v>930000</v>
      </c>
      <c r="P65" s="9">
        <f>J65</f>
        <v>0</v>
      </c>
      <c r="Q65" s="9">
        <f>K65</f>
        <v>930000</v>
      </c>
    </row>
    <row r="66" spans="1:24" x14ac:dyDescent="0.2">
      <c r="E66" s="8"/>
    </row>
    <row r="67" spans="1:24" s="3" customFormat="1" x14ac:dyDescent="0.2">
      <c r="A67" s="6"/>
      <c r="B67" s="6"/>
      <c r="C67" s="6"/>
      <c r="D67" s="6" t="s">
        <v>78</v>
      </c>
      <c r="E67" s="8" t="s">
        <v>26</v>
      </c>
      <c r="F67" s="6"/>
      <c r="G67" s="9">
        <v>705399</v>
      </c>
      <c r="H67" s="9">
        <v>70822</v>
      </c>
      <c r="I67" s="9">
        <v>1501277</v>
      </c>
      <c r="J67" s="9">
        <v>0</v>
      </c>
      <c r="K67" s="9">
        <f>G67+H67+I67</f>
        <v>2277498</v>
      </c>
      <c r="L67" s="6"/>
      <c r="M67" s="9">
        <f>G67</f>
        <v>705399</v>
      </c>
      <c r="N67" s="9">
        <f>H67</f>
        <v>70822</v>
      </c>
      <c r="O67" s="9">
        <f>I67</f>
        <v>1501277</v>
      </c>
      <c r="P67" s="9">
        <f>J67</f>
        <v>0</v>
      </c>
      <c r="Q67" s="9">
        <f>K67</f>
        <v>2277498</v>
      </c>
      <c r="R67" s="9"/>
      <c r="S67" s="9"/>
      <c r="T67" s="9"/>
      <c r="U67" s="9"/>
      <c r="V67" s="9"/>
      <c r="W67" s="9"/>
      <c r="X67" s="6"/>
    </row>
    <row r="68" spans="1:24" s="3" customFormat="1" ht="13.5" thickBot="1" x14ac:dyDescent="0.25">
      <c r="A68" s="6"/>
      <c r="B68" s="6"/>
      <c r="C68" s="6"/>
      <c r="D68" s="6"/>
      <c r="E68" s="6"/>
      <c r="F68" s="6"/>
      <c r="G68" s="6"/>
      <c r="H68" s="6"/>
      <c r="I68" s="6"/>
      <c r="J68" s="6"/>
      <c r="K68" s="6"/>
      <c r="L68" s="6"/>
      <c r="M68" s="6"/>
      <c r="N68" s="6"/>
      <c r="O68" s="6"/>
      <c r="P68" s="6"/>
      <c r="Q68" s="6"/>
      <c r="R68" s="6"/>
      <c r="S68" s="6"/>
      <c r="T68" s="6"/>
      <c r="U68" s="6"/>
      <c r="V68" s="6"/>
      <c r="W68" s="6"/>
      <c r="X68" s="31"/>
    </row>
    <row r="69" spans="1:24" s="3" customFormat="1" ht="13.5" thickBot="1" x14ac:dyDescent="0.25">
      <c r="A69" s="6"/>
      <c r="B69" s="53" t="s">
        <v>79</v>
      </c>
      <c r="C69" s="6"/>
      <c r="D69" s="6"/>
      <c r="E69" s="8" t="s">
        <v>26</v>
      </c>
      <c r="F69" s="6"/>
      <c r="G69" s="67">
        <f>G67+G63</f>
        <v>947499</v>
      </c>
      <c r="H69" s="67">
        <f>H67+H63</f>
        <v>95032</v>
      </c>
      <c r="I69" s="67">
        <f>I67+I63+I65</f>
        <v>2971967</v>
      </c>
      <c r="J69" s="67">
        <f t="shared" ref="H69:Q70" si="14">J67</f>
        <v>0</v>
      </c>
      <c r="K69" s="67">
        <f>K67+K63+K65</f>
        <v>4014498</v>
      </c>
      <c r="L69" s="67">
        <f t="shared" ref="L69:Q69" si="15">L67+L63+L65</f>
        <v>0</v>
      </c>
      <c r="M69" s="67">
        <f t="shared" si="15"/>
        <v>841911.28799999994</v>
      </c>
      <c r="N69" s="67">
        <f t="shared" si="15"/>
        <v>84473.228799999997</v>
      </c>
      <c r="O69" s="67">
        <f>O67+O63+O65</f>
        <v>2736154.4432000001</v>
      </c>
      <c r="P69" s="67">
        <f t="shared" si="15"/>
        <v>0</v>
      </c>
      <c r="Q69" s="67">
        <f t="shared" si="15"/>
        <v>3662538.96</v>
      </c>
      <c r="R69" s="62"/>
      <c r="S69" s="62"/>
      <c r="T69" s="62"/>
      <c r="U69" s="62"/>
      <c r="V69" s="62"/>
      <c r="W69" s="62"/>
      <c r="X69" s="66"/>
    </row>
    <row r="70" spans="1:24" s="3" customFormat="1" x14ac:dyDescent="0.2">
      <c r="A70" s="6"/>
      <c r="B70" s="53"/>
      <c r="C70" s="6"/>
      <c r="D70" s="6"/>
      <c r="E70" s="8" t="s">
        <v>28</v>
      </c>
      <c r="F70" s="6"/>
      <c r="G70" s="67">
        <f>G68</f>
        <v>0</v>
      </c>
      <c r="H70" s="67">
        <f t="shared" si="14"/>
        <v>0</v>
      </c>
      <c r="I70" s="67">
        <f t="shared" si="14"/>
        <v>0</v>
      </c>
      <c r="J70" s="67">
        <f t="shared" si="14"/>
        <v>0</v>
      </c>
      <c r="K70" s="67">
        <f t="shared" si="14"/>
        <v>0</v>
      </c>
      <c r="L70" s="6"/>
      <c r="M70" s="67">
        <f t="shared" si="14"/>
        <v>0</v>
      </c>
      <c r="N70" s="67">
        <f t="shared" si="14"/>
        <v>0</v>
      </c>
      <c r="O70" s="67">
        <f t="shared" si="14"/>
        <v>0</v>
      </c>
      <c r="P70" s="67">
        <f t="shared" si="14"/>
        <v>0</v>
      </c>
      <c r="Q70" s="67">
        <f t="shared" si="14"/>
        <v>0</v>
      </c>
      <c r="R70" s="69"/>
      <c r="S70" s="69"/>
      <c r="T70" s="69"/>
      <c r="U70" s="69"/>
      <c r="V70" s="69"/>
      <c r="W70" s="69"/>
      <c r="X70" s="6"/>
    </row>
    <row r="71" spans="1:24" s="3" customFormat="1" x14ac:dyDescent="0.2">
      <c r="A71" s="6"/>
      <c r="B71" s="6"/>
      <c r="C71" s="6"/>
      <c r="D71" s="6"/>
      <c r="E71" s="6"/>
      <c r="F71" s="6"/>
      <c r="G71" s="6"/>
      <c r="H71" s="6"/>
      <c r="I71" s="6"/>
      <c r="J71" s="6"/>
      <c r="K71" s="9"/>
      <c r="L71" s="6"/>
      <c r="M71" s="6"/>
      <c r="N71" s="6"/>
      <c r="O71" s="6"/>
      <c r="P71" s="6"/>
      <c r="Q71" s="6"/>
      <c r="R71" s="6"/>
      <c r="S71" s="6"/>
      <c r="T71" s="6"/>
      <c r="U71" s="6"/>
      <c r="V71" s="6"/>
      <c r="W71" s="6"/>
      <c r="X71" s="9"/>
    </row>
    <row r="72" spans="1:24" s="3" customFormat="1" ht="13.5" thickBot="1" x14ac:dyDescent="0.25">
      <c r="A72" s="6"/>
      <c r="B72" s="6"/>
      <c r="C72" s="6"/>
      <c r="D72" s="6"/>
      <c r="E72" s="6"/>
      <c r="F72" s="6"/>
      <c r="G72" s="6"/>
      <c r="H72" s="6"/>
      <c r="I72" s="6"/>
      <c r="J72" s="6"/>
      <c r="K72" s="6"/>
      <c r="L72" s="6"/>
      <c r="M72" s="6"/>
      <c r="N72" s="6"/>
      <c r="O72" s="6"/>
      <c r="P72" s="6"/>
      <c r="Q72" s="6"/>
      <c r="R72" s="6"/>
      <c r="S72" s="6"/>
      <c r="T72" s="6"/>
      <c r="U72" s="6"/>
      <c r="V72" s="6"/>
      <c r="W72" s="6"/>
      <c r="X72" s="6"/>
    </row>
    <row r="73" spans="1:24" s="3" customFormat="1" ht="15" thickBot="1" x14ac:dyDescent="0.25">
      <c r="A73" s="6"/>
      <c r="B73" s="57" t="s">
        <v>80</v>
      </c>
      <c r="C73" s="6"/>
      <c r="D73" s="6"/>
      <c r="E73" s="6"/>
      <c r="F73" s="6"/>
      <c r="G73" s="21">
        <f>G58+G69</f>
        <v>1428042</v>
      </c>
      <c r="H73" s="21">
        <f t="shared" ref="H73:P73" si="16">H58+H69</f>
        <v>122560</v>
      </c>
      <c r="I73" s="21">
        <f t="shared" si="16"/>
        <v>3517676</v>
      </c>
      <c r="J73" s="21">
        <f t="shared" si="16"/>
        <v>0</v>
      </c>
      <c r="K73" s="21">
        <f t="shared" si="16"/>
        <v>5068278</v>
      </c>
      <c r="L73" s="21">
        <f t="shared" si="16"/>
        <v>0</v>
      </c>
      <c r="M73" s="21">
        <f>M58+M69</f>
        <v>1227532.5915891347</v>
      </c>
      <c r="N73" s="21">
        <f>N58+N69</f>
        <v>102797.65915891346</v>
      </c>
      <c r="O73" s="21">
        <f>O58+O69</f>
        <v>3070915.3878824008</v>
      </c>
      <c r="P73" s="21">
        <f t="shared" si="16"/>
        <v>0</v>
      </c>
      <c r="Q73" s="21">
        <f>Q58+Q69</f>
        <v>4401245.6386304488</v>
      </c>
      <c r="R73" s="62"/>
      <c r="S73" s="62"/>
      <c r="T73" s="62"/>
      <c r="U73" s="62"/>
      <c r="V73" s="62"/>
      <c r="W73" s="62"/>
      <c r="X73" s="6"/>
    </row>
    <row r="74" spans="1:24" s="3" customFormat="1" ht="13.5" thickTop="1" x14ac:dyDescent="0.2">
      <c r="A74" s="6"/>
      <c r="B74" s="6"/>
      <c r="C74" s="6"/>
      <c r="D74" s="6"/>
      <c r="E74" s="6"/>
      <c r="F74" s="6"/>
      <c r="G74" s="6"/>
      <c r="H74" s="6"/>
      <c r="I74" s="22"/>
      <c r="J74" s="6"/>
      <c r="K74" s="6"/>
      <c r="L74" s="6"/>
      <c r="M74" s="6"/>
      <c r="N74" s="6"/>
      <c r="O74" s="23"/>
      <c r="P74" s="6"/>
      <c r="Q74" s="6"/>
      <c r="R74" s="6"/>
      <c r="S74" s="6"/>
      <c r="T74" s="6"/>
      <c r="U74" s="6"/>
      <c r="V74" s="6"/>
      <c r="W74" s="6"/>
      <c r="X74" s="6"/>
    </row>
    <row r="75" spans="1:24" x14ac:dyDescent="0.2">
      <c r="I75" s="22"/>
      <c r="K75" s="9"/>
      <c r="O75" s="23"/>
    </row>
    <row r="76" spans="1:24" x14ac:dyDescent="0.2">
      <c r="G76" s="61"/>
      <c r="H76" s="61"/>
      <c r="I76" s="61"/>
      <c r="J76" s="9"/>
      <c r="K76" s="113"/>
      <c r="O76" s="23"/>
    </row>
    <row r="77" spans="1:24" x14ac:dyDescent="0.2">
      <c r="G77" s="22"/>
      <c r="H77" s="22"/>
      <c r="I77" s="22"/>
      <c r="K77" s="113"/>
      <c r="O77" s="35"/>
    </row>
    <row r="78" spans="1:24" x14ac:dyDescent="0.2">
      <c r="G78" s="24"/>
      <c r="H78" s="24"/>
      <c r="I78" s="24"/>
      <c r="K78" s="9"/>
      <c r="O78" s="23"/>
    </row>
    <row r="79" spans="1:24" x14ac:dyDescent="0.2">
      <c r="G79" s="22"/>
      <c r="H79" s="22"/>
      <c r="I79" s="22"/>
      <c r="J79" s="9"/>
      <c r="K79" s="9"/>
      <c r="M79" s="70"/>
      <c r="N79" s="70"/>
      <c r="O79" s="25"/>
      <c r="P79" s="70"/>
      <c r="Q79" s="70"/>
      <c r="R79" s="70"/>
      <c r="S79" s="70"/>
      <c r="T79" s="70"/>
      <c r="U79" s="70"/>
    </row>
    <row r="80" spans="1:24" x14ac:dyDescent="0.2">
      <c r="G80" s="22"/>
      <c r="H80" s="22"/>
      <c r="I80" s="22"/>
      <c r="K80" s="9"/>
      <c r="M80" s="70"/>
      <c r="N80" s="70"/>
      <c r="O80" s="25"/>
      <c r="P80" s="70"/>
      <c r="Q80" s="70"/>
      <c r="R80" s="70"/>
      <c r="S80" s="70"/>
      <c r="T80" s="70"/>
      <c r="U80" s="70"/>
    </row>
    <row r="81" spans="5:25" x14ac:dyDescent="0.2">
      <c r="G81" s="22"/>
      <c r="H81" s="22"/>
      <c r="I81" s="22"/>
      <c r="M81" s="70"/>
      <c r="N81" s="70"/>
      <c r="O81" s="25"/>
      <c r="P81" s="70"/>
      <c r="Q81" s="70"/>
      <c r="R81" s="70"/>
      <c r="S81" s="70"/>
      <c r="T81" s="70"/>
      <c r="U81" s="70"/>
    </row>
    <row r="82" spans="5:25" ht="13.5" thickBot="1" x14ac:dyDescent="0.25">
      <c r="M82" s="70"/>
      <c r="N82" s="70"/>
      <c r="O82" s="70"/>
      <c r="P82" s="70"/>
      <c r="Q82" s="70"/>
      <c r="R82" s="70"/>
      <c r="S82" s="70"/>
      <c r="T82" s="70"/>
      <c r="U82" s="70"/>
    </row>
    <row r="83" spans="5:25" x14ac:dyDescent="0.2">
      <c r="E83" s="72"/>
      <c r="F83" s="73"/>
      <c r="G83" s="74">
        <v>0.3</v>
      </c>
      <c r="H83" s="74">
        <v>0.03</v>
      </c>
      <c r="I83" s="74">
        <v>0.67</v>
      </c>
      <c r="J83" s="73"/>
      <c r="K83" s="96"/>
      <c r="M83" s="75"/>
      <c r="N83" s="76"/>
      <c r="O83" s="76"/>
      <c r="P83" s="76"/>
      <c r="Q83" s="77"/>
      <c r="R83" s="60"/>
      <c r="S83" s="60"/>
      <c r="T83" s="60"/>
      <c r="U83" s="60"/>
    </row>
    <row r="84" spans="5:25" x14ac:dyDescent="0.2">
      <c r="E84" s="50"/>
      <c r="F84" s="31"/>
      <c r="G84" s="31"/>
      <c r="H84" s="31"/>
      <c r="I84" s="31"/>
      <c r="J84" s="31"/>
      <c r="K84" s="78"/>
      <c r="M84" s="26"/>
      <c r="N84" s="60"/>
      <c r="O84" s="60"/>
      <c r="P84" s="60"/>
      <c r="Q84" s="60"/>
      <c r="R84" s="60"/>
      <c r="S84" s="60"/>
      <c r="T84" s="60"/>
      <c r="U84" s="60"/>
    </row>
    <row r="85" spans="5:25" x14ac:dyDescent="0.2">
      <c r="E85" s="50" t="s">
        <v>81</v>
      </c>
      <c r="F85" s="31"/>
      <c r="G85" s="31"/>
      <c r="H85" s="31"/>
      <c r="I85" s="31"/>
      <c r="J85" s="31"/>
      <c r="K85" s="79">
        <f>K73</f>
        <v>5068278</v>
      </c>
      <c r="M85" s="27"/>
      <c r="N85" s="77"/>
      <c r="O85" s="77"/>
      <c r="P85" s="77"/>
      <c r="Q85" s="77"/>
      <c r="R85" s="60"/>
      <c r="S85" s="60"/>
      <c r="T85" s="60"/>
      <c r="U85" s="60"/>
    </row>
    <row r="86" spans="5:25" x14ac:dyDescent="0.2">
      <c r="E86" s="50" t="s">
        <v>82</v>
      </c>
      <c r="F86" s="31"/>
      <c r="G86" s="31"/>
      <c r="H86" s="31"/>
      <c r="I86" s="31"/>
      <c r="J86" s="31"/>
      <c r="K86" s="79">
        <v>0</v>
      </c>
      <c r="M86" s="70"/>
      <c r="N86" s="60"/>
      <c r="O86" s="60"/>
      <c r="P86" s="60"/>
      <c r="Q86" s="60"/>
      <c r="R86" s="60"/>
      <c r="S86" s="60"/>
      <c r="T86" s="60"/>
      <c r="U86" s="60"/>
    </row>
    <row r="87" spans="5:25" x14ac:dyDescent="0.2">
      <c r="E87" s="50"/>
      <c r="F87" s="31"/>
      <c r="G87" s="31"/>
      <c r="H87" s="31"/>
      <c r="I87" s="31"/>
      <c r="J87" s="31"/>
      <c r="K87" s="79"/>
      <c r="M87" s="27"/>
      <c r="N87" s="60"/>
      <c r="O87" s="60"/>
      <c r="P87" s="60"/>
      <c r="Q87" s="60"/>
      <c r="R87" s="60"/>
      <c r="S87" s="60"/>
      <c r="T87" s="60"/>
      <c r="U87" s="60"/>
    </row>
    <row r="88" spans="5:25" x14ac:dyDescent="0.2">
      <c r="E88" s="50" t="s">
        <v>83</v>
      </c>
      <c r="F88" s="31"/>
      <c r="G88" s="31"/>
      <c r="H88" s="31"/>
      <c r="I88" s="31"/>
      <c r="J88" s="31"/>
      <c r="K88" s="80">
        <f>SUM(K85:K87)</f>
        <v>5068278</v>
      </c>
      <c r="M88" s="27"/>
      <c r="N88" s="60"/>
      <c r="O88" s="60"/>
      <c r="P88" s="60"/>
      <c r="Q88" s="60"/>
      <c r="R88" s="60"/>
      <c r="S88" s="60"/>
      <c r="T88" s="60"/>
      <c r="U88" s="60"/>
    </row>
    <row r="89" spans="5:25" x14ac:dyDescent="0.2">
      <c r="E89" s="50" t="s">
        <v>84</v>
      </c>
      <c r="F89" s="31"/>
      <c r="G89" s="31"/>
      <c r="H89" s="31"/>
      <c r="I89" s="31"/>
      <c r="J89" s="31"/>
      <c r="K89" s="79">
        <f>I65</f>
        <v>930000</v>
      </c>
      <c r="M89" s="27"/>
      <c r="N89" s="60"/>
      <c r="O89" s="81"/>
      <c r="P89" s="81"/>
      <c r="Q89" s="77"/>
      <c r="R89" s="60"/>
      <c r="S89" s="60"/>
      <c r="T89" s="60"/>
      <c r="U89" s="60"/>
    </row>
    <row r="90" spans="5:25" x14ac:dyDescent="0.2">
      <c r="E90" s="50" t="s">
        <v>85</v>
      </c>
      <c r="F90" s="31"/>
      <c r="G90" s="31"/>
      <c r="H90" s="31"/>
      <c r="I90" s="31"/>
      <c r="J90" s="31"/>
      <c r="K90" s="79">
        <f>G53</f>
        <v>174736</v>
      </c>
      <c r="M90" s="27"/>
      <c r="N90" s="60"/>
      <c r="O90" s="81"/>
      <c r="P90" s="81"/>
      <c r="Q90" s="77"/>
      <c r="R90" s="60"/>
      <c r="S90" s="60"/>
      <c r="T90" s="60"/>
      <c r="U90" s="60"/>
    </row>
    <row r="91" spans="5:25" x14ac:dyDescent="0.2">
      <c r="E91" s="50"/>
      <c r="F91" s="31"/>
      <c r="G91" s="31"/>
      <c r="H91" s="31"/>
      <c r="I91" s="31"/>
      <c r="J91" s="31"/>
      <c r="K91" s="79"/>
      <c r="M91" s="27"/>
      <c r="N91" s="60"/>
      <c r="O91" s="81"/>
      <c r="P91" s="81"/>
      <c r="Q91" s="77"/>
      <c r="R91" s="60"/>
      <c r="S91" s="60"/>
      <c r="T91" s="60"/>
      <c r="U91" s="60"/>
    </row>
    <row r="92" spans="5:25" ht="13.5" thickBot="1" x14ac:dyDescent="0.25">
      <c r="E92" s="50" t="s">
        <v>86</v>
      </c>
      <c r="F92" s="31"/>
      <c r="G92" s="31"/>
      <c r="H92" s="31"/>
      <c r="I92" s="31"/>
      <c r="J92" s="31"/>
      <c r="K92" s="82">
        <f>K88-K89-K90-K91</f>
        <v>3963542</v>
      </c>
      <c r="M92" s="27"/>
      <c r="N92" s="60"/>
      <c r="O92" s="60"/>
      <c r="P92" s="60"/>
      <c r="Q92" s="60"/>
      <c r="R92" s="60"/>
      <c r="S92" s="60"/>
      <c r="T92" s="60"/>
      <c r="U92" s="60"/>
    </row>
    <row r="93" spans="5:25" ht="13.5" thickTop="1" x14ac:dyDescent="0.2">
      <c r="E93" s="50"/>
      <c r="F93" s="31"/>
      <c r="G93" s="31"/>
      <c r="H93" s="31"/>
      <c r="I93" s="31"/>
      <c r="J93" s="83" t="s">
        <v>87</v>
      </c>
      <c r="K93" s="79"/>
      <c r="M93" s="27"/>
      <c r="N93" s="60"/>
      <c r="O93" s="60"/>
      <c r="P93" s="60"/>
      <c r="Q93" s="77"/>
      <c r="R93" s="60"/>
      <c r="S93" s="60"/>
      <c r="T93" s="60"/>
      <c r="U93" s="60"/>
    </row>
    <row r="94" spans="5:25" x14ac:dyDescent="0.2">
      <c r="E94" s="50" t="s">
        <v>81</v>
      </c>
      <c r="F94" s="31"/>
      <c r="G94" s="29">
        <f>G73</f>
        <v>1428042</v>
      </c>
      <c r="H94" s="29">
        <f>H73</f>
        <v>122560</v>
      </c>
      <c r="I94" s="29">
        <f>I73</f>
        <v>3517676</v>
      </c>
      <c r="J94" s="29"/>
      <c r="K94" s="79"/>
      <c r="M94" s="27"/>
      <c r="N94" s="60"/>
      <c r="O94" s="60"/>
      <c r="P94" s="60"/>
      <c r="Q94" s="60"/>
      <c r="R94" s="60"/>
      <c r="S94" s="60"/>
      <c r="T94" s="60"/>
      <c r="U94" s="60">
        <v>0</v>
      </c>
      <c r="Y94" s="3">
        <v>900323.36</v>
      </c>
    </row>
    <row r="95" spans="5:25" x14ac:dyDescent="0.2">
      <c r="E95" s="50" t="s">
        <v>88</v>
      </c>
      <c r="F95" s="31"/>
      <c r="G95" s="29">
        <f>K90</f>
        <v>174736</v>
      </c>
      <c r="H95" s="84">
        <v>0</v>
      </c>
      <c r="I95" s="84">
        <f>K89</f>
        <v>930000</v>
      </c>
      <c r="K95" s="78"/>
      <c r="M95" s="70"/>
      <c r="N95" s="60"/>
      <c r="O95" s="60"/>
      <c r="P95" s="60"/>
      <c r="Q95" s="60"/>
      <c r="R95" s="60"/>
      <c r="S95" s="60"/>
      <c r="T95" s="60"/>
      <c r="U95" s="60"/>
    </row>
    <row r="96" spans="5:25" ht="13.5" thickBot="1" x14ac:dyDescent="0.25">
      <c r="E96" s="50" t="s">
        <v>89</v>
      </c>
      <c r="F96" s="31"/>
      <c r="G96" s="85">
        <f>G94-G95</f>
        <v>1253306</v>
      </c>
      <c r="H96" s="85">
        <f>H94-H95</f>
        <v>122560</v>
      </c>
      <c r="I96" s="85">
        <f>I94-I95</f>
        <v>2587676</v>
      </c>
      <c r="J96" s="28"/>
      <c r="K96" s="79"/>
      <c r="M96" s="70"/>
      <c r="N96" s="60"/>
      <c r="O96" s="60"/>
      <c r="P96" s="58"/>
      <c r="Q96" s="60"/>
      <c r="R96" s="60"/>
      <c r="S96" s="60"/>
      <c r="T96" s="60"/>
      <c r="U96" s="60"/>
    </row>
    <row r="97" spans="5:21" ht="14.25" thickTop="1" thickBot="1" x14ac:dyDescent="0.25">
      <c r="E97" s="50" t="s">
        <v>90</v>
      </c>
      <c r="F97" s="31"/>
      <c r="G97" s="86">
        <f>G96/$K$92</f>
        <v>0.31620858313094702</v>
      </c>
      <c r="H97" s="86">
        <f t="shared" ref="H97:I97" si="17">H96/$K$92</f>
        <v>3.0921837084103058E-2</v>
      </c>
      <c r="I97" s="86">
        <f t="shared" si="17"/>
        <v>0.65286957978494997</v>
      </c>
      <c r="J97" s="29"/>
      <c r="K97" s="79"/>
      <c r="M97" s="70"/>
      <c r="N97" s="60"/>
      <c r="O97" s="60"/>
      <c r="P97" s="60"/>
      <c r="Q97" s="60"/>
      <c r="R97" s="60"/>
      <c r="S97" s="60"/>
      <c r="T97" s="60"/>
      <c r="U97" s="60"/>
    </row>
    <row r="98" spans="5:21" ht="14.25" thickTop="1" thickBot="1" x14ac:dyDescent="0.25">
      <c r="E98" s="87"/>
      <c r="F98" s="88"/>
      <c r="G98" s="89" t="s">
        <v>91</v>
      </c>
      <c r="H98" s="89" t="s">
        <v>92</v>
      </c>
      <c r="I98" s="89" t="s">
        <v>5</v>
      </c>
      <c r="J98" s="88"/>
      <c r="K98" s="90"/>
      <c r="M98" s="70"/>
      <c r="N98" s="91"/>
      <c r="O98" s="91"/>
      <c r="P98" s="91"/>
      <c r="Q98" s="60"/>
      <c r="R98" s="60"/>
      <c r="S98" s="60"/>
      <c r="T98" s="60"/>
      <c r="U98" s="60"/>
    </row>
    <row r="99" spans="5:21" x14ac:dyDescent="0.2">
      <c r="J99" s="73"/>
      <c r="K99" s="92"/>
      <c r="M99" s="70"/>
      <c r="N99" s="91"/>
      <c r="O99" s="91"/>
      <c r="P99" s="91"/>
      <c r="Q99" s="60"/>
      <c r="R99" s="60"/>
      <c r="S99" s="60"/>
      <c r="T99" s="60"/>
      <c r="U99" s="60"/>
    </row>
    <row r="100" spans="5:21" x14ac:dyDescent="0.2">
      <c r="J100" s="29"/>
      <c r="K100" s="29"/>
      <c r="M100" s="70"/>
      <c r="N100" s="60"/>
      <c r="O100" s="60"/>
      <c r="P100" s="60"/>
      <c r="Q100" s="60"/>
      <c r="R100" s="60"/>
      <c r="S100" s="60"/>
      <c r="T100" s="60"/>
      <c r="U100" s="60"/>
    </row>
    <row r="101" spans="5:21" x14ac:dyDescent="0.2">
      <c r="E101" s="30"/>
      <c r="F101" s="31"/>
      <c r="G101" s="29"/>
      <c r="H101" s="29"/>
      <c r="I101" s="32"/>
      <c r="J101" s="93"/>
      <c r="K101" s="32"/>
      <c r="M101" s="70"/>
      <c r="N101" s="60"/>
      <c r="O101" s="60"/>
      <c r="P101" s="60"/>
      <c r="Q101" s="60"/>
      <c r="R101" s="60"/>
      <c r="S101" s="60"/>
      <c r="T101" s="60"/>
      <c r="U101" s="60"/>
    </row>
    <row r="102" spans="5:21" x14ac:dyDescent="0.2">
      <c r="E102" s="31"/>
      <c r="F102" s="31"/>
      <c r="G102" s="31"/>
      <c r="H102" s="31"/>
      <c r="I102" s="32"/>
      <c r="J102" s="93"/>
      <c r="K102" s="93"/>
      <c r="M102" s="94"/>
      <c r="N102" s="95"/>
      <c r="O102" s="95"/>
      <c r="P102" s="95"/>
      <c r="Q102" s="60"/>
      <c r="R102" s="60"/>
      <c r="S102" s="60"/>
      <c r="T102" s="60"/>
      <c r="U102" s="60"/>
    </row>
    <row r="103" spans="5:21" x14ac:dyDescent="0.2">
      <c r="E103" s="31"/>
      <c r="F103" s="31"/>
      <c r="G103" s="31"/>
      <c r="H103" s="29"/>
      <c r="I103" s="29"/>
      <c r="J103" s="31"/>
      <c r="K103" s="31"/>
      <c r="M103" s="70"/>
      <c r="N103" s="60"/>
      <c r="O103" s="60"/>
      <c r="P103" s="60"/>
      <c r="Q103" s="60"/>
      <c r="R103" s="60"/>
      <c r="S103" s="60"/>
      <c r="T103" s="60"/>
      <c r="U103" s="60"/>
    </row>
    <row r="104" spans="5:21" x14ac:dyDescent="0.2">
      <c r="E104" s="31"/>
      <c r="F104" s="31"/>
      <c r="G104" s="33"/>
      <c r="H104" s="33"/>
      <c r="I104" s="33"/>
      <c r="M104" s="70"/>
      <c r="N104" s="70"/>
      <c r="O104" s="70"/>
      <c r="P104" s="70"/>
      <c r="Q104" s="70"/>
      <c r="R104" s="70"/>
      <c r="S104" s="70"/>
      <c r="T104" s="70"/>
      <c r="U104" s="70"/>
    </row>
    <row r="105" spans="5:21" x14ac:dyDescent="0.2">
      <c r="E105" s="31"/>
      <c r="F105" s="31"/>
      <c r="G105" s="29"/>
      <c r="H105" s="29"/>
      <c r="I105" s="29"/>
      <c r="M105" s="70"/>
      <c r="N105" s="70"/>
      <c r="O105" s="70"/>
      <c r="P105" s="70"/>
      <c r="Q105" s="70"/>
      <c r="R105" s="70"/>
      <c r="S105" s="70"/>
      <c r="T105" s="70"/>
      <c r="U105" s="70"/>
    </row>
    <row r="106" spans="5:21" x14ac:dyDescent="0.2">
      <c r="E106" s="31"/>
      <c r="F106" s="31"/>
      <c r="G106" s="33"/>
      <c r="H106" s="33"/>
      <c r="I106" s="33"/>
      <c r="M106" s="70"/>
      <c r="N106" s="70"/>
      <c r="O106" s="70"/>
      <c r="P106" s="70"/>
      <c r="Q106" s="70"/>
      <c r="R106" s="70"/>
      <c r="S106" s="70"/>
      <c r="T106" s="70"/>
      <c r="U106" s="70"/>
    </row>
    <row r="107" spans="5:21" x14ac:dyDescent="0.2">
      <c r="E107" s="31"/>
      <c r="F107" s="31"/>
      <c r="G107" s="34"/>
      <c r="H107" s="34"/>
      <c r="I107" s="34"/>
      <c r="J107" s="31"/>
      <c r="M107" s="70"/>
      <c r="N107" s="70"/>
      <c r="O107" s="70"/>
      <c r="P107" s="70"/>
      <c r="Q107" s="70"/>
      <c r="R107" s="70"/>
      <c r="S107" s="70"/>
      <c r="T107" s="70"/>
      <c r="U107" s="70"/>
    </row>
    <row r="108" spans="5:21" x14ac:dyDescent="0.2">
      <c r="G108" s="29"/>
      <c r="H108" s="29"/>
      <c r="I108" s="29"/>
      <c r="J108" s="31"/>
      <c r="M108" s="70"/>
      <c r="N108" s="70"/>
      <c r="O108" s="70"/>
      <c r="P108" s="70"/>
      <c r="Q108" s="70"/>
      <c r="R108" s="70"/>
      <c r="S108" s="70"/>
      <c r="T108" s="70"/>
      <c r="U108" s="70"/>
    </row>
    <row r="109" spans="5:21" x14ac:dyDescent="0.2">
      <c r="G109" s="31"/>
      <c r="H109" s="31"/>
      <c r="I109" s="31"/>
      <c r="J109" s="31"/>
      <c r="M109" s="70"/>
      <c r="N109" s="70"/>
      <c r="O109" s="70"/>
      <c r="P109" s="70"/>
      <c r="Q109" s="70"/>
      <c r="R109" s="70"/>
      <c r="S109" s="70"/>
      <c r="T109" s="70"/>
      <c r="U109" s="7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93A2C-5A0A-4C5B-A120-2310FA8DA078}">
  <sheetPr>
    <pageSetUpPr fitToPage="1"/>
  </sheetPr>
  <dimension ref="A1:Y109"/>
  <sheetViews>
    <sheetView zoomScale="90" zoomScaleNormal="90" workbookViewId="0">
      <selection activeCell="D18" sqref="D18"/>
    </sheetView>
  </sheetViews>
  <sheetFormatPr defaultColWidth="9.140625" defaultRowHeight="12.75" x14ac:dyDescent="0.2"/>
  <cols>
    <col min="1" max="1" width="0.85546875" style="6" customWidth="1"/>
    <col min="2" max="2" width="22.140625" style="6" customWidth="1"/>
    <col min="3" max="3" width="0.85546875" style="6" customWidth="1"/>
    <col min="4" max="4" width="36.140625" style="6" customWidth="1"/>
    <col min="5" max="5" width="22" style="6" bestFit="1" customWidth="1"/>
    <col min="6" max="6" width="1.28515625" style="6" customWidth="1"/>
    <col min="7" max="7" width="22.5703125" style="6" customWidth="1"/>
    <col min="8" max="8" width="20" style="6" customWidth="1"/>
    <col min="9" max="9" width="16.140625" style="6" customWidth="1"/>
    <col min="10" max="10" width="14.7109375" style="6" customWidth="1"/>
    <col min="11" max="11" width="16.85546875" style="6" customWidth="1"/>
    <col min="12" max="12" width="1.7109375" style="6" customWidth="1"/>
    <col min="13" max="13" width="14.7109375" style="6" customWidth="1"/>
    <col min="14" max="14" width="15.85546875" style="6" customWidth="1"/>
    <col min="15" max="15" width="16.85546875" style="6" customWidth="1"/>
    <col min="16" max="16" width="14.7109375" style="6" customWidth="1"/>
    <col min="17" max="17" width="16.140625" style="6" customWidth="1"/>
    <col min="18" max="19" width="2.5703125" style="6" customWidth="1"/>
    <col min="20" max="23" width="16.140625" style="6" customWidth="1"/>
    <col min="24" max="24" width="2.7109375" style="6" customWidth="1"/>
    <col min="25" max="25" width="47" style="3" hidden="1" customWidth="1"/>
    <col min="26" max="16384" width="9.140625" style="6"/>
  </cols>
  <sheetData>
    <row r="1" spans="2:25" ht="15" x14ac:dyDescent="0.25">
      <c r="E1" s="53"/>
      <c r="F1" s="53"/>
      <c r="I1" s="54"/>
    </row>
    <row r="2" spans="2:25" ht="20.25" thickBot="1" x14ac:dyDescent="0.3">
      <c r="B2" s="55" t="s">
        <v>6</v>
      </c>
      <c r="C2" s="53"/>
      <c r="D2" s="53"/>
      <c r="E2" s="53"/>
      <c r="F2" s="53"/>
      <c r="G2" s="272" t="s">
        <v>162</v>
      </c>
      <c r="H2" s="272"/>
      <c r="I2" s="272"/>
      <c r="J2" s="272"/>
      <c r="K2" s="272"/>
      <c r="M2" s="272" t="s">
        <v>163</v>
      </c>
      <c r="N2" s="272"/>
      <c r="O2" s="272"/>
      <c r="P2" s="272"/>
      <c r="Q2" s="272"/>
      <c r="R2" s="4"/>
      <c r="S2" s="4"/>
      <c r="T2" s="4"/>
      <c r="U2" s="4"/>
      <c r="V2" s="4"/>
      <c r="W2" s="4"/>
    </row>
    <row r="3" spans="2:25" ht="19.5" x14ac:dyDescent="0.25">
      <c r="B3" s="55" t="s">
        <v>7</v>
      </c>
      <c r="C3" s="53"/>
      <c r="D3" s="53"/>
    </row>
    <row r="4" spans="2:25" x14ac:dyDescent="0.2">
      <c r="B4" s="53" t="s">
        <v>165</v>
      </c>
      <c r="C4" s="53"/>
      <c r="D4" s="53"/>
      <c r="G4" s="7" t="s">
        <v>8</v>
      </c>
      <c r="H4" s="7" t="s">
        <v>9</v>
      </c>
      <c r="I4" s="7" t="s">
        <v>10</v>
      </c>
      <c r="J4" s="7" t="s">
        <v>11</v>
      </c>
      <c r="K4" s="7" t="s">
        <v>12</v>
      </c>
      <c r="M4" s="7" t="s">
        <v>8</v>
      </c>
      <c r="N4" s="7" t="s">
        <v>9</v>
      </c>
      <c r="O4" s="7" t="s">
        <v>10</v>
      </c>
      <c r="P4" s="7" t="s">
        <v>11</v>
      </c>
      <c r="Q4" s="7" t="s">
        <v>12</v>
      </c>
      <c r="R4" s="7"/>
      <c r="S4" s="7"/>
      <c r="T4" s="7"/>
      <c r="U4" s="7"/>
      <c r="V4" s="7"/>
      <c r="W4" s="7"/>
    </row>
    <row r="5" spans="2:25" ht="15" x14ac:dyDescent="0.2">
      <c r="B5" s="56"/>
      <c r="C5" s="53"/>
      <c r="D5" s="56" t="s">
        <v>13</v>
      </c>
      <c r="G5" s="7" t="s">
        <v>14</v>
      </c>
      <c r="H5" s="7" t="s">
        <v>15</v>
      </c>
      <c r="I5" s="7" t="s">
        <v>16</v>
      </c>
      <c r="J5" s="7" t="s">
        <v>17</v>
      </c>
      <c r="K5" s="7" t="s">
        <v>18</v>
      </c>
      <c r="M5" s="7" t="s">
        <v>14</v>
      </c>
      <c r="N5" s="7" t="s">
        <v>15</v>
      </c>
      <c r="O5" s="7" t="s">
        <v>16</v>
      </c>
      <c r="P5" s="7" t="s">
        <v>17</v>
      </c>
      <c r="Q5" s="7" t="s">
        <v>18</v>
      </c>
      <c r="R5" s="7"/>
      <c r="S5" s="7"/>
      <c r="T5" s="7"/>
      <c r="U5" s="7"/>
      <c r="V5" s="7"/>
      <c r="W5" s="7"/>
    </row>
    <row r="6" spans="2:25" x14ac:dyDescent="0.2">
      <c r="B6" s="6" t="s">
        <v>159</v>
      </c>
      <c r="D6" s="5"/>
      <c r="G6" s="7"/>
      <c r="H6" s="7" t="s">
        <v>19</v>
      </c>
      <c r="I6" s="7"/>
      <c r="J6" s="7"/>
      <c r="K6" s="7"/>
      <c r="M6" s="7"/>
      <c r="N6" s="7" t="s">
        <v>19</v>
      </c>
      <c r="O6" s="7"/>
      <c r="P6" s="7"/>
      <c r="Q6" s="7"/>
      <c r="R6" s="7"/>
      <c r="S6" s="7"/>
      <c r="T6" s="7"/>
      <c r="U6" s="7"/>
      <c r="V6" s="7"/>
      <c r="W6" s="7"/>
    </row>
    <row r="7" spans="2:25" ht="13.5" thickBot="1" x14ac:dyDescent="0.25">
      <c r="B7" s="53" t="s">
        <v>97</v>
      </c>
      <c r="G7" s="164" t="s">
        <v>20</v>
      </c>
      <c r="H7" s="164" t="s">
        <v>21</v>
      </c>
      <c r="I7" s="164" t="s">
        <v>22</v>
      </c>
      <c r="J7" s="164"/>
      <c r="K7" s="164" t="s">
        <v>23</v>
      </c>
      <c r="M7" s="164" t="s">
        <v>20</v>
      </c>
      <c r="N7" s="164" t="s">
        <v>21</v>
      </c>
      <c r="O7" s="164" t="s">
        <v>22</v>
      </c>
      <c r="P7" s="164"/>
      <c r="Q7" s="164" t="s">
        <v>23</v>
      </c>
      <c r="R7" s="4"/>
      <c r="S7" s="4"/>
      <c r="T7" s="4"/>
      <c r="U7" s="4"/>
      <c r="V7" s="4"/>
      <c r="W7" s="4"/>
    </row>
    <row r="8" spans="2:25" ht="5.0999999999999996" customHeight="1" x14ac:dyDescent="0.2">
      <c r="B8" s="53"/>
      <c r="G8" s="7"/>
      <c r="H8" s="7"/>
      <c r="I8" s="7"/>
      <c r="J8" s="7"/>
      <c r="K8" s="7"/>
      <c r="M8" s="7"/>
      <c r="N8" s="7"/>
      <c r="O8" s="7"/>
      <c r="P8" s="7"/>
      <c r="Q8" s="7"/>
      <c r="R8" s="7"/>
      <c r="S8" s="7"/>
      <c r="T8" s="7"/>
      <c r="U8" s="7"/>
      <c r="V8" s="7"/>
      <c r="W8" s="7"/>
    </row>
    <row r="9" spans="2:25" ht="15" thickBot="1" x14ac:dyDescent="0.25">
      <c r="B9" s="57" t="s">
        <v>24</v>
      </c>
      <c r="D9" s="6" t="s">
        <v>25</v>
      </c>
      <c r="E9" s="8" t="s">
        <v>26</v>
      </c>
      <c r="G9" s="9">
        <v>9793</v>
      </c>
      <c r="H9" s="9">
        <v>979</v>
      </c>
      <c r="I9" s="9">
        <v>21871</v>
      </c>
      <c r="J9" s="9"/>
      <c r="K9" s="9">
        <f>J9+I9+H9+G9</f>
        <v>32643</v>
      </c>
      <c r="M9" s="9">
        <v>0</v>
      </c>
      <c r="N9" s="9">
        <v>0</v>
      </c>
      <c r="O9" s="9">
        <v>0</v>
      </c>
      <c r="P9" s="9">
        <v>0</v>
      </c>
      <c r="Q9" s="9">
        <f>SUM(M9:P9)</f>
        <v>0</v>
      </c>
      <c r="R9" s="9"/>
      <c r="S9" s="9"/>
      <c r="T9" s="9"/>
      <c r="U9" s="9"/>
      <c r="V9" s="9"/>
      <c r="W9" s="9"/>
    </row>
    <row r="10" spans="2:25" x14ac:dyDescent="0.2">
      <c r="B10" s="53" t="s">
        <v>27</v>
      </c>
      <c r="E10" s="8" t="s">
        <v>28</v>
      </c>
      <c r="G10" s="10">
        <v>153.80000000000001</v>
      </c>
      <c r="H10" s="10">
        <v>15.5</v>
      </c>
      <c r="I10" s="10">
        <v>343.7</v>
      </c>
      <c r="J10" s="10">
        <v>0</v>
      </c>
      <c r="K10" s="10"/>
      <c r="M10" s="10">
        <f>G10</f>
        <v>153.80000000000001</v>
      </c>
      <c r="N10" s="10">
        <f>H10</f>
        <v>15.5</v>
      </c>
      <c r="O10" s="10">
        <f>I10</f>
        <v>343.7</v>
      </c>
      <c r="P10" s="10">
        <v>0</v>
      </c>
      <c r="Q10" s="10">
        <f>SUM(M10:P10)</f>
        <v>513</v>
      </c>
      <c r="R10" s="20"/>
      <c r="S10" s="20"/>
      <c r="T10" s="20"/>
      <c r="U10" s="20"/>
      <c r="V10" s="20"/>
      <c r="W10" s="20"/>
    </row>
    <row r="11" spans="2:25" x14ac:dyDescent="0.2">
      <c r="E11" s="8"/>
    </row>
    <row r="12" spans="2:25" ht="13.5" thickBot="1" x14ac:dyDescent="0.25">
      <c r="D12" s="6" t="s">
        <v>29</v>
      </c>
      <c r="E12" s="8" t="s">
        <v>26</v>
      </c>
      <c r="G12" s="9">
        <v>3834</v>
      </c>
      <c r="H12" s="9">
        <v>383</v>
      </c>
      <c r="I12" s="9">
        <v>7870</v>
      </c>
      <c r="J12" s="9"/>
      <c r="K12" s="9">
        <f>J12+I12+H12+G12</f>
        <v>12087</v>
      </c>
      <c r="M12" s="9">
        <f t="shared" ref="M12:P13" si="0">G12</f>
        <v>3834</v>
      </c>
      <c r="N12" s="9">
        <f t="shared" si="0"/>
        <v>383</v>
      </c>
      <c r="O12" s="9">
        <f t="shared" si="0"/>
        <v>7870</v>
      </c>
      <c r="P12" s="9">
        <f t="shared" si="0"/>
        <v>0</v>
      </c>
      <c r="Q12" s="9">
        <f>SUM(M12:P12)</f>
        <v>12087</v>
      </c>
      <c r="R12" s="9"/>
      <c r="S12" s="9"/>
      <c r="T12" s="58">
        <f>223294-K12</f>
        <v>211207</v>
      </c>
      <c r="U12" s="9"/>
      <c r="V12" s="9"/>
      <c r="W12" s="9"/>
    </row>
    <row r="13" spans="2:25" x14ac:dyDescent="0.2">
      <c r="E13" s="8" t="s">
        <v>28</v>
      </c>
      <c r="G13" s="10">
        <v>54.4</v>
      </c>
      <c r="H13" s="10">
        <v>5.5</v>
      </c>
      <c r="I13" s="10">
        <v>121.8</v>
      </c>
      <c r="J13" s="10">
        <v>0</v>
      </c>
      <c r="K13" s="10">
        <f>G13+H13+I13+J13</f>
        <v>181.7</v>
      </c>
      <c r="M13" s="10">
        <f t="shared" si="0"/>
        <v>54.4</v>
      </c>
      <c r="N13" s="10">
        <f t="shared" si="0"/>
        <v>5.5</v>
      </c>
      <c r="O13" s="10">
        <f t="shared" si="0"/>
        <v>121.8</v>
      </c>
      <c r="P13" s="10">
        <v>0</v>
      </c>
      <c r="Q13" s="10">
        <f>SUM(M13:P13)</f>
        <v>181.7</v>
      </c>
      <c r="R13" s="20"/>
      <c r="S13" s="20"/>
      <c r="T13" s="59"/>
      <c r="U13" s="20"/>
      <c r="V13" s="20"/>
      <c r="W13" s="20"/>
    </row>
    <row r="14" spans="2:25" x14ac:dyDescent="0.2">
      <c r="T14" s="60"/>
      <c r="Y14" s="11" t="s">
        <v>30</v>
      </c>
    </row>
    <row r="15" spans="2:25" x14ac:dyDescent="0.2">
      <c r="D15" s="6" t="s">
        <v>31</v>
      </c>
      <c r="E15" s="8" t="s">
        <v>32</v>
      </c>
      <c r="G15" s="9">
        <v>3860</v>
      </c>
      <c r="H15" s="9">
        <v>386</v>
      </c>
      <c r="I15" s="9">
        <v>8621</v>
      </c>
      <c r="J15" s="9"/>
      <c r="K15" s="9">
        <f>G15+H15+I15+J15</f>
        <v>12867</v>
      </c>
      <c r="M15" s="9">
        <v>0</v>
      </c>
      <c r="N15" s="9">
        <v>0</v>
      </c>
      <c r="O15" s="9">
        <v>0</v>
      </c>
      <c r="P15" s="9">
        <v>0</v>
      </c>
      <c r="Q15" s="9">
        <f t="shared" ref="Q15:Q20" si="1">SUM(M15:P15)</f>
        <v>0</v>
      </c>
      <c r="R15" s="9"/>
      <c r="S15" s="9"/>
      <c r="T15" s="58"/>
      <c r="U15" s="9"/>
      <c r="V15" s="9"/>
      <c r="W15" s="9"/>
    </row>
    <row r="16" spans="2:25" x14ac:dyDescent="0.2">
      <c r="D16" s="6" t="s">
        <v>33</v>
      </c>
      <c r="E16" s="8" t="s">
        <v>34</v>
      </c>
      <c r="G16" s="9">
        <v>433</v>
      </c>
      <c r="H16" s="9">
        <v>43</v>
      </c>
      <c r="I16" s="9">
        <f>23+944</f>
        <v>967</v>
      </c>
      <c r="J16" s="9"/>
      <c r="K16" s="9">
        <f t="shared" ref="K16:K20" si="2">G16+H16+I16+J16</f>
        <v>1443</v>
      </c>
      <c r="M16" s="9">
        <f>G16</f>
        <v>433</v>
      </c>
      <c r="N16" s="9">
        <f>H16</f>
        <v>43</v>
      </c>
      <c r="O16" s="9">
        <f>I16</f>
        <v>967</v>
      </c>
      <c r="P16" s="9">
        <f>J16</f>
        <v>0</v>
      </c>
      <c r="Q16" s="9">
        <f t="shared" si="1"/>
        <v>1443</v>
      </c>
      <c r="R16" s="9"/>
      <c r="S16" s="9"/>
      <c r="T16" s="58"/>
      <c r="U16" s="9"/>
      <c r="V16" s="9"/>
      <c r="W16" s="9"/>
      <c r="Y16" s="3" t="s">
        <v>35</v>
      </c>
    </row>
    <row r="17" spans="2:25" x14ac:dyDescent="0.2">
      <c r="D17" s="61"/>
      <c r="E17" s="8" t="s">
        <v>36</v>
      </c>
      <c r="G17" s="9">
        <v>38</v>
      </c>
      <c r="H17" s="9">
        <v>4</v>
      </c>
      <c r="I17" s="9">
        <v>86</v>
      </c>
      <c r="J17" s="9"/>
      <c r="K17" s="9">
        <f t="shared" si="2"/>
        <v>128</v>
      </c>
      <c r="M17" s="9">
        <v>0</v>
      </c>
      <c r="N17" s="9">
        <v>0</v>
      </c>
      <c r="O17" s="9">
        <v>0</v>
      </c>
      <c r="P17" s="9">
        <v>0</v>
      </c>
      <c r="Q17" s="9">
        <f t="shared" si="1"/>
        <v>0</v>
      </c>
      <c r="R17" s="9"/>
      <c r="S17" s="9"/>
      <c r="T17" s="58"/>
      <c r="U17" s="9"/>
      <c r="V17" s="9"/>
      <c r="W17" s="9"/>
      <c r="Y17" s="12">
        <v>614800</v>
      </c>
    </row>
    <row r="18" spans="2:25" x14ac:dyDescent="0.2">
      <c r="E18" s="8" t="s">
        <v>37</v>
      </c>
      <c r="G18" s="9">
        <v>498</v>
      </c>
      <c r="H18" s="9">
        <v>43</v>
      </c>
      <c r="I18" s="9">
        <v>1123</v>
      </c>
      <c r="J18" s="9"/>
      <c r="K18" s="9">
        <f t="shared" si="2"/>
        <v>1664</v>
      </c>
      <c r="M18" s="9">
        <v>0</v>
      </c>
      <c r="N18" s="9">
        <v>0</v>
      </c>
      <c r="O18" s="9">
        <v>0</v>
      </c>
      <c r="P18" s="9">
        <v>0</v>
      </c>
      <c r="Q18" s="9">
        <f t="shared" si="1"/>
        <v>0</v>
      </c>
      <c r="R18" s="9"/>
      <c r="S18" s="9"/>
      <c r="T18" s="58"/>
      <c r="U18" s="9"/>
      <c r="V18" s="9"/>
      <c r="W18" s="9"/>
    </row>
    <row r="19" spans="2:25" x14ac:dyDescent="0.2">
      <c r="E19" s="8" t="s">
        <v>38</v>
      </c>
      <c r="G19" s="9">
        <v>4398</v>
      </c>
      <c r="H19" s="9">
        <v>292</v>
      </c>
      <c r="I19" s="9"/>
      <c r="J19" s="9"/>
      <c r="K19" s="9">
        <f t="shared" si="2"/>
        <v>4690</v>
      </c>
      <c r="M19" s="9">
        <f>G19</f>
        <v>4398</v>
      </c>
      <c r="N19" s="9">
        <f>H19</f>
        <v>292</v>
      </c>
      <c r="O19" s="9">
        <f>I19</f>
        <v>0</v>
      </c>
      <c r="P19" s="9">
        <f>J19</f>
        <v>0</v>
      </c>
      <c r="Q19" s="9">
        <f t="shared" si="1"/>
        <v>4690</v>
      </c>
      <c r="R19" s="9"/>
      <c r="S19" s="9"/>
      <c r="T19" s="58"/>
      <c r="U19" s="9"/>
      <c r="V19" s="9"/>
      <c r="W19" s="9"/>
      <c r="Y19" s="3" t="s">
        <v>39</v>
      </c>
    </row>
    <row r="20" spans="2:25" x14ac:dyDescent="0.2">
      <c r="E20" s="8" t="s">
        <v>40</v>
      </c>
      <c r="G20" s="13">
        <v>82</v>
      </c>
      <c r="H20" s="13">
        <v>4</v>
      </c>
      <c r="I20" s="13">
        <v>87</v>
      </c>
      <c r="J20" s="13"/>
      <c r="K20" s="13">
        <f t="shared" si="2"/>
        <v>173</v>
      </c>
      <c r="M20" s="9">
        <v>0</v>
      </c>
      <c r="N20" s="9">
        <v>0</v>
      </c>
      <c r="O20" s="9">
        <v>0</v>
      </c>
      <c r="P20" s="9">
        <v>0</v>
      </c>
      <c r="Q20" s="9">
        <f t="shared" si="1"/>
        <v>0</v>
      </c>
      <c r="R20" s="9"/>
      <c r="S20" s="9"/>
      <c r="T20" s="58"/>
      <c r="U20" s="9"/>
      <c r="V20" s="9"/>
      <c r="W20" s="9"/>
      <c r="Y20" s="12">
        <f>31030+1679</f>
        <v>32709</v>
      </c>
    </row>
    <row r="21" spans="2:25" x14ac:dyDescent="0.2">
      <c r="D21" s="53" t="s">
        <v>41</v>
      </c>
      <c r="E21" s="8"/>
      <c r="G21" s="14"/>
      <c r="H21" s="14"/>
      <c r="I21" s="14"/>
      <c r="J21" s="14">
        <f t="shared" ref="J21:K21" si="3">SUM(J15:J20)+J12+J9</f>
        <v>0</v>
      </c>
      <c r="K21" s="14">
        <f t="shared" si="3"/>
        <v>65695</v>
      </c>
      <c r="M21" s="15">
        <f>M9+M12+SUM(M15:M20)</f>
        <v>8665</v>
      </c>
      <c r="N21" s="15">
        <f>N9+N12+SUM(N15:N20)</f>
        <v>718</v>
      </c>
      <c r="O21" s="15">
        <f>O9+O12+SUM(O15:O20)</f>
        <v>8837</v>
      </c>
      <c r="P21" s="15">
        <f>P9+P12+SUM(P15:P20)</f>
        <v>0</v>
      </c>
      <c r="Q21" s="15">
        <f>Q9+Q12+SUM(Q15:Q20)</f>
        <v>18220</v>
      </c>
      <c r="R21" s="62"/>
      <c r="S21" s="62"/>
      <c r="T21" s="63">
        <f>464310+207900+20790</f>
        <v>693000</v>
      </c>
      <c r="U21" s="62"/>
      <c r="V21" s="62"/>
      <c r="W21" s="62"/>
    </row>
    <row r="22" spans="2:25" x14ac:dyDescent="0.2">
      <c r="E22" s="8"/>
      <c r="G22" s="9"/>
      <c r="H22" s="9"/>
      <c r="I22" s="9"/>
      <c r="J22" s="9"/>
      <c r="K22" s="9"/>
      <c r="M22" s="16"/>
      <c r="N22" s="9"/>
      <c r="O22" s="9"/>
      <c r="P22" s="9"/>
      <c r="Q22" s="9"/>
      <c r="R22" s="9"/>
      <c r="S22" s="9"/>
      <c r="T22" s="104"/>
      <c r="U22" s="9"/>
      <c r="V22" s="9"/>
      <c r="W22" s="9"/>
      <c r="Y22" s="3" t="s">
        <v>42</v>
      </c>
    </row>
    <row r="23" spans="2:25" x14ac:dyDescent="0.2">
      <c r="B23" s="53" t="s">
        <v>43</v>
      </c>
      <c r="E23" s="8" t="s">
        <v>44</v>
      </c>
      <c r="G23" s="13">
        <v>2106</v>
      </c>
      <c r="H23" s="13">
        <v>177</v>
      </c>
      <c r="I23" s="13">
        <v>4923</v>
      </c>
      <c r="J23" s="13"/>
      <c r="K23" s="13">
        <f>J23+I23+H23+G23</f>
        <v>7206</v>
      </c>
      <c r="M23" s="13">
        <f>$Q$23*G$83</f>
        <v>115.01352667534158</v>
      </c>
      <c r="N23" s="13">
        <f>$Q$23*H$83</f>
        <v>11.501352667534158</v>
      </c>
      <c r="O23" s="13">
        <f>$Q$23*I$83</f>
        <v>256.8635429082629</v>
      </c>
      <c r="P23" s="13">
        <v>0</v>
      </c>
      <c r="Q23" s="13">
        <f>K23*Y23</f>
        <v>383.3784222511386</v>
      </c>
      <c r="R23" s="17"/>
      <c r="S23" s="17"/>
      <c r="T23" s="18">
        <f>251603.59-K23</f>
        <v>244397.59</v>
      </c>
      <c r="U23" s="17"/>
      <c r="V23" s="17"/>
      <c r="W23" s="17"/>
      <c r="Y23" s="19">
        <f>Y20/Y17</f>
        <v>5.320266753415745E-2</v>
      </c>
    </row>
    <row r="24" spans="2:25" x14ac:dyDescent="0.2">
      <c r="B24" s="53"/>
      <c r="D24" s="53" t="s">
        <v>45</v>
      </c>
      <c r="E24" s="8"/>
      <c r="G24" s="14"/>
      <c r="H24" s="14"/>
      <c r="I24" s="14"/>
      <c r="J24" s="14"/>
      <c r="K24" s="14">
        <f>K23</f>
        <v>7206</v>
      </c>
      <c r="M24" s="14">
        <f>SUM(M23)</f>
        <v>115.01352667534158</v>
      </c>
      <c r="N24" s="14">
        <f>SUM(N23)</f>
        <v>11.501352667534158</v>
      </c>
      <c r="O24" s="14">
        <f>SUM(O23)</f>
        <v>256.8635429082629</v>
      </c>
      <c r="P24" s="14">
        <f>SUM(P23)</f>
        <v>0</v>
      </c>
      <c r="Q24" s="14">
        <f>SUM(M24:P24)</f>
        <v>383.37842225113866</v>
      </c>
      <c r="R24" s="14"/>
      <c r="S24" s="14"/>
      <c r="T24" s="64"/>
      <c r="U24" s="14"/>
      <c r="V24" s="14"/>
      <c r="W24" s="14"/>
    </row>
    <row r="25" spans="2:25" x14ac:dyDescent="0.2">
      <c r="B25" s="53"/>
    </row>
    <row r="26" spans="2:25" x14ac:dyDescent="0.2">
      <c r="B26" s="53" t="s">
        <v>46</v>
      </c>
      <c r="E26" s="8" t="s">
        <v>47</v>
      </c>
      <c r="G26" s="9">
        <v>35</v>
      </c>
      <c r="H26" s="9">
        <v>2</v>
      </c>
      <c r="I26" s="9">
        <v>91</v>
      </c>
      <c r="J26" s="9"/>
      <c r="K26" s="9">
        <f>G26+H26+I26+J26</f>
        <v>128</v>
      </c>
      <c r="M26" s="17">
        <v>0</v>
      </c>
      <c r="N26" s="17">
        <v>0</v>
      </c>
      <c r="O26" s="17">
        <v>0</v>
      </c>
      <c r="P26" s="9">
        <v>0</v>
      </c>
      <c r="Q26" s="9">
        <f t="shared" ref="Q26:Q31" si="4">SUM(M26:P26)</f>
        <v>0</v>
      </c>
      <c r="R26" s="9"/>
      <c r="S26" s="9"/>
      <c r="T26" s="9"/>
      <c r="U26" s="9"/>
      <c r="V26" s="9"/>
      <c r="W26" s="9"/>
    </row>
    <row r="27" spans="2:25" x14ac:dyDescent="0.2">
      <c r="B27" s="53"/>
      <c r="E27" s="8" t="s">
        <v>48</v>
      </c>
      <c r="G27" s="9">
        <v>173</v>
      </c>
      <c r="H27" s="9">
        <v>17</v>
      </c>
      <c r="I27" s="9">
        <v>387</v>
      </c>
      <c r="J27" s="9"/>
      <c r="K27" s="9">
        <f t="shared" ref="K27:K30" si="5">G27+H27+I27+J27</f>
        <v>577</v>
      </c>
      <c r="M27" s="9">
        <f>G27</f>
        <v>173</v>
      </c>
      <c r="N27" s="9">
        <f>H27</f>
        <v>17</v>
      </c>
      <c r="O27" s="9">
        <f>I27</f>
        <v>387</v>
      </c>
      <c r="P27" s="9">
        <f>J27</f>
        <v>0</v>
      </c>
      <c r="Q27" s="9">
        <f>SUM(M27:P27)</f>
        <v>577</v>
      </c>
      <c r="R27" s="9"/>
      <c r="S27" s="9"/>
      <c r="T27" s="9"/>
      <c r="U27" s="9"/>
      <c r="V27" s="9"/>
      <c r="W27" s="9"/>
    </row>
    <row r="28" spans="2:25" x14ac:dyDescent="0.2">
      <c r="B28" s="53"/>
      <c r="E28" s="6" t="s">
        <v>49</v>
      </c>
      <c r="G28" s="9"/>
      <c r="H28" s="9"/>
      <c r="I28" s="9"/>
      <c r="J28" s="9"/>
      <c r="K28" s="9">
        <f t="shared" si="5"/>
        <v>0</v>
      </c>
      <c r="M28" s="9">
        <v>0</v>
      </c>
      <c r="N28" s="9">
        <v>0</v>
      </c>
      <c r="O28" s="9">
        <v>0</v>
      </c>
      <c r="P28" s="9">
        <v>0</v>
      </c>
      <c r="Q28" s="9">
        <f t="shared" si="4"/>
        <v>0</v>
      </c>
      <c r="R28" s="9"/>
      <c r="S28" s="9"/>
      <c r="T28" s="9"/>
      <c r="U28" s="9"/>
      <c r="V28" s="9"/>
      <c r="W28" s="9"/>
    </row>
    <row r="29" spans="2:25" x14ac:dyDescent="0.2">
      <c r="B29" s="53"/>
      <c r="E29" s="8" t="s">
        <v>50</v>
      </c>
      <c r="G29" s="9">
        <v>105</v>
      </c>
      <c r="H29" s="9">
        <v>10</v>
      </c>
      <c r="I29" s="9">
        <f>234+390</f>
        <v>624</v>
      </c>
      <c r="J29" s="9"/>
      <c r="K29" s="9">
        <f t="shared" si="5"/>
        <v>739</v>
      </c>
      <c r="M29" s="9">
        <f t="shared" ref="M29:P30" si="6">G29</f>
        <v>105</v>
      </c>
      <c r="N29" s="9">
        <f t="shared" si="6"/>
        <v>10</v>
      </c>
      <c r="O29" s="9">
        <f t="shared" si="6"/>
        <v>624</v>
      </c>
      <c r="P29" s="9">
        <f t="shared" si="6"/>
        <v>0</v>
      </c>
      <c r="Q29" s="9">
        <f t="shared" si="4"/>
        <v>739</v>
      </c>
      <c r="R29" s="9"/>
      <c r="S29" s="9"/>
      <c r="T29" s="9"/>
      <c r="U29" s="9"/>
      <c r="V29" s="9"/>
      <c r="W29" s="9"/>
    </row>
    <row r="30" spans="2:25" x14ac:dyDescent="0.2">
      <c r="B30" s="53"/>
      <c r="E30" s="8" t="s">
        <v>51</v>
      </c>
      <c r="G30" s="13">
        <v>115</v>
      </c>
      <c r="H30" s="13">
        <v>10</v>
      </c>
      <c r="I30" s="13">
        <v>259</v>
      </c>
      <c r="J30" s="13"/>
      <c r="K30" s="13">
        <f t="shared" si="5"/>
        <v>384</v>
      </c>
      <c r="M30" s="13">
        <f t="shared" si="6"/>
        <v>115</v>
      </c>
      <c r="N30" s="13">
        <f t="shared" si="6"/>
        <v>10</v>
      </c>
      <c r="O30" s="13">
        <f t="shared" si="6"/>
        <v>259</v>
      </c>
      <c r="P30" s="13">
        <f>J30</f>
        <v>0</v>
      </c>
      <c r="Q30" s="13">
        <f t="shared" si="4"/>
        <v>384</v>
      </c>
      <c r="R30" s="17"/>
      <c r="S30" s="17"/>
      <c r="T30" s="17"/>
      <c r="U30" s="17"/>
      <c r="V30" s="17"/>
      <c r="W30" s="17"/>
    </row>
    <row r="31" spans="2:25" x14ac:dyDescent="0.2">
      <c r="B31" s="53"/>
      <c r="D31" s="53" t="s">
        <v>52</v>
      </c>
      <c r="G31" s="14"/>
      <c r="H31" s="14"/>
      <c r="I31" s="14"/>
      <c r="J31" s="14"/>
      <c r="K31" s="14">
        <f>SUM(K26:K30)</f>
        <v>1828</v>
      </c>
      <c r="M31" s="14">
        <f>SUM(M26:M30)</f>
        <v>393</v>
      </c>
      <c r="N31" s="14">
        <f>SUM(N26:N30)</f>
        <v>37</v>
      </c>
      <c r="O31" s="14">
        <f>SUM(O26:O30)</f>
        <v>1270</v>
      </c>
      <c r="P31" s="14">
        <f>SUM(P26:P30)</f>
        <v>0</v>
      </c>
      <c r="Q31" s="14">
        <f t="shared" si="4"/>
        <v>1700</v>
      </c>
      <c r="R31" s="14"/>
      <c r="S31" s="14"/>
      <c r="T31" s="14"/>
      <c r="U31" s="14"/>
      <c r="V31" s="14"/>
      <c r="W31" s="14"/>
    </row>
    <row r="32" spans="2:25" x14ac:dyDescent="0.2">
      <c r="B32" s="53"/>
    </row>
    <row r="33" spans="2:23" x14ac:dyDescent="0.2">
      <c r="B33" s="53" t="s">
        <v>53</v>
      </c>
      <c r="D33" s="53" t="s">
        <v>54</v>
      </c>
      <c r="E33" s="6" t="s">
        <v>55</v>
      </c>
      <c r="G33" s="9"/>
      <c r="H33" s="9"/>
      <c r="I33" s="9"/>
      <c r="J33" s="9"/>
      <c r="K33" s="9">
        <f>G33+H33+I33+J33</f>
        <v>0</v>
      </c>
      <c r="M33" s="9">
        <f t="shared" ref="M33:P34" si="7">G33</f>
        <v>0</v>
      </c>
      <c r="N33" s="9">
        <f t="shared" si="7"/>
        <v>0</v>
      </c>
      <c r="O33" s="9">
        <f t="shared" si="7"/>
        <v>0</v>
      </c>
      <c r="P33" s="9">
        <f t="shared" si="7"/>
        <v>0</v>
      </c>
      <c r="Q33" s="9">
        <f>SUM(M33:P33)</f>
        <v>0</v>
      </c>
      <c r="R33" s="9"/>
      <c r="S33" s="9"/>
      <c r="T33" s="9"/>
      <c r="U33" s="9"/>
      <c r="V33" s="9"/>
      <c r="W33" s="9"/>
    </row>
    <row r="34" spans="2:23" x14ac:dyDescent="0.2">
      <c r="B34" s="53" t="s">
        <v>56</v>
      </c>
      <c r="D34" s="53" t="s">
        <v>57</v>
      </c>
      <c r="E34" s="6" t="s">
        <v>58</v>
      </c>
      <c r="G34" s="9"/>
      <c r="H34" s="9"/>
      <c r="I34" s="9"/>
      <c r="J34" s="9"/>
      <c r="K34" s="9">
        <f t="shared" ref="K34:K42" si="8">G34+H34+I34+J34</f>
        <v>0</v>
      </c>
      <c r="M34" s="9">
        <f t="shared" si="7"/>
        <v>0</v>
      </c>
      <c r="N34" s="9">
        <f t="shared" si="7"/>
        <v>0</v>
      </c>
      <c r="O34" s="9">
        <f t="shared" si="7"/>
        <v>0</v>
      </c>
      <c r="P34" s="9">
        <f t="shared" si="7"/>
        <v>0</v>
      </c>
      <c r="Q34" s="9">
        <f>SUM(M34:P34)</f>
        <v>0</v>
      </c>
      <c r="R34" s="9"/>
      <c r="S34" s="9"/>
      <c r="T34" s="9"/>
      <c r="U34" s="9"/>
      <c r="V34" s="9"/>
      <c r="W34" s="9"/>
    </row>
    <row r="35" spans="2:23" x14ac:dyDescent="0.2">
      <c r="D35" s="53"/>
      <c r="K35" s="9">
        <f t="shared" si="8"/>
        <v>0</v>
      </c>
      <c r="Q35" s="9"/>
      <c r="R35" s="9"/>
      <c r="S35" s="9"/>
      <c r="T35" s="9"/>
      <c r="U35" s="9"/>
      <c r="V35" s="9"/>
      <c r="W35" s="9"/>
    </row>
    <row r="36" spans="2:23" x14ac:dyDescent="0.2">
      <c r="D36" s="53" t="s">
        <v>59</v>
      </c>
      <c r="E36" s="6" t="s">
        <v>60</v>
      </c>
      <c r="G36" s="9"/>
      <c r="H36" s="9"/>
      <c r="I36" s="9"/>
      <c r="J36" s="9"/>
      <c r="K36" s="9">
        <f t="shared" si="8"/>
        <v>0</v>
      </c>
      <c r="M36" s="9">
        <f t="shared" ref="M36:P41" si="9">G36</f>
        <v>0</v>
      </c>
      <c r="N36" s="9">
        <f t="shared" si="9"/>
        <v>0</v>
      </c>
      <c r="O36" s="9">
        <f t="shared" si="9"/>
        <v>0</v>
      </c>
      <c r="P36" s="9">
        <f t="shared" si="9"/>
        <v>0</v>
      </c>
      <c r="Q36" s="9">
        <f t="shared" ref="Q36:Q41" si="10">SUM(M36:P36)</f>
        <v>0</v>
      </c>
      <c r="R36" s="9"/>
      <c r="S36" s="9"/>
      <c r="T36" s="9"/>
      <c r="U36" s="9"/>
      <c r="V36" s="9"/>
      <c r="W36" s="9"/>
    </row>
    <row r="37" spans="2:23" x14ac:dyDescent="0.2">
      <c r="D37" s="53" t="s">
        <v>61</v>
      </c>
      <c r="E37" s="6" t="s">
        <v>62</v>
      </c>
      <c r="G37" s="9"/>
      <c r="H37" s="9"/>
      <c r="I37" s="9"/>
      <c r="J37" s="9"/>
      <c r="K37" s="9">
        <f t="shared" si="8"/>
        <v>0</v>
      </c>
      <c r="M37" s="9">
        <f t="shared" si="9"/>
        <v>0</v>
      </c>
      <c r="N37" s="9">
        <f t="shared" si="9"/>
        <v>0</v>
      </c>
      <c r="O37" s="9">
        <f t="shared" si="9"/>
        <v>0</v>
      </c>
      <c r="P37" s="9">
        <f t="shared" si="9"/>
        <v>0</v>
      </c>
      <c r="Q37" s="9">
        <f t="shared" si="10"/>
        <v>0</v>
      </c>
      <c r="R37" s="9"/>
      <c r="S37" s="9"/>
      <c r="T37" s="9"/>
      <c r="U37" s="9"/>
      <c r="V37" s="9"/>
      <c r="W37" s="9"/>
    </row>
    <row r="38" spans="2:23" x14ac:dyDescent="0.2">
      <c r="D38" s="53"/>
      <c r="E38" s="6" t="s">
        <v>63</v>
      </c>
      <c r="G38" s="9"/>
      <c r="H38" s="9"/>
      <c r="I38" s="9"/>
      <c r="J38" s="9"/>
      <c r="K38" s="9">
        <f t="shared" si="8"/>
        <v>0</v>
      </c>
      <c r="M38" s="9">
        <f t="shared" si="9"/>
        <v>0</v>
      </c>
      <c r="N38" s="9">
        <f t="shared" si="9"/>
        <v>0</v>
      </c>
      <c r="O38" s="9">
        <f t="shared" si="9"/>
        <v>0</v>
      </c>
      <c r="P38" s="9">
        <f t="shared" si="9"/>
        <v>0</v>
      </c>
      <c r="Q38" s="9">
        <f t="shared" si="10"/>
        <v>0</v>
      </c>
      <c r="R38" s="9"/>
      <c r="S38" s="9"/>
      <c r="T38" s="9"/>
      <c r="U38" s="9"/>
      <c r="V38" s="9"/>
      <c r="W38" s="9"/>
    </row>
    <row r="39" spans="2:23" x14ac:dyDescent="0.2">
      <c r="D39" s="53"/>
      <c r="E39" s="6" t="s">
        <v>64</v>
      </c>
      <c r="G39" s="9"/>
      <c r="H39" s="9"/>
      <c r="I39" s="9"/>
      <c r="J39" s="9"/>
      <c r="K39" s="9">
        <f t="shared" si="8"/>
        <v>0</v>
      </c>
      <c r="M39" s="9">
        <f t="shared" si="9"/>
        <v>0</v>
      </c>
      <c r="N39" s="9">
        <f t="shared" si="9"/>
        <v>0</v>
      </c>
      <c r="O39" s="9">
        <f t="shared" si="9"/>
        <v>0</v>
      </c>
      <c r="P39" s="9">
        <f t="shared" si="9"/>
        <v>0</v>
      </c>
      <c r="Q39" s="9">
        <f t="shared" si="10"/>
        <v>0</v>
      </c>
      <c r="R39" s="9"/>
      <c r="S39" s="9"/>
      <c r="T39" s="9"/>
      <c r="U39" s="9"/>
      <c r="V39" s="9"/>
      <c r="W39" s="9"/>
    </row>
    <row r="40" spans="2:23" x14ac:dyDescent="0.2">
      <c r="D40" s="53"/>
      <c r="E40" s="6" t="s">
        <v>65</v>
      </c>
      <c r="G40" s="9"/>
      <c r="H40" s="9"/>
      <c r="I40" s="9"/>
      <c r="J40" s="9"/>
      <c r="K40" s="9">
        <f t="shared" si="8"/>
        <v>0</v>
      </c>
      <c r="M40" s="9">
        <f t="shared" si="9"/>
        <v>0</v>
      </c>
      <c r="N40" s="9">
        <f t="shared" si="9"/>
        <v>0</v>
      </c>
      <c r="O40" s="9">
        <f t="shared" si="9"/>
        <v>0</v>
      </c>
      <c r="P40" s="9">
        <f t="shared" si="9"/>
        <v>0</v>
      </c>
      <c r="Q40" s="9">
        <f t="shared" si="10"/>
        <v>0</v>
      </c>
      <c r="R40" s="9"/>
      <c r="S40" s="9"/>
      <c r="T40" s="9"/>
      <c r="U40" s="9"/>
      <c r="V40" s="9"/>
      <c r="W40" s="9"/>
    </row>
    <row r="41" spans="2:23" x14ac:dyDescent="0.2">
      <c r="D41" s="53"/>
      <c r="E41" s="6" t="s">
        <v>66</v>
      </c>
      <c r="G41" s="9">
        <v>10161</v>
      </c>
      <c r="H41" s="9"/>
      <c r="I41" s="9"/>
      <c r="J41" s="9"/>
      <c r="K41" s="9">
        <f t="shared" si="8"/>
        <v>10161</v>
      </c>
      <c r="M41" s="9">
        <f t="shared" si="9"/>
        <v>10161</v>
      </c>
      <c r="N41" s="9">
        <f t="shared" si="9"/>
        <v>0</v>
      </c>
      <c r="O41" s="9">
        <f t="shared" si="9"/>
        <v>0</v>
      </c>
      <c r="P41" s="9">
        <f t="shared" si="9"/>
        <v>0</v>
      </c>
      <c r="Q41" s="9">
        <f t="shared" si="10"/>
        <v>10161</v>
      </c>
      <c r="R41" s="9"/>
      <c r="S41" s="9"/>
      <c r="T41" s="9"/>
      <c r="U41" s="9"/>
      <c r="V41" s="9"/>
      <c r="W41" s="9"/>
    </row>
    <row r="42" spans="2:23" x14ac:dyDescent="0.2">
      <c r="D42" s="53"/>
      <c r="K42" s="9">
        <f t="shared" si="8"/>
        <v>0</v>
      </c>
      <c r="Q42" s="9"/>
      <c r="R42" s="9"/>
      <c r="S42" s="9"/>
      <c r="T42" s="9"/>
      <c r="U42" s="9"/>
      <c r="V42" s="9"/>
      <c r="W42" s="9"/>
    </row>
    <row r="43" spans="2:23" x14ac:dyDescent="0.2">
      <c r="D43" s="53" t="s">
        <v>67</v>
      </c>
      <c r="G43" s="9"/>
      <c r="H43" s="9"/>
      <c r="I43" s="9"/>
      <c r="J43" s="9">
        <v>0</v>
      </c>
      <c r="K43" s="9">
        <f>SUM(G43:J43)</f>
        <v>0</v>
      </c>
      <c r="M43" s="9">
        <f>G43</f>
        <v>0</v>
      </c>
      <c r="N43" s="9">
        <f>H43</f>
        <v>0</v>
      </c>
      <c r="O43" s="9">
        <f>I43</f>
        <v>0</v>
      </c>
      <c r="P43" s="9">
        <f>J43</f>
        <v>0</v>
      </c>
      <c r="Q43" s="9">
        <f>SUM(M43:P43)</f>
        <v>0</v>
      </c>
      <c r="R43" s="9"/>
      <c r="S43" s="9"/>
      <c r="T43" s="9"/>
      <c r="U43" s="9"/>
      <c r="V43" s="9"/>
      <c r="W43" s="9"/>
    </row>
    <row r="44" spans="2:23" x14ac:dyDescent="0.2">
      <c r="D44" s="53"/>
    </row>
    <row r="45" spans="2:23" x14ac:dyDescent="0.2">
      <c r="D45" s="53" t="s">
        <v>68</v>
      </c>
      <c r="G45" s="9"/>
      <c r="H45" s="9"/>
      <c r="I45" s="9"/>
      <c r="J45" s="9">
        <v>0</v>
      </c>
      <c r="K45" s="9">
        <f>SUM(G45:J45)</f>
        <v>0</v>
      </c>
      <c r="M45" s="9">
        <f>G45</f>
        <v>0</v>
      </c>
      <c r="N45" s="9">
        <f>H45</f>
        <v>0</v>
      </c>
      <c r="O45" s="9">
        <f>I45</f>
        <v>0</v>
      </c>
      <c r="P45" s="9">
        <f>J45</f>
        <v>0</v>
      </c>
      <c r="Q45" s="9">
        <f>SUM(M45:P45)</f>
        <v>0</v>
      </c>
      <c r="R45" s="9"/>
      <c r="S45" s="9"/>
      <c r="T45" s="9"/>
      <c r="U45" s="9"/>
      <c r="V45" s="9"/>
      <c r="W45" s="9"/>
    </row>
    <row r="46" spans="2:23" x14ac:dyDescent="0.2">
      <c r="D46" s="53"/>
    </row>
    <row r="47" spans="2:23" x14ac:dyDescent="0.2">
      <c r="D47" s="53" t="s">
        <v>69</v>
      </c>
      <c r="G47" s="9"/>
      <c r="H47" s="9"/>
      <c r="I47" s="9"/>
      <c r="J47" s="9">
        <v>0</v>
      </c>
      <c r="K47" s="9">
        <f>SUM(G47:J47)</f>
        <v>0</v>
      </c>
      <c r="M47" s="9">
        <f>G47</f>
        <v>0</v>
      </c>
      <c r="N47" s="9">
        <f>H47</f>
        <v>0</v>
      </c>
      <c r="O47" s="9">
        <f>I47</f>
        <v>0</v>
      </c>
      <c r="P47" s="9">
        <f>J47</f>
        <v>0</v>
      </c>
      <c r="Q47" s="9">
        <f>SUM(M47:P47)</f>
        <v>0</v>
      </c>
      <c r="R47" s="9"/>
      <c r="S47" s="9"/>
      <c r="T47" s="9"/>
      <c r="U47" s="9"/>
      <c r="V47" s="9"/>
      <c r="W47" s="9"/>
    </row>
    <row r="48" spans="2:23" x14ac:dyDescent="0.2">
      <c r="D48" s="53"/>
    </row>
    <row r="49" spans="2:23" x14ac:dyDescent="0.2">
      <c r="D49" s="53" t="s">
        <v>70</v>
      </c>
      <c r="G49" s="9"/>
      <c r="H49" s="9"/>
      <c r="I49" s="9"/>
      <c r="J49" s="9">
        <v>0</v>
      </c>
      <c r="K49" s="9">
        <f>SUM(G49:J49)</f>
        <v>0</v>
      </c>
      <c r="M49" s="9">
        <f>G49</f>
        <v>0</v>
      </c>
      <c r="N49" s="9">
        <f>H49</f>
        <v>0</v>
      </c>
      <c r="O49" s="9">
        <f>I49</f>
        <v>0</v>
      </c>
      <c r="P49" s="9">
        <f>J49</f>
        <v>0</v>
      </c>
      <c r="Q49" s="9">
        <f>SUM(M49:P49)</f>
        <v>0</v>
      </c>
      <c r="R49" s="9"/>
      <c r="S49" s="9"/>
      <c r="T49" s="9"/>
      <c r="U49" s="9"/>
      <c r="V49" s="9"/>
      <c r="W49" s="9"/>
    </row>
    <row r="50" spans="2:23" x14ac:dyDescent="0.2">
      <c r="D50" s="53" t="s">
        <v>71</v>
      </c>
    </row>
    <row r="51" spans="2:23" x14ac:dyDescent="0.2">
      <c r="D51" s="53"/>
    </row>
    <row r="52" spans="2:23" x14ac:dyDescent="0.2">
      <c r="B52" s="53"/>
      <c r="D52" s="53" t="s">
        <v>66</v>
      </c>
      <c r="G52" s="13"/>
      <c r="H52" s="13"/>
      <c r="I52" s="13"/>
      <c r="J52" s="13">
        <v>0</v>
      </c>
      <c r="K52" s="13">
        <f>SUM(G52:J52)</f>
        <v>0</v>
      </c>
      <c r="M52" s="13">
        <f>G52</f>
        <v>0</v>
      </c>
      <c r="N52" s="13">
        <f>H52</f>
        <v>0</v>
      </c>
      <c r="O52" s="13">
        <f>I52</f>
        <v>0</v>
      </c>
      <c r="P52" s="13">
        <f>J52</f>
        <v>0</v>
      </c>
      <c r="Q52" s="13">
        <f>SUM(M52:P52)</f>
        <v>0</v>
      </c>
      <c r="R52" s="17"/>
      <c r="S52" s="17"/>
      <c r="T52" s="17"/>
      <c r="U52" s="17"/>
      <c r="V52" s="17"/>
      <c r="W52" s="17"/>
    </row>
    <row r="53" spans="2:23" x14ac:dyDescent="0.2">
      <c r="D53" s="53" t="s">
        <v>72</v>
      </c>
      <c r="G53" s="14"/>
      <c r="H53" s="14"/>
      <c r="I53" s="14"/>
      <c r="J53" s="14">
        <f>SUM(J33:J52)</f>
        <v>0</v>
      </c>
      <c r="K53" s="14">
        <f>SUM(G53:J53)</f>
        <v>0</v>
      </c>
      <c r="M53" s="14">
        <f>SUM(M33:M52)</f>
        <v>10161</v>
      </c>
      <c r="N53" s="14">
        <f>SUM(N33:N52)</f>
        <v>0</v>
      </c>
      <c r="O53" s="14">
        <f>SUM(O33:O52)</f>
        <v>0</v>
      </c>
      <c r="P53" s="14">
        <f>SUM(P33:P52)</f>
        <v>0</v>
      </c>
      <c r="Q53" s="14">
        <f>SUM(M53:P53)</f>
        <v>10161</v>
      </c>
      <c r="R53" s="14"/>
      <c r="S53" s="14"/>
      <c r="T53" s="14"/>
      <c r="U53" s="14"/>
      <c r="V53" s="14"/>
      <c r="W53" s="14"/>
    </row>
    <row r="54" spans="2:23" x14ac:dyDescent="0.2">
      <c r="B54" s="53"/>
      <c r="G54" s="9"/>
    </row>
    <row r="55" spans="2:23" x14ac:dyDescent="0.2">
      <c r="B55" s="53" t="s">
        <v>73</v>
      </c>
      <c r="G55" s="9"/>
      <c r="H55" s="9"/>
      <c r="I55" s="9"/>
      <c r="J55" s="9">
        <v>0</v>
      </c>
      <c r="K55" s="9">
        <f>SUM(G55:J55)</f>
        <v>0</v>
      </c>
      <c r="M55" s="9">
        <v>0</v>
      </c>
      <c r="N55" s="9">
        <v>0</v>
      </c>
      <c r="O55" s="9">
        <v>0</v>
      </c>
      <c r="P55" s="9">
        <v>0</v>
      </c>
      <c r="Q55" s="9">
        <f>SUM(M55:P55)</f>
        <v>0</v>
      </c>
      <c r="R55" s="9"/>
      <c r="S55" s="9"/>
      <c r="T55" s="9"/>
      <c r="U55" s="9"/>
      <c r="V55" s="9"/>
      <c r="W55" s="9"/>
    </row>
    <row r="56" spans="2:23" x14ac:dyDescent="0.2">
      <c r="B56" s="53" t="s">
        <v>74</v>
      </c>
      <c r="D56" s="9"/>
    </row>
    <row r="57" spans="2:23" ht="13.5" thickBot="1" x14ac:dyDescent="0.25">
      <c r="K57" s="9"/>
      <c r="Q57" s="65"/>
      <c r="R57" s="66"/>
      <c r="S57" s="66"/>
      <c r="T57" s="66"/>
      <c r="U57" s="66"/>
      <c r="V57" s="66"/>
      <c r="W57" s="66"/>
    </row>
    <row r="58" spans="2:23" x14ac:dyDescent="0.2">
      <c r="B58" s="53" t="s">
        <v>75</v>
      </c>
      <c r="E58" s="9"/>
      <c r="G58" s="67"/>
      <c r="H58" s="67"/>
      <c r="I58" s="67"/>
      <c r="J58" s="67">
        <f>J21+J24+J31+J53+J55</f>
        <v>0</v>
      </c>
      <c r="K58" s="67">
        <f>SUM(G58:J58)</f>
        <v>0</v>
      </c>
      <c r="L58" s="68"/>
      <c r="M58" s="67">
        <f>M21+M24+M31+M53+M55</f>
        <v>19334.013526675342</v>
      </c>
      <c r="N58" s="67">
        <f>N21+N24+N31+N53+N55</f>
        <v>766.50135266753421</v>
      </c>
      <c r="O58" s="67">
        <f>O21+O24+O31+O53+O55</f>
        <v>10363.863542908262</v>
      </c>
      <c r="P58" s="67">
        <f>P21+P24+P31+P53+P55</f>
        <v>0</v>
      </c>
      <c r="Q58" s="67">
        <f>SUM(M58:P58)</f>
        <v>30464.378422251139</v>
      </c>
      <c r="R58" s="62"/>
      <c r="S58" s="62"/>
      <c r="T58" s="62"/>
      <c r="U58" s="62"/>
      <c r="V58" s="62"/>
      <c r="W58" s="62"/>
    </row>
    <row r="61" spans="2:23" ht="14.25" x14ac:dyDescent="0.2">
      <c r="B61" s="57" t="s">
        <v>76</v>
      </c>
    </row>
    <row r="62" spans="2:23" x14ac:dyDescent="0.2">
      <c r="E62" s="8"/>
    </row>
    <row r="63" spans="2:23" x14ac:dyDescent="0.2">
      <c r="D63" s="6" t="s">
        <v>77</v>
      </c>
      <c r="E63" s="8" t="s">
        <v>26</v>
      </c>
      <c r="G63" s="9">
        <v>40000</v>
      </c>
      <c r="H63" s="9">
        <v>3000</v>
      </c>
      <c r="I63" s="9">
        <v>90000</v>
      </c>
      <c r="J63" s="9"/>
      <c r="K63" s="9">
        <f>G63+H63+I63</f>
        <v>133000</v>
      </c>
      <c r="M63" s="9">
        <f>Q63*G83</f>
        <v>13503.072000000002</v>
      </c>
      <c r="N63" s="9">
        <f>Q63*H83</f>
        <v>1350.3072000000002</v>
      </c>
      <c r="O63" s="9">
        <f>Q63*I83</f>
        <v>30156.860800000006</v>
      </c>
      <c r="P63" s="9">
        <f t="shared" ref="P63" si="11">J63</f>
        <v>0</v>
      </c>
      <c r="Q63" s="9">
        <f>K63-((((96*114.57)*8)*1))</f>
        <v>45010.240000000005</v>
      </c>
    </row>
    <row r="64" spans="2:23" x14ac:dyDescent="0.2">
      <c r="E64" s="8"/>
      <c r="G64" s="9"/>
      <c r="H64" s="9"/>
      <c r="I64" s="9"/>
      <c r="J64" s="9"/>
      <c r="K64" s="9"/>
      <c r="M64" s="9"/>
      <c r="N64" s="9"/>
      <c r="O64" s="9"/>
      <c r="P64" s="9"/>
      <c r="Q64" s="9"/>
    </row>
    <row r="65" spans="1:24" x14ac:dyDescent="0.2">
      <c r="D65" s="6" t="s">
        <v>94</v>
      </c>
      <c r="E65" s="8" t="s">
        <v>26</v>
      </c>
      <c r="G65" s="9"/>
      <c r="H65" s="9"/>
      <c r="I65" s="9">
        <v>91590</v>
      </c>
      <c r="J65" s="9">
        <v>0</v>
      </c>
      <c r="K65" s="9">
        <f>I65+H65+G65</f>
        <v>91590</v>
      </c>
      <c r="M65" s="9">
        <f>G65</f>
        <v>0</v>
      </c>
      <c r="N65" s="9">
        <f>H65</f>
        <v>0</v>
      </c>
      <c r="O65" s="9">
        <f>I65</f>
        <v>91590</v>
      </c>
      <c r="P65" s="9">
        <f>J65</f>
        <v>0</v>
      </c>
      <c r="Q65" s="9">
        <f>K65</f>
        <v>91590</v>
      </c>
    </row>
    <row r="66" spans="1:24" x14ac:dyDescent="0.2">
      <c r="E66" s="8"/>
    </row>
    <row r="67" spans="1:24" s="3" customFormat="1" x14ac:dyDescent="0.2">
      <c r="A67" s="6"/>
      <c r="B67" s="6"/>
      <c r="C67" s="6"/>
      <c r="D67" s="6" t="s">
        <v>78</v>
      </c>
      <c r="E67" s="8" t="s">
        <v>26</v>
      </c>
      <c r="F67" s="6"/>
      <c r="G67" s="9"/>
      <c r="H67" s="9"/>
      <c r="I67" s="9"/>
      <c r="J67" s="9">
        <v>0</v>
      </c>
      <c r="K67" s="9">
        <f>G67+H67+I67</f>
        <v>0</v>
      </c>
      <c r="L67" s="6"/>
      <c r="M67" s="9">
        <f>G67</f>
        <v>0</v>
      </c>
      <c r="N67" s="9">
        <f>H67</f>
        <v>0</v>
      </c>
      <c r="O67" s="9">
        <f>I67</f>
        <v>0</v>
      </c>
      <c r="P67" s="9">
        <f>J67</f>
        <v>0</v>
      </c>
      <c r="Q67" s="9">
        <f>K67</f>
        <v>0</v>
      </c>
      <c r="R67" s="9"/>
      <c r="S67" s="9"/>
      <c r="T67" s="9"/>
      <c r="U67" s="9"/>
      <c r="V67" s="9"/>
      <c r="W67" s="9"/>
      <c r="X67" s="6"/>
    </row>
    <row r="68" spans="1:24" s="3" customFormat="1" ht="13.5" thickBot="1" x14ac:dyDescent="0.25">
      <c r="A68" s="6"/>
      <c r="B68" s="6"/>
      <c r="C68" s="6"/>
      <c r="D68" s="6"/>
      <c r="E68" s="6"/>
      <c r="F68" s="6"/>
      <c r="G68" s="6"/>
      <c r="H68" s="6"/>
      <c r="I68" s="6"/>
      <c r="J68" s="6"/>
      <c r="K68" s="6"/>
      <c r="L68" s="6"/>
      <c r="M68" s="6"/>
      <c r="N68" s="6"/>
      <c r="O68" s="6"/>
      <c r="P68" s="6"/>
      <c r="Q68" s="6"/>
      <c r="R68" s="6"/>
      <c r="S68" s="6"/>
      <c r="T68" s="6"/>
      <c r="U68" s="6"/>
      <c r="V68" s="6"/>
      <c r="W68" s="6"/>
      <c r="X68" s="31"/>
    </row>
    <row r="69" spans="1:24" s="3" customFormat="1" ht="13.5" thickBot="1" x14ac:dyDescent="0.25">
      <c r="A69" s="6"/>
      <c r="B69" s="53" t="s">
        <v>79</v>
      </c>
      <c r="C69" s="6"/>
      <c r="D69" s="6"/>
      <c r="E69" s="8" t="s">
        <v>26</v>
      </c>
      <c r="F69" s="6"/>
      <c r="G69" s="67">
        <f>G67+G63</f>
        <v>40000</v>
      </c>
      <c r="H69" s="67">
        <f>H67+H63</f>
        <v>3000</v>
      </c>
      <c r="I69" s="67">
        <f>I67+I63+I65</f>
        <v>181590</v>
      </c>
      <c r="J69" s="67">
        <f t="shared" ref="H69:Q70" si="12">J67</f>
        <v>0</v>
      </c>
      <c r="K69" s="67">
        <f>K67+K63+K65</f>
        <v>224590</v>
      </c>
      <c r="L69" s="67">
        <f t="shared" ref="L69:Q69" si="13">L67+L63+L65</f>
        <v>0</v>
      </c>
      <c r="M69" s="67">
        <f t="shared" si="13"/>
        <v>13503.072000000002</v>
      </c>
      <c r="N69" s="67">
        <f t="shared" si="13"/>
        <v>1350.3072000000002</v>
      </c>
      <c r="O69" s="67">
        <f>O67+O63+O65</f>
        <v>121746.86080000001</v>
      </c>
      <c r="P69" s="67">
        <f t="shared" si="13"/>
        <v>0</v>
      </c>
      <c r="Q69" s="67">
        <f t="shared" si="13"/>
        <v>136600.24</v>
      </c>
      <c r="R69" s="62"/>
      <c r="S69" s="62"/>
      <c r="T69" s="62"/>
      <c r="U69" s="62"/>
      <c r="V69" s="62"/>
      <c r="W69" s="62"/>
      <c r="X69" s="66"/>
    </row>
    <row r="70" spans="1:24" s="3" customFormat="1" x14ac:dyDescent="0.2">
      <c r="A70" s="6"/>
      <c r="B70" s="53"/>
      <c r="C70" s="6"/>
      <c r="D70" s="6"/>
      <c r="E70" s="8" t="s">
        <v>28</v>
      </c>
      <c r="F70" s="6"/>
      <c r="G70" s="67">
        <f>G68</f>
        <v>0</v>
      </c>
      <c r="H70" s="67">
        <f t="shared" si="12"/>
        <v>0</v>
      </c>
      <c r="I70" s="67">
        <f t="shared" si="12"/>
        <v>0</v>
      </c>
      <c r="J70" s="67">
        <f t="shared" si="12"/>
        <v>0</v>
      </c>
      <c r="K70" s="67">
        <f t="shared" si="12"/>
        <v>0</v>
      </c>
      <c r="L70" s="6"/>
      <c r="M70" s="67">
        <f t="shared" si="12"/>
        <v>0</v>
      </c>
      <c r="N70" s="67">
        <f t="shared" si="12"/>
        <v>0</v>
      </c>
      <c r="O70" s="67">
        <f t="shared" si="12"/>
        <v>0</v>
      </c>
      <c r="P70" s="67">
        <f t="shared" si="12"/>
        <v>0</v>
      </c>
      <c r="Q70" s="67">
        <f t="shared" si="12"/>
        <v>0</v>
      </c>
      <c r="R70" s="69"/>
      <c r="S70" s="69"/>
      <c r="T70" s="69"/>
      <c r="U70" s="69"/>
      <c r="V70" s="69"/>
      <c r="W70" s="69"/>
      <c r="X70" s="6"/>
    </row>
    <row r="71" spans="1:24" s="3" customFormat="1" x14ac:dyDescent="0.2">
      <c r="A71" s="6"/>
      <c r="B71" s="6"/>
      <c r="C71" s="6"/>
      <c r="D71" s="6"/>
      <c r="E71" s="6"/>
      <c r="F71" s="6"/>
      <c r="G71" s="6"/>
      <c r="H71" s="6"/>
      <c r="I71" s="6"/>
      <c r="J71" s="6"/>
      <c r="K71" s="9"/>
      <c r="L71" s="6"/>
      <c r="M71" s="6"/>
      <c r="N71" s="6"/>
      <c r="O71" s="6"/>
      <c r="P71" s="6"/>
      <c r="Q71" s="6"/>
      <c r="R71" s="6"/>
      <c r="S71" s="6"/>
      <c r="T71" s="6"/>
      <c r="U71" s="6"/>
      <c r="V71" s="6"/>
      <c r="W71" s="6"/>
      <c r="X71" s="9"/>
    </row>
    <row r="72" spans="1:24" s="3" customFormat="1" ht="13.5" thickBot="1" x14ac:dyDescent="0.25">
      <c r="A72" s="6"/>
      <c r="B72" s="6"/>
      <c r="C72" s="6"/>
      <c r="D72" s="6"/>
      <c r="E72" s="6"/>
      <c r="F72" s="6"/>
      <c r="G72" s="6"/>
      <c r="H72" s="6"/>
      <c r="I72" s="6"/>
      <c r="J72" s="6"/>
      <c r="K72" s="6"/>
      <c r="L72" s="6"/>
      <c r="M72" s="6"/>
      <c r="N72" s="6"/>
      <c r="O72" s="6"/>
      <c r="P72" s="6"/>
      <c r="Q72" s="6"/>
      <c r="R72" s="6"/>
      <c r="S72" s="6"/>
      <c r="T72" s="6"/>
      <c r="U72" s="6"/>
      <c r="V72" s="6"/>
      <c r="W72" s="6"/>
      <c r="X72" s="6"/>
    </row>
    <row r="73" spans="1:24" s="3" customFormat="1" ht="15" thickBot="1" x14ac:dyDescent="0.25">
      <c r="A73" s="6"/>
      <c r="B73" s="57" t="s">
        <v>80</v>
      </c>
      <c r="C73" s="6"/>
      <c r="D73" s="6"/>
      <c r="E73" s="6"/>
      <c r="F73" s="6"/>
      <c r="G73" s="21">
        <f>G58+G69</f>
        <v>40000</v>
      </c>
      <c r="H73" s="21">
        <f t="shared" ref="H73:P73" si="14">H58+H69</f>
        <v>3000</v>
      </c>
      <c r="I73" s="21">
        <f t="shared" si="14"/>
        <v>181590</v>
      </c>
      <c r="J73" s="21">
        <f t="shared" si="14"/>
        <v>0</v>
      </c>
      <c r="K73" s="21">
        <f t="shared" si="14"/>
        <v>224590</v>
      </c>
      <c r="L73" s="21">
        <f t="shared" si="14"/>
        <v>0</v>
      </c>
      <c r="M73" s="21">
        <f>M58+M69</f>
        <v>32837.085526675342</v>
      </c>
      <c r="N73" s="21">
        <f>N58+N69</f>
        <v>2116.8085526675345</v>
      </c>
      <c r="O73" s="21">
        <f>O58+O69</f>
        <v>132110.72434290827</v>
      </c>
      <c r="P73" s="21">
        <f t="shared" si="14"/>
        <v>0</v>
      </c>
      <c r="Q73" s="21">
        <f>Q58+Q69</f>
        <v>167064.61842225114</v>
      </c>
      <c r="R73" s="62"/>
      <c r="S73" s="62"/>
      <c r="T73" s="62"/>
      <c r="U73" s="62"/>
      <c r="V73" s="62"/>
      <c r="W73" s="62"/>
      <c r="X73" s="6"/>
    </row>
    <row r="74" spans="1:24" s="3" customFormat="1" ht="13.5" thickTop="1" x14ac:dyDescent="0.2">
      <c r="A74" s="6"/>
      <c r="B74" s="6"/>
      <c r="C74" s="6"/>
      <c r="D74" s="6"/>
      <c r="E74" s="6"/>
      <c r="F74" s="6"/>
      <c r="G74" s="6"/>
      <c r="H74" s="6"/>
      <c r="I74" s="22"/>
      <c r="J74" s="6"/>
      <c r="K74" s="6"/>
      <c r="L74" s="6"/>
      <c r="M74" s="6"/>
      <c r="N74" s="6"/>
      <c r="O74" s="23"/>
      <c r="P74" s="6"/>
      <c r="Q74" s="6"/>
      <c r="R74" s="6"/>
      <c r="S74" s="6"/>
      <c r="T74" s="6"/>
      <c r="U74" s="6"/>
      <c r="V74" s="6"/>
      <c r="W74" s="6"/>
      <c r="X74" s="6"/>
    </row>
    <row r="75" spans="1:24" x14ac:dyDescent="0.2">
      <c r="I75" s="22"/>
      <c r="K75" s="9"/>
      <c r="O75" s="23"/>
    </row>
    <row r="76" spans="1:24" x14ac:dyDescent="0.2">
      <c r="G76" s="61"/>
      <c r="H76" s="61"/>
      <c r="I76" s="61"/>
      <c r="J76" s="9"/>
      <c r="K76" s="113"/>
      <c r="O76" s="23"/>
    </row>
    <row r="77" spans="1:24" x14ac:dyDescent="0.2">
      <c r="G77" s="22"/>
      <c r="H77" s="22"/>
      <c r="I77" s="22"/>
      <c r="K77" s="113"/>
      <c r="O77" s="35"/>
    </row>
    <row r="78" spans="1:24" x14ac:dyDescent="0.2">
      <c r="G78" s="24"/>
      <c r="H78" s="24"/>
      <c r="I78" s="24"/>
      <c r="K78" s="9"/>
      <c r="O78" s="23"/>
    </row>
    <row r="79" spans="1:24" x14ac:dyDescent="0.2">
      <c r="G79" s="22"/>
      <c r="H79" s="22"/>
      <c r="I79" s="22"/>
      <c r="J79" s="9"/>
      <c r="K79" s="9"/>
      <c r="M79" s="70"/>
      <c r="N79" s="70"/>
      <c r="O79" s="25"/>
      <c r="P79" s="70"/>
      <c r="Q79" s="70"/>
      <c r="R79" s="70"/>
      <c r="S79" s="70"/>
      <c r="T79" s="70"/>
      <c r="U79" s="70"/>
    </row>
    <row r="80" spans="1:24" x14ac:dyDescent="0.2">
      <c r="G80" s="22"/>
      <c r="H80" s="22"/>
      <c r="I80" s="22"/>
      <c r="K80" s="9"/>
      <c r="M80" s="70"/>
      <c r="N80" s="70"/>
      <c r="O80" s="25"/>
      <c r="P80" s="70"/>
      <c r="Q80" s="70"/>
      <c r="R80" s="70"/>
      <c r="S80" s="70"/>
      <c r="T80" s="70"/>
      <c r="U80" s="70"/>
    </row>
    <row r="81" spans="5:25" x14ac:dyDescent="0.2">
      <c r="G81" s="22"/>
      <c r="H81" s="22"/>
      <c r="I81" s="22"/>
      <c r="M81" s="70"/>
      <c r="N81" s="70"/>
      <c r="O81" s="25"/>
      <c r="P81" s="70"/>
      <c r="Q81" s="70"/>
      <c r="R81" s="70"/>
      <c r="S81" s="70"/>
      <c r="T81" s="70"/>
      <c r="U81" s="70"/>
    </row>
    <row r="82" spans="5:25" ht="13.5" thickBot="1" x14ac:dyDescent="0.25">
      <c r="M82" s="70"/>
      <c r="N82" s="70"/>
      <c r="O82" s="70"/>
      <c r="P82" s="70"/>
      <c r="Q82" s="70"/>
      <c r="R82" s="70"/>
      <c r="S82" s="70"/>
      <c r="T82" s="70"/>
      <c r="U82" s="70"/>
    </row>
    <row r="83" spans="5:25" x14ac:dyDescent="0.2">
      <c r="E83" s="72"/>
      <c r="F83" s="73"/>
      <c r="G83" s="74">
        <v>0.3</v>
      </c>
      <c r="H83" s="74">
        <v>0.03</v>
      </c>
      <c r="I83" s="74">
        <v>0.67</v>
      </c>
      <c r="J83" s="73"/>
      <c r="K83" s="96"/>
      <c r="M83" s="75"/>
      <c r="N83" s="76"/>
      <c r="O83" s="76"/>
      <c r="P83" s="76"/>
      <c r="Q83" s="77"/>
      <c r="R83" s="60"/>
      <c r="S83" s="60"/>
      <c r="T83" s="60"/>
      <c r="U83" s="60"/>
    </row>
    <row r="84" spans="5:25" x14ac:dyDescent="0.2">
      <c r="E84" s="50"/>
      <c r="F84" s="31"/>
      <c r="G84" s="31"/>
      <c r="H84" s="31"/>
      <c r="I84" s="31"/>
      <c r="J84" s="31"/>
      <c r="K84" s="78"/>
      <c r="M84" s="26"/>
      <c r="N84" s="60"/>
      <c r="O84" s="60"/>
      <c r="P84" s="60"/>
      <c r="Q84" s="60"/>
      <c r="R84" s="60"/>
      <c r="S84" s="60"/>
      <c r="T84" s="60"/>
      <c r="U84" s="60"/>
    </row>
    <row r="85" spans="5:25" x14ac:dyDescent="0.2">
      <c r="E85" s="50" t="s">
        <v>81</v>
      </c>
      <c r="F85" s="31"/>
      <c r="G85" s="31"/>
      <c r="H85" s="31"/>
      <c r="I85" s="31"/>
      <c r="J85" s="31"/>
      <c r="K85" s="79">
        <f>K73</f>
        <v>224590</v>
      </c>
      <c r="M85" s="27"/>
      <c r="N85" s="77"/>
      <c r="O85" s="77"/>
      <c r="P85" s="77"/>
      <c r="Q85" s="77"/>
      <c r="R85" s="60"/>
      <c r="S85" s="60"/>
      <c r="T85" s="60"/>
      <c r="U85" s="60"/>
    </row>
    <row r="86" spans="5:25" x14ac:dyDescent="0.2">
      <c r="E86" s="50" t="s">
        <v>82</v>
      </c>
      <c r="F86" s="31"/>
      <c r="G86" s="31"/>
      <c r="H86" s="31"/>
      <c r="I86" s="31"/>
      <c r="J86" s="31"/>
      <c r="K86" s="79">
        <v>0</v>
      </c>
      <c r="M86" s="70"/>
      <c r="N86" s="60"/>
      <c r="O86" s="60"/>
      <c r="P86" s="60"/>
      <c r="Q86" s="60"/>
      <c r="R86" s="60"/>
      <c r="S86" s="60"/>
      <c r="T86" s="60"/>
      <c r="U86" s="60"/>
    </row>
    <row r="87" spans="5:25" x14ac:dyDescent="0.2">
      <c r="E87" s="50"/>
      <c r="F87" s="31"/>
      <c r="G87" s="31"/>
      <c r="H87" s="31"/>
      <c r="I87" s="31"/>
      <c r="J87" s="31"/>
      <c r="K87" s="79"/>
      <c r="M87" s="27"/>
      <c r="N87" s="60"/>
      <c r="O87" s="60"/>
      <c r="P87" s="60"/>
      <c r="Q87" s="60"/>
      <c r="R87" s="60"/>
      <c r="S87" s="60"/>
      <c r="T87" s="60"/>
      <c r="U87" s="60"/>
    </row>
    <row r="88" spans="5:25" x14ac:dyDescent="0.2">
      <c r="E88" s="50" t="s">
        <v>83</v>
      </c>
      <c r="F88" s="31"/>
      <c r="G88" s="31"/>
      <c r="H88" s="31"/>
      <c r="I88" s="31"/>
      <c r="J88" s="31"/>
      <c r="K88" s="80">
        <f>SUM(K85:K87)</f>
        <v>224590</v>
      </c>
      <c r="M88" s="27"/>
      <c r="N88" s="60"/>
      <c r="O88" s="60"/>
      <c r="P88" s="60"/>
      <c r="Q88" s="60"/>
      <c r="R88" s="60"/>
      <c r="S88" s="60"/>
      <c r="T88" s="60"/>
      <c r="U88" s="60"/>
    </row>
    <row r="89" spans="5:25" x14ac:dyDescent="0.2">
      <c r="E89" s="50" t="s">
        <v>84</v>
      </c>
      <c r="F89" s="31"/>
      <c r="G89" s="31"/>
      <c r="H89" s="31"/>
      <c r="I89" s="31"/>
      <c r="J89" s="31"/>
      <c r="K89" s="79">
        <f>I65</f>
        <v>91590</v>
      </c>
      <c r="M89" s="27"/>
      <c r="N89" s="60"/>
      <c r="O89" s="81"/>
      <c r="P89" s="81"/>
      <c r="Q89" s="77"/>
      <c r="R89" s="60"/>
      <c r="S89" s="60"/>
      <c r="T89" s="60"/>
      <c r="U89" s="60"/>
    </row>
    <row r="90" spans="5:25" x14ac:dyDescent="0.2">
      <c r="E90" s="50" t="s">
        <v>85</v>
      </c>
      <c r="F90" s="31"/>
      <c r="G90" s="31"/>
      <c r="H90" s="31"/>
      <c r="I90" s="31"/>
      <c r="J90" s="31"/>
      <c r="K90" s="79">
        <f>G53</f>
        <v>0</v>
      </c>
      <c r="M90" s="27"/>
      <c r="N90" s="60"/>
      <c r="O90" s="81"/>
      <c r="P90" s="81"/>
      <c r="Q90" s="77"/>
      <c r="R90" s="60"/>
      <c r="S90" s="60"/>
      <c r="T90" s="60"/>
      <c r="U90" s="60"/>
    </row>
    <row r="91" spans="5:25" x14ac:dyDescent="0.2">
      <c r="E91" s="50"/>
      <c r="F91" s="31"/>
      <c r="G91" s="31"/>
      <c r="H91" s="31"/>
      <c r="I91" s="31"/>
      <c r="J91" s="31"/>
      <c r="K91" s="79"/>
      <c r="M91" s="27"/>
      <c r="N91" s="60"/>
      <c r="O91" s="81"/>
      <c r="P91" s="81"/>
      <c r="Q91" s="77"/>
      <c r="R91" s="60"/>
      <c r="S91" s="60"/>
      <c r="T91" s="60"/>
      <c r="U91" s="60"/>
    </row>
    <row r="92" spans="5:25" ht="13.5" thickBot="1" x14ac:dyDescent="0.25">
      <c r="E92" s="50" t="s">
        <v>86</v>
      </c>
      <c r="F92" s="31"/>
      <c r="G92" s="31"/>
      <c r="H92" s="31"/>
      <c r="I92" s="31"/>
      <c r="J92" s="31"/>
      <c r="K92" s="82">
        <f>K88-K89-K90-K91</f>
        <v>133000</v>
      </c>
      <c r="M92" s="27"/>
      <c r="N92" s="60"/>
      <c r="O92" s="60"/>
      <c r="P92" s="60"/>
      <c r="Q92" s="60"/>
      <c r="R92" s="60"/>
      <c r="S92" s="60"/>
      <c r="T92" s="60"/>
      <c r="U92" s="60"/>
    </row>
    <row r="93" spans="5:25" ht="13.5" thickTop="1" x14ac:dyDescent="0.2">
      <c r="E93" s="50"/>
      <c r="F93" s="31"/>
      <c r="G93" s="31"/>
      <c r="H93" s="31"/>
      <c r="I93" s="31"/>
      <c r="J93" s="83" t="s">
        <v>87</v>
      </c>
      <c r="K93" s="79"/>
      <c r="M93" s="27"/>
      <c r="N93" s="60"/>
      <c r="O93" s="60"/>
      <c r="P93" s="60"/>
      <c r="Q93" s="77"/>
      <c r="R93" s="60"/>
      <c r="S93" s="60"/>
      <c r="T93" s="60"/>
      <c r="U93" s="60"/>
    </row>
    <row r="94" spans="5:25" x14ac:dyDescent="0.2">
      <c r="E94" s="50" t="s">
        <v>81</v>
      </c>
      <c r="F94" s="31"/>
      <c r="G94" s="29">
        <f>G73</f>
        <v>40000</v>
      </c>
      <c r="H94" s="29">
        <f>H73</f>
        <v>3000</v>
      </c>
      <c r="I94" s="29">
        <f>I73</f>
        <v>181590</v>
      </c>
      <c r="J94" s="29"/>
      <c r="K94" s="79"/>
      <c r="M94" s="27"/>
      <c r="N94" s="60"/>
      <c r="O94" s="60"/>
      <c r="P94" s="60"/>
      <c r="Q94" s="60"/>
      <c r="R94" s="60"/>
      <c r="S94" s="60"/>
      <c r="T94" s="60"/>
      <c r="U94" s="60">
        <v>0</v>
      </c>
      <c r="Y94" s="3">
        <v>900323.36</v>
      </c>
    </row>
    <row r="95" spans="5:25" x14ac:dyDescent="0.2">
      <c r="E95" s="50" t="s">
        <v>88</v>
      </c>
      <c r="F95" s="31"/>
      <c r="G95" s="29">
        <f>K90</f>
        <v>0</v>
      </c>
      <c r="H95" s="84">
        <v>0</v>
      </c>
      <c r="I95" s="84">
        <f>K89</f>
        <v>91590</v>
      </c>
      <c r="K95" s="78"/>
      <c r="M95" s="70"/>
      <c r="N95" s="60"/>
      <c r="O95" s="60"/>
      <c r="P95" s="60"/>
      <c r="Q95" s="60"/>
      <c r="R95" s="60"/>
      <c r="S95" s="60"/>
      <c r="T95" s="60"/>
      <c r="U95" s="60"/>
    </row>
    <row r="96" spans="5:25" ht="13.5" thickBot="1" x14ac:dyDescent="0.25">
      <c r="E96" s="50" t="s">
        <v>89</v>
      </c>
      <c r="F96" s="31"/>
      <c r="G96" s="85">
        <f>G94-G95</f>
        <v>40000</v>
      </c>
      <c r="H96" s="85">
        <f>H94-H95</f>
        <v>3000</v>
      </c>
      <c r="I96" s="85">
        <f>I94-I95</f>
        <v>90000</v>
      </c>
      <c r="J96" s="28"/>
      <c r="K96" s="79"/>
      <c r="M96" s="70"/>
      <c r="N96" s="60"/>
      <c r="O96" s="60"/>
      <c r="P96" s="58"/>
      <c r="Q96" s="60"/>
      <c r="R96" s="60"/>
      <c r="S96" s="60"/>
      <c r="T96" s="60"/>
      <c r="U96" s="60"/>
    </row>
    <row r="97" spans="5:21" ht="14.25" thickTop="1" thickBot="1" x14ac:dyDescent="0.25">
      <c r="E97" s="50" t="s">
        <v>90</v>
      </c>
      <c r="F97" s="31"/>
      <c r="G97" s="86">
        <f>G96/$K$92</f>
        <v>0.3007518796992481</v>
      </c>
      <c r="H97" s="86">
        <f t="shared" ref="H97:I97" si="15">H96/$K$92</f>
        <v>2.2556390977443608E-2</v>
      </c>
      <c r="I97" s="86">
        <f t="shared" si="15"/>
        <v>0.67669172932330823</v>
      </c>
      <c r="J97" s="29"/>
      <c r="K97" s="79"/>
      <c r="M97" s="70"/>
      <c r="N97" s="60"/>
      <c r="O97" s="60"/>
      <c r="P97" s="60"/>
      <c r="Q97" s="60"/>
      <c r="R97" s="60"/>
      <c r="S97" s="60"/>
      <c r="T97" s="60"/>
      <c r="U97" s="60"/>
    </row>
    <row r="98" spans="5:21" ht="14.25" thickTop="1" thickBot="1" x14ac:dyDescent="0.25">
      <c r="E98" s="87"/>
      <c r="F98" s="88"/>
      <c r="G98" s="89" t="s">
        <v>91</v>
      </c>
      <c r="H98" s="89" t="s">
        <v>92</v>
      </c>
      <c r="I98" s="89" t="s">
        <v>5</v>
      </c>
      <c r="J98" s="88"/>
      <c r="K98" s="90"/>
      <c r="M98" s="70"/>
      <c r="N98" s="91"/>
      <c r="O98" s="91"/>
      <c r="P98" s="91"/>
      <c r="Q98" s="60"/>
      <c r="R98" s="60"/>
      <c r="S98" s="60"/>
      <c r="T98" s="60"/>
      <c r="U98" s="60"/>
    </row>
    <row r="99" spans="5:21" x14ac:dyDescent="0.2">
      <c r="J99" s="73"/>
      <c r="K99" s="92"/>
      <c r="M99" s="70"/>
      <c r="N99" s="91"/>
      <c r="O99" s="91"/>
      <c r="P99" s="91"/>
      <c r="Q99" s="60"/>
      <c r="R99" s="60"/>
      <c r="S99" s="60"/>
      <c r="T99" s="60"/>
      <c r="U99" s="60"/>
    </row>
    <row r="100" spans="5:21" x14ac:dyDescent="0.2">
      <c r="J100" s="29"/>
      <c r="K100" s="29"/>
      <c r="M100" s="70"/>
      <c r="N100" s="60"/>
      <c r="O100" s="60"/>
      <c r="P100" s="60"/>
      <c r="Q100" s="60"/>
      <c r="R100" s="60"/>
      <c r="S100" s="60"/>
      <c r="T100" s="60"/>
      <c r="U100" s="60"/>
    </row>
    <row r="101" spans="5:21" x14ac:dyDescent="0.2">
      <c r="E101" s="30"/>
      <c r="F101" s="31"/>
      <c r="G101" s="29"/>
      <c r="H101" s="29"/>
      <c r="I101" s="32"/>
      <c r="J101" s="93"/>
      <c r="K101" s="32"/>
      <c r="M101" s="70"/>
      <c r="N101" s="60"/>
      <c r="O101" s="60"/>
      <c r="P101" s="60"/>
      <c r="Q101" s="60"/>
      <c r="R101" s="60"/>
      <c r="S101" s="60"/>
      <c r="T101" s="60"/>
      <c r="U101" s="60"/>
    </row>
    <row r="102" spans="5:21" x14ac:dyDescent="0.2">
      <c r="E102" s="31"/>
      <c r="F102" s="31"/>
      <c r="G102" s="31"/>
      <c r="H102" s="31"/>
      <c r="I102" s="32"/>
      <c r="J102" s="93"/>
      <c r="K102" s="93"/>
      <c r="M102" s="94"/>
      <c r="N102" s="95"/>
      <c r="O102" s="95"/>
      <c r="P102" s="95"/>
      <c r="Q102" s="60"/>
      <c r="R102" s="60"/>
      <c r="S102" s="60"/>
      <c r="T102" s="60"/>
      <c r="U102" s="60"/>
    </row>
    <row r="103" spans="5:21" x14ac:dyDescent="0.2">
      <c r="E103" s="31"/>
      <c r="F103" s="31"/>
      <c r="G103" s="31"/>
      <c r="H103" s="29"/>
      <c r="I103" s="29"/>
      <c r="J103" s="31"/>
      <c r="K103" s="31"/>
      <c r="M103" s="70"/>
      <c r="N103" s="60"/>
      <c r="O103" s="60"/>
      <c r="P103" s="60"/>
      <c r="Q103" s="60"/>
      <c r="R103" s="60"/>
      <c r="S103" s="60"/>
      <c r="T103" s="60"/>
      <c r="U103" s="60"/>
    </row>
    <row r="104" spans="5:21" x14ac:dyDescent="0.2">
      <c r="E104" s="31"/>
      <c r="F104" s="31"/>
      <c r="G104" s="33"/>
      <c r="H104" s="33"/>
      <c r="I104" s="33"/>
      <c r="M104" s="70"/>
      <c r="N104" s="70"/>
      <c r="O104" s="70"/>
      <c r="P104" s="70"/>
      <c r="Q104" s="70"/>
      <c r="R104" s="70"/>
      <c r="S104" s="70"/>
      <c r="T104" s="70"/>
      <c r="U104" s="70"/>
    </row>
    <row r="105" spans="5:21" x14ac:dyDescent="0.2">
      <c r="E105" s="31"/>
      <c r="F105" s="31"/>
      <c r="G105" s="29"/>
      <c r="H105" s="29"/>
      <c r="I105" s="29"/>
      <c r="M105" s="70"/>
      <c r="N105" s="70"/>
      <c r="O105" s="70"/>
      <c r="P105" s="70"/>
      <c r="Q105" s="70"/>
      <c r="R105" s="70"/>
      <c r="S105" s="70"/>
      <c r="T105" s="70"/>
      <c r="U105" s="70"/>
    </row>
    <row r="106" spans="5:21" x14ac:dyDescent="0.2">
      <c r="E106" s="31"/>
      <c r="F106" s="31"/>
      <c r="G106" s="33"/>
      <c r="H106" s="33"/>
      <c r="I106" s="33"/>
      <c r="M106" s="70"/>
      <c r="N106" s="70"/>
      <c r="O106" s="70"/>
      <c r="P106" s="70"/>
      <c r="Q106" s="70"/>
      <c r="R106" s="70"/>
      <c r="S106" s="70"/>
      <c r="T106" s="70"/>
      <c r="U106" s="70"/>
    </row>
    <row r="107" spans="5:21" x14ac:dyDescent="0.2">
      <c r="E107" s="31"/>
      <c r="F107" s="31"/>
      <c r="G107" s="34"/>
      <c r="H107" s="34"/>
      <c r="I107" s="34"/>
      <c r="J107" s="31"/>
      <c r="M107" s="70"/>
      <c r="N107" s="70"/>
      <c r="O107" s="70"/>
      <c r="P107" s="70"/>
      <c r="Q107" s="70"/>
      <c r="R107" s="70"/>
      <c r="S107" s="70"/>
      <c r="T107" s="70"/>
      <c r="U107" s="70"/>
    </row>
    <row r="108" spans="5:21" x14ac:dyDescent="0.2">
      <c r="G108" s="29"/>
      <c r="H108" s="29"/>
      <c r="I108" s="29"/>
      <c r="J108" s="31"/>
      <c r="M108" s="70"/>
      <c r="N108" s="70"/>
      <c r="O108" s="70"/>
      <c r="P108" s="70"/>
      <c r="Q108" s="70"/>
      <c r="R108" s="70"/>
      <c r="S108" s="70"/>
      <c r="T108" s="70"/>
      <c r="U108" s="70"/>
    </row>
    <row r="109" spans="5:21" x14ac:dyDescent="0.2">
      <c r="G109" s="31"/>
      <c r="H109" s="31"/>
      <c r="I109" s="31"/>
      <c r="J109" s="31"/>
      <c r="M109" s="70"/>
      <c r="N109" s="70"/>
      <c r="O109" s="70"/>
      <c r="P109" s="70"/>
      <c r="Q109" s="70"/>
      <c r="R109" s="70"/>
      <c r="S109" s="70"/>
      <c r="T109" s="70"/>
      <c r="U109" s="7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24B2-55AF-4DAD-A01B-4E8260DCBAB4}">
  <dimension ref="A1:G31"/>
  <sheetViews>
    <sheetView workbookViewId="0">
      <selection activeCell="B49" sqref="B49"/>
    </sheetView>
  </sheetViews>
  <sheetFormatPr defaultRowHeight="15" x14ac:dyDescent="0.25"/>
  <cols>
    <col min="1" max="1" width="8.5703125" customWidth="1"/>
    <col min="2" max="2" width="56.7109375" customWidth="1"/>
    <col min="3" max="7" width="23.28515625" customWidth="1"/>
  </cols>
  <sheetData>
    <row r="1" spans="1:7" x14ac:dyDescent="0.25">
      <c r="A1" s="265" t="s">
        <v>101</v>
      </c>
      <c r="B1" s="265"/>
      <c r="C1" s="265"/>
      <c r="D1" s="265"/>
      <c r="E1" s="265"/>
      <c r="F1" s="265"/>
      <c r="G1" s="140"/>
    </row>
    <row r="2" spans="1:7" x14ac:dyDescent="0.25">
      <c r="A2" s="265" t="s">
        <v>102</v>
      </c>
      <c r="B2" s="265"/>
      <c r="C2" s="265"/>
      <c r="D2" s="265"/>
      <c r="E2" s="265"/>
      <c r="F2" s="265"/>
      <c r="G2" s="140"/>
    </row>
    <row r="3" spans="1:7" x14ac:dyDescent="0.25">
      <c r="A3" s="265" t="s">
        <v>103</v>
      </c>
      <c r="B3" s="265"/>
      <c r="C3" s="265"/>
      <c r="D3" s="265"/>
      <c r="E3" s="265"/>
      <c r="F3" s="265"/>
      <c r="G3" s="140"/>
    </row>
    <row r="4" spans="1:7" x14ac:dyDescent="0.25">
      <c r="A4" s="265" t="s">
        <v>104</v>
      </c>
      <c r="B4" s="265"/>
      <c r="C4" s="265"/>
      <c r="D4" s="265"/>
      <c r="E4" s="265"/>
      <c r="F4" s="265"/>
      <c r="G4" s="140"/>
    </row>
    <row r="5" spans="1:7" x14ac:dyDescent="0.25">
      <c r="A5" s="140"/>
      <c r="B5" s="140"/>
      <c r="C5" s="140"/>
      <c r="D5" s="140"/>
      <c r="E5" s="140"/>
      <c r="F5" s="140"/>
      <c r="G5" s="140"/>
    </row>
    <row r="6" spans="1:7" ht="25.5" customHeight="1" x14ac:dyDescent="0.25">
      <c r="A6" s="140"/>
      <c r="B6" s="140"/>
      <c r="C6" s="266" t="s">
        <v>105</v>
      </c>
      <c r="D6" s="267"/>
      <c r="E6" s="268"/>
      <c r="F6" s="141"/>
      <c r="G6" s="140"/>
    </row>
    <row r="7" spans="1:7" x14ac:dyDescent="0.25">
      <c r="A7" s="269" t="s">
        <v>106</v>
      </c>
      <c r="B7" s="236" t="s">
        <v>107</v>
      </c>
      <c r="C7" s="236">
        <v>2021</v>
      </c>
      <c r="D7" s="236">
        <v>2022</v>
      </c>
      <c r="E7" s="236">
        <v>2023</v>
      </c>
      <c r="F7" s="236" t="s">
        <v>108</v>
      </c>
      <c r="G7" s="236" t="s">
        <v>109</v>
      </c>
    </row>
    <row r="8" spans="1:7" x14ac:dyDescent="0.25">
      <c r="A8" s="270"/>
      <c r="B8" s="237" t="s">
        <v>110</v>
      </c>
      <c r="C8" s="237" t="s">
        <v>111</v>
      </c>
      <c r="D8" s="237" t="s">
        <v>112</v>
      </c>
      <c r="E8" s="237" t="s">
        <v>113</v>
      </c>
      <c r="F8" s="237" t="s">
        <v>114</v>
      </c>
      <c r="G8" s="237" t="s">
        <v>115</v>
      </c>
    </row>
    <row r="9" spans="1:7" x14ac:dyDescent="0.25">
      <c r="A9" s="142">
        <v>1</v>
      </c>
      <c r="B9" s="143" t="s">
        <v>116</v>
      </c>
      <c r="C9" s="144">
        <v>59577052</v>
      </c>
      <c r="D9" s="144">
        <v>3324126</v>
      </c>
      <c r="E9" s="144">
        <v>24194769</v>
      </c>
      <c r="F9" s="144">
        <v>29031982</v>
      </c>
      <c r="G9" s="143"/>
    </row>
    <row r="10" spans="1:7" x14ac:dyDescent="0.25">
      <c r="A10" s="145">
        <v>2</v>
      </c>
      <c r="B10" s="234" t="s">
        <v>117</v>
      </c>
      <c r="C10" s="146">
        <v>2821753</v>
      </c>
      <c r="D10" s="146">
        <v>247794</v>
      </c>
      <c r="E10" s="146">
        <v>89872</v>
      </c>
      <c r="F10" s="146">
        <v>1053140</v>
      </c>
      <c r="G10" s="140"/>
    </row>
    <row r="11" spans="1:7" ht="15.75" thickBot="1" x14ac:dyDescent="0.3">
      <c r="A11" s="145">
        <v>3</v>
      </c>
      <c r="B11" s="234" t="s">
        <v>118</v>
      </c>
      <c r="C11" s="147">
        <v>62398805</v>
      </c>
      <c r="D11" s="147">
        <v>3571920</v>
      </c>
      <c r="E11" s="147">
        <v>24284641</v>
      </c>
      <c r="F11" s="147">
        <v>30085122</v>
      </c>
      <c r="G11" s="140"/>
    </row>
    <row r="12" spans="1:7" ht="15.75" thickTop="1" x14ac:dyDescent="0.25">
      <c r="A12" s="145"/>
      <c r="B12" s="140"/>
      <c r="C12" s="148"/>
      <c r="D12" s="148"/>
      <c r="E12" s="148"/>
      <c r="F12" s="148"/>
      <c r="G12" s="140"/>
    </row>
    <row r="13" spans="1:7" x14ac:dyDescent="0.25">
      <c r="A13" s="145">
        <v>4</v>
      </c>
      <c r="B13" s="149" t="s">
        <v>119</v>
      </c>
      <c r="C13" s="140"/>
      <c r="D13" s="140"/>
      <c r="E13" s="140"/>
      <c r="F13" s="140"/>
      <c r="G13" s="140"/>
    </row>
    <row r="14" spans="1:7" x14ac:dyDescent="0.25">
      <c r="A14" s="145">
        <v>5</v>
      </c>
      <c r="B14" s="143" t="s">
        <v>108</v>
      </c>
      <c r="C14" s="140"/>
      <c r="D14" s="140"/>
      <c r="E14" s="140"/>
      <c r="F14" s="234" t="s">
        <v>120</v>
      </c>
      <c r="G14" s="140"/>
    </row>
    <row r="15" spans="1:7" x14ac:dyDescent="0.25">
      <c r="A15" s="145">
        <v>6</v>
      </c>
      <c r="B15" s="264" t="s">
        <v>121</v>
      </c>
      <c r="C15" s="264"/>
      <c r="D15" s="264"/>
      <c r="E15" s="264"/>
      <c r="F15" s="150">
        <v>1013489</v>
      </c>
      <c r="G15" s="140"/>
    </row>
    <row r="16" spans="1:7" x14ac:dyDescent="0.25">
      <c r="A16" s="145">
        <v>7</v>
      </c>
      <c r="B16" s="234" t="s">
        <v>122</v>
      </c>
      <c r="C16" s="140"/>
      <c r="D16" s="140"/>
      <c r="E16" s="140"/>
      <c r="F16" s="146">
        <v>7333484</v>
      </c>
      <c r="G16" s="140"/>
    </row>
    <row r="17" spans="1:7" x14ac:dyDescent="0.25">
      <c r="A17" s="145">
        <v>8</v>
      </c>
      <c r="B17" s="234" t="s">
        <v>123</v>
      </c>
      <c r="C17" s="140"/>
      <c r="D17" s="140"/>
      <c r="E17" s="140"/>
      <c r="F17" s="151">
        <f>F15-F16</f>
        <v>-6319995</v>
      </c>
      <c r="G17" s="145"/>
    </row>
    <row r="18" spans="1:7" x14ac:dyDescent="0.25">
      <c r="A18" s="145">
        <v>9</v>
      </c>
      <c r="B18" s="234" t="s">
        <v>124</v>
      </c>
      <c r="C18" s="152"/>
      <c r="D18" s="152"/>
      <c r="E18" s="152"/>
      <c r="F18" s="153">
        <v>0.999</v>
      </c>
      <c r="G18" s="140"/>
    </row>
    <row r="19" spans="1:7" ht="15.75" thickBot="1" x14ac:dyDescent="0.3">
      <c r="A19" s="145">
        <v>10</v>
      </c>
      <c r="B19" s="234" t="s">
        <v>125</v>
      </c>
      <c r="C19" s="140"/>
      <c r="D19" s="140"/>
      <c r="E19" s="140"/>
      <c r="F19" s="154">
        <v>-6313675</v>
      </c>
      <c r="G19" s="145">
        <v>593</v>
      </c>
    </row>
    <row r="20" spans="1:7" ht="15.75" thickTop="1" x14ac:dyDescent="0.25">
      <c r="A20" s="145"/>
      <c r="B20" s="140"/>
      <c r="C20" s="140"/>
      <c r="D20" s="140"/>
      <c r="E20" s="140"/>
      <c r="F20" s="148"/>
      <c r="G20" s="140"/>
    </row>
    <row r="21" spans="1:7" x14ac:dyDescent="0.25">
      <c r="A21" s="145">
        <v>11</v>
      </c>
      <c r="B21" s="149" t="s">
        <v>126</v>
      </c>
      <c r="C21" s="140"/>
      <c r="D21" s="140"/>
      <c r="E21" s="140"/>
      <c r="F21" s="234"/>
      <c r="G21" s="140"/>
    </row>
    <row r="22" spans="1:7" x14ac:dyDescent="0.25">
      <c r="A22" s="145">
        <v>12</v>
      </c>
      <c r="B22" s="143" t="s">
        <v>127</v>
      </c>
      <c r="C22" s="140"/>
      <c r="D22" s="140"/>
      <c r="E22" s="140"/>
      <c r="F22" s="234" t="s">
        <v>120</v>
      </c>
      <c r="G22" s="140"/>
    </row>
    <row r="23" spans="1:7" x14ac:dyDescent="0.25">
      <c r="A23" s="145">
        <v>13</v>
      </c>
      <c r="B23" s="234" t="s">
        <v>128</v>
      </c>
      <c r="C23" s="140"/>
      <c r="D23" s="140"/>
      <c r="E23" s="140"/>
      <c r="F23" s="150">
        <v>89872</v>
      </c>
      <c r="G23" s="140"/>
    </row>
    <row r="24" spans="1:7" x14ac:dyDescent="0.25">
      <c r="A24" s="145">
        <v>14</v>
      </c>
      <c r="B24" s="234" t="s">
        <v>122</v>
      </c>
      <c r="C24" s="140"/>
      <c r="D24" s="140"/>
      <c r="E24" s="140"/>
      <c r="F24" s="146">
        <v>89872</v>
      </c>
      <c r="G24" s="140"/>
    </row>
    <row r="25" spans="1:7" x14ac:dyDescent="0.25">
      <c r="A25" s="145">
        <v>15</v>
      </c>
      <c r="B25" s="234" t="s">
        <v>129</v>
      </c>
      <c r="C25" s="140"/>
      <c r="D25" s="140"/>
      <c r="E25" s="140"/>
      <c r="F25" s="153" t="s">
        <v>130</v>
      </c>
      <c r="G25" s="145"/>
    </row>
    <row r="26" spans="1:7" x14ac:dyDescent="0.25">
      <c r="A26" s="145">
        <v>16</v>
      </c>
      <c r="B26" s="234" t="s">
        <v>131</v>
      </c>
      <c r="C26" s="152"/>
      <c r="D26" s="152"/>
      <c r="E26" s="152"/>
      <c r="F26" s="153">
        <v>0.98499999999999999</v>
      </c>
      <c r="G26" s="140"/>
    </row>
    <row r="27" spans="1:7" ht="15.75" thickBot="1" x14ac:dyDescent="0.3">
      <c r="A27" s="145">
        <v>17</v>
      </c>
      <c r="B27" s="234" t="s">
        <v>132</v>
      </c>
      <c r="C27" s="234"/>
      <c r="D27" s="234"/>
      <c r="E27" s="234"/>
      <c r="F27" s="155" t="s">
        <v>133</v>
      </c>
      <c r="G27" s="145">
        <v>571</v>
      </c>
    </row>
    <row r="28" spans="1:7" ht="15.75" thickTop="1" x14ac:dyDescent="0.25">
      <c r="A28" s="140"/>
      <c r="B28" s="140"/>
      <c r="C28" s="140"/>
      <c r="D28" s="140"/>
      <c r="E28" s="140"/>
      <c r="F28" s="148"/>
      <c r="G28" s="140"/>
    </row>
    <row r="29" spans="1:7" x14ac:dyDescent="0.25">
      <c r="A29" s="140"/>
      <c r="B29" s="140"/>
      <c r="C29" s="140"/>
      <c r="D29" s="140"/>
      <c r="E29" s="140"/>
      <c r="F29" s="140"/>
      <c r="G29" s="140"/>
    </row>
    <row r="30" spans="1:7" x14ac:dyDescent="0.25">
      <c r="A30" s="156" t="s">
        <v>134</v>
      </c>
      <c r="B30" s="235" t="s">
        <v>135</v>
      </c>
      <c r="C30" s="140"/>
      <c r="D30" s="140"/>
      <c r="E30" s="140"/>
      <c r="F30" s="140"/>
      <c r="G30" s="140"/>
    </row>
    <row r="31" spans="1:7" x14ac:dyDescent="0.25">
      <c r="A31" s="140"/>
      <c r="B31" s="140"/>
      <c r="C31" s="140"/>
      <c r="D31" s="140"/>
      <c r="E31" s="140"/>
      <c r="F31" s="140"/>
      <c r="G31" s="140"/>
    </row>
  </sheetData>
  <mergeCells count="7">
    <mergeCell ref="B15:E15"/>
    <mergeCell ref="A1:F1"/>
    <mergeCell ref="A2:F2"/>
    <mergeCell ref="A3:F3"/>
    <mergeCell ref="A4:F4"/>
    <mergeCell ref="C6:E6"/>
    <mergeCell ref="A7:A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2DB32-A294-45AC-9797-9D52DE7A675E}">
  <sheetPr>
    <tabColor rgb="FF8FFFC7"/>
    <pageSetUpPr fitToPage="1"/>
  </sheetPr>
  <dimension ref="A1:Y109"/>
  <sheetViews>
    <sheetView zoomScale="90" zoomScaleNormal="90" workbookViewId="0">
      <selection activeCell="K76" sqref="K76"/>
    </sheetView>
  </sheetViews>
  <sheetFormatPr defaultColWidth="9.140625" defaultRowHeight="12.75" x14ac:dyDescent="0.2"/>
  <cols>
    <col min="1" max="1" width="0.85546875" style="1" customWidth="1"/>
    <col min="2" max="2" width="22.140625" style="1" customWidth="1"/>
    <col min="3" max="3" width="0.85546875" style="1" customWidth="1"/>
    <col min="4" max="4" width="36.140625" style="1" customWidth="1"/>
    <col min="5" max="5" width="22" style="1" bestFit="1" customWidth="1"/>
    <col min="6" max="6" width="1.28515625" style="1" customWidth="1"/>
    <col min="7" max="7" width="22.5703125" style="1" customWidth="1"/>
    <col min="8" max="8" width="20" style="1" customWidth="1"/>
    <col min="9" max="9" width="16.140625" style="1" customWidth="1"/>
    <col min="10" max="10" width="14.7109375" style="1" customWidth="1"/>
    <col min="11" max="11" width="16.85546875" style="1" customWidth="1"/>
    <col min="12" max="12" width="1.7109375" style="1" customWidth="1"/>
    <col min="13" max="13" width="14.7109375" style="1" customWidth="1"/>
    <col min="14" max="14" width="15.85546875" style="1" customWidth="1"/>
    <col min="15" max="15" width="16.85546875" style="1" customWidth="1"/>
    <col min="16" max="16" width="14.7109375" style="1" customWidth="1"/>
    <col min="17" max="17" width="16.140625" style="1" customWidth="1"/>
    <col min="18" max="19" width="2.5703125" style="1" customWidth="1"/>
    <col min="20" max="23" width="16.140625" style="1" customWidth="1"/>
    <col min="24" max="24" width="2.7109375" style="1" customWidth="1"/>
    <col min="25" max="25" width="47" style="169" hidden="1" customWidth="1"/>
    <col min="26" max="16384" width="9.140625" style="1"/>
  </cols>
  <sheetData>
    <row r="1" spans="2:25" ht="15" x14ac:dyDescent="0.25">
      <c r="E1" s="168"/>
      <c r="F1" s="168"/>
      <c r="I1"/>
    </row>
    <row r="2" spans="2:25" ht="20.25" thickBot="1" x14ac:dyDescent="0.3">
      <c r="B2" s="170" t="s">
        <v>6</v>
      </c>
      <c r="C2" s="168"/>
      <c r="D2" s="168"/>
      <c r="E2" s="168"/>
      <c r="F2" s="168"/>
      <c r="G2" s="271" t="s">
        <v>167</v>
      </c>
      <c r="H2" s="271"/>
      <c r="I2" s="271"/>
      <c r="J2" s="271"/>
      <c r="K2" s="271"/>
      <c r="M2" s="271" t="s">
        <v>168</v>
      </c>
      <c r="N2" s="271"/>
      <c r="O2" s="271"/>
      <c r="P2" s="271"/>
      <c r="Q2" s="271"/>
      <c r="R2" s="167"/>
      <c r="S2" s="167"/>
      <c r="T2" s="167"/>
      <c r="U2" s="167"/>
      <c r="V2" s="167"/>
      <c r="W2" s="167"/>
    </row>
    <row r="3" spans="2:25" ht="19.5" x14ac:dyDescent="0.25">
      <c r="B3" s="170" t="s">
        <v>7</v>
      </c>
      <c r="C3" s="168"/>
      <c r="D3" s="168"/>
    </row>
    <row r="4" spans="2:25" x14ac:dyDescent="0.2">
      <c r="B4" s="168" t="s">
        <v>169</v>
      </c>
      <c r="C4" s="168"/>
      <c r="D4" s="168"/>
      <c r="G4" s="167" t="s">
        <v>8</v>
      </c>
      <c r="H4" s="167" t="s">
        <v>9</v>
      </c>
      <c r="I4" s="167" t="s">
        <v>10</v>
      </c>
      <c r="J4" s="167" t="s">
        <v>11</v>
      </c>
      <c r="K4" s="167" t="s">
        <v>12</v>
      </c>
      <c r="M4" s="167" t="s">
        <v>8</v>
      </c>
      <c r="N4" s="167" t="s">
        <v>9</v>
      </c>
      <c r="O4" s="167" t="s">
        <v>10</v>
      </c>
      <c r="P4" s="167" t="s">
        <v>11</v>
      </c>
      <c r="Q4" s="167" t="s">
        <v>12</v>
      </c>
      <c r="R4" s="167"/>
      <c r="S4" s="167"/>
      <c r="T4" s="167"/>
      <c r="U4" s="167"/>
      <c r="V4" s="167"/>
      <c r="W4" s="167"/>
    </row>
    <row r="5" spans="2:25" ht="15" x14ac:dyDescent="0.2">
      <c r="B5" s="171"/>
      <c r="C5" s="168"/>
      <c r="D5" s="171" t="s">
        <v>13</v>
      </c>
      <c r="G5" s="167" t="s">
        <v>14</v>
      </c>
      <c r="H5" s="167" t="s">
        <v>15</v>
      </c>
      <c r="I5" s="167" t="s">
        <v>16</v>
      </c>
      <c r="J5" s="167" t="s">
        <v>17</v>
      </c>
      <c r="K5" s="167" t="s">
        <v>18</v>
      </c>
      <c r="M5" s="167" t="s">
        <v>14</v>
      </c>
      <c r="N5" s="167" t="s">
        <v>15</v>
      </c>
      <c r="O5" s="167" t="s">
        <v>16</v>
      </c>
      <c r="P5" s="167" t="s">
        <v>17</v>
      </c>
      <c r="Q5" s="167" t="s">
        <v>18</v>
      </c>
      <c r="R5" s="167"/>
      <c r="S5" s="167"/>
      <c r="T5" s="167"/>
      <c r="U5" s="167"/>
      <c r="V5" s="167"/>
      <c r="W5" s="167"/>
    </row>
    <row r="6" spans="2:25" x14ac:dyDescent="0.2">
      <c r="B6" s="1" t="s">
        <v>170</v>
      </c>
      <c r="D6" s="172"/>
      <c r="G6" s="167"/>
      <c r="H6" s="167" t="s">
        <v>19</v>
      </c>
      <c r="I6" s="167"/>
      <c r="J6" s="167"/>
      <c r="K6" s="167"/>
      <c r="M6" s="167"/>
      <c r="N6" s="167" t="s">
        <v>19</v>
      </c>
      <c r="O6" s="167"/>
      <c r="P6" s="167"/>
      <c r="Q6" s="167"/>
      <c r="R6" s="167"/>
      <c r="S6" s="167"/>
      <c r="T6" s="167"/>
      <c r="U6" s="167"/>
      <c r="V6" s="167"/>
      <c r="W6" s="167"/>
    </row>
    <row r="7" spans="2:25" ht="13.5" thickBot="1" x14ac:dyDescent="0.25">
      <c r="B7" s="168"/>
      <c r="G7" s="173" t="s">
        <v>20</v>
      </c>
      <c r="H7" s="173" t="s">
        <v>21</v>
      </c>
      <c r="I7" s="173" t="s">
        <v>22</v>
      </c>
      <c r="J7" s="173"/>
      <c r="K7" s="173" t="s">
        <v>23</v>
      </c>
      <c r="M7" s="173" t="s">
        <v>20</v>
      </c>
      <c r="N7" s="173" t="s">
        <v>21</v>
      </c>
      <c r="O7" s="173" t="s">
        <v>22</v>
      </c>
      <c r="P7" s="173"/>
      <c r="Q7" s="173" t="s">
        <v>23</v>
      </c>
      <c r="R7" s="167"/>
      <c r="S7" s="167"/>
      <c r="T7" s="167"/>
      <c r="U7" s="167"/>
      <c r="V7" s="167"/>
      <c r="W7" s="167"/>
    </row>
    <row r="8" spans="2:25" ht="5.0999999999999996" customHeight="1" x14ac:dyDescent="0.2">
      <c r="B8" s="168"/>
      <c r="G8" s="167"/>
      <c r="H8" s="167"/>
      <c r="I8" s="167"/>
      <c r="J8" s="167"/>
      <c r="K8" s="167"/>
      <c r="M8" s="167"/>
      <c r="N8" s="167"/>
      <c r="O8" s="167"/>
      <c r="P8" s="167"/>
      <c r="Q8" s="167"/>
      <c r="R8" s="167"/>
      <c r="S8" s="167"/>
      <c r="T8" s="167"/>
      <c r="U8" s="167"/>
      <c r="V8" s="167"/>
      <c r="W8" s="167"/>
    </row>
    <row r="9" spans="2:25" ht="15" thickBot="1" x14ac:dyDescent="0.25">
      <c r="B9" s="174" t="s">
        <v>24</v>
      </c>
      <c r="D9" s="1" t="s">
        <v>25</v>
      </c>
      <c r="E9" s="134" t="s">
        <v>26</v>
      </c>
      <c r="G9" s="51">
        <v>42976</v>
      </c>
      <c r="H9" s="51">
        <v>3176</v>
      </c>
      <c r="I9" s="51">
        <v>115904</v>
      </c>
      <c r="J9" s="51"/>
      <c r="K9" s="51">
        <f>J9+I9+H9+G9</f>
        <v>162056</v>
      </c>
      <c r="M9" s="51">
        <v>0</v>
      </c>
      <c r="N9" s="51">
        <v>0</v>
      </c>
      <c r="O9" s="51">
        <v>0</v>
      </c>
      <c r="P9" s="51">
        <v>0</v>
      </c>
      <c r="Q9" s="51">
        <f>SUM(M9:P9)</f>
        <v>0</v>
      </c>
      <c r="R9" s="51"/>
      <c r="S9" s="51"/>
      <c r="T9" s="51"/>
      <c r="U9" s="51"/>
      <c r="V9" s="51"/>
      <c r="W9" s="51"/>
    </row>
    <row r="10" spans="2:25" x14ac:dyDescent="0.2">
      <c r="B10" s="168" t="s">
        <v>27</v>
      </c>
      <c r="E10" s="134" t="s">
        <v>28</v>
      </c>
      <c r="G10" s="175">
        <v>727.5</v>
      </c>
      <c r="H10" s="175">
        <v>54.7</v>
      </c>
      <c r="I10" s="175">
        <v>1995.7</v>
      </c>
      <c r="J10" s="175">
        <v>0</v>
      </c>
      <c r="K10" s="175"/>
      <c r="M10" s="175">
        <f>G10</f>
        <v>727.5</v>
      </c>
      <c r="N10" s="175">
        <f>H10</f>
        <v>54.7</v>
      </c>
      <c r="O10" s="175">
        <f>I10</f>
        <v>1995.7</v>
      </c>
      <c r="P10" s="175">
        <v>0</v>
      </c>
      <c r="Q10" s="175">
        <f>SUM(M10:P10)</f>
        <v>2777.9</v>
      </c>
      <c r="R10" s="176"/>
      <c r="S10" s="176"/>
      <c r="T10" s="176"/>
      <c r="U10" s="176"/>
      <c r="V10" s="176"/>
      <c r="W10" s="176"/>
    </row>
    <row r="11" spans="2:25" x14ac:dyDescent="0.2">
      <c r="E11" s="134"/>
    </row>
    <row r="12" spans="2:25" ht="13.5" thickBot="1" x14ac:dyDescent="0.25">
      <c r="D12" s="1" t="s">
        <v>29</v>
      </c>
      <c r="E12" s="134" t="s">
        <v>26</v>
      </c>
      <c r="G12" s="51">
        <v>138924</v>
      </c>
      <c r="H12" s="51">
        <v>10971</v>
      </c>
      <c r="I12" s="51">
        <v>400424</v>
      </c>
      <c r="J12" s="51"/>
      <c r="K12" s="51">
        <f>J12+I12+H12+G12</f>
        <v>550319</v>
      </c>
      <c r="M12" s="51">
        <f t="shared" ref="M12:P13" si="0">G12</f>
        <v>138924</v>
      </c>
      <c r="N12" s="51">
        <f t="shared" si="0"/>
        <v>10971</v>
      </c>
      <c r="O12" s="51">
        <f t="shared" si="0"/>
        <v>400424</v>
      </c>
      <c r="P12" s="51">
        <f t="shared" si="0"/>
        <v>0</v>
      </c>
      <c r="Q12" s="51">
        <f>SUM(M12:P12)</f>
        <v>550319</v>
      </c>
      <c r="R12" s="51"/>
      <c r="S12" s="51"/>
      <c r="T12" s="177">
        <f>223294-K12</f>
        <v>-327025</v>
      </c>
      <c r="U12" s="51"/>
      <c r="V12" s="51"/>
      <c r="W12" s="51"/>
    </row>
    <row r="13" spans="2:25" x14ac:dyDescent="0.2">
      <c r="E13" s="134" t="s">
        <v>28</v>
      </c>
      <c r="G13" s="175">
        <v>1996.7</v>
      </c>
      <c r="H13" s="175">
        <v>157.9</v>
      </c>
      <c r="I13" s="175">
        <v>5759.9</v>
      </c>
      <c r="J13" s="175">
        <v>0</v>
      </c>
      <c r="K13" s="175">
        <f>G13+H13+I13+J13</f>
        <v>7914.5</v>
      </c>
      <c r="M13" s="175">
        <f t="shared" si="0"/>
        <v>1996.7</v>
      </c>
      <c r="N13" s="175">
        <f t="shared" si="0"/>
        <v>157.9</v>
      </c>
      <c r="O13" s="175">
        <f t="shared" si="0"/>
        <v>5759.9</v>
      </c>
      <c r="P13" s="175">
        <v>0</v>
      </c>
      <c r="Q13" s="175">
        <f>SUM(M13:P13)</f>
        <v>7914.5</v>
      </c>
      <c r="R13" s="176"/>
      <c r="S13" s="176"/>
      <c r="T13" s="178"/>
      <c r="U13" s="176"/>
      <c r="V13" s="176"/>
      <c r="W13" s="176"/>
    </row>
    <row r="14" spans="2:25" x14ac:dyDescent="0.2">
      <c r="T14" s="169"/>
      <c r="Y14" s="179" t="s">
        <v>30</v>
      </c>
    </row>
    <row r="15" spans="2:25" x14ac:dyDescent="0.2">
      <c r="D15" s="1" t="s">
        <v>31</v>
      </c>
      <c r="E15" s="134" t="s">
        <v>32</v>
      </c>
      <c r="G15" s="51">
        <v>15849</v>
      </c>
      <c r="H15" s="51">
        <v>1171</v>
      </c>
      <c r="I15" s="51">
        <f>1014+41730</f>
        <v>42744</v>
      </c>
      <c r="J15" s="51"/>
      <c r="K15" s="51">
        <f>G15+H15+I15+J15</f>
        <v>59764</v>
      </c>
      <c r="M15" s="51">
        <v>0</v>
      </c>
      <c r="N15" s="51">
        <v>0</v>
      </c>
      <c r="O15" s="51">
        <v>0</v>
      </c>
      <c r="P15" s="51">
        <v>0</v>
      </c>
      <c r="Q15" s="51">
        <f t="shared" ref="Q15:Q20" si="1">SUM(M15:P15)</f>
        <v>0</v>
      </c>
      <c r="R15" s="51"/>
      <c r="S15" s="51"/>
      <c r="T15" s="177"/>
      <c r="U15" s="51"/>
      <c r="V15" s="51"/>
      <c r="W15" s="51"/>
    </row>
    <row r="16" spans="2:25" x14ac:dyDescent="0.2">
      <c r="D16" s="1" t="s">
        <v>33</v>
      </c>
      <c r="E16" s="134" t="s">
        <v>34</v>
      </c>
      <c r="G16" s="51">
        <v>15699</v>
      </c>
      <c r="H16" s="51">
        <v>1240</v>
      </c>
      <c r="I16" s="51">
        <f>10752+34495</f>
        <v>45247</v>
      </c>
      <c r="J16" s="51"/>
      <c r="K16" s="51">
        <f t="shared" ref="K16:K20" si="2">G16+H16+I16+J16</f>
        <v>62186</v>
      </c>
      <c r="M16" s="51">
        <f>G16</f>
        <v>15699</v>
      </c>
      <c r="N16" s="51">
        <f>H16</f>
        <v>1240</v>
      </c>
      <c r="O16" s="51">
        <f>I16</f>
        <v>45247</v>
      </c>
      <c r="P16" s="51">
        <f>J16</f>
        <v>0</v>
      </c>
      <c r="Q16" s="51">
        <f t="shared" si="1"/>
        <v>62186</v>
      </c>
      <c r="R16" s="51"/>
      <c r="S16" s="51"/>
      <c r="T16" s="177"/>
      <c r="U16" s="51"/>
      <c r="V16" s="51"/>
      <c r="W16" s="51"/>
      <c r="Y16" s="169" t="s">
        <v>35</v>
      </c>
    </row>
    <row r="17" spans="2:25" x14ac:dyDescent="0.2">
      <c r="D17" s="111"/>
      <c r="E17" s="134" t="s">
        <v>36</v>
      </c>
      <c r="G17" s="51">
        <v>730</v>
      </c>
      <c r="H17" s="51">
        <v>58</v>
      </c>
      <c r="I17" s="51">
        <f>1212+897</f>
        <v>2109</v>
      </c>
      <c r="J17" s="51"/>
      <c r="K17" s="51">
        <f t="shared" si="2"/>
        <v>2897</v>
      </c>
      <c r="M17" s="51">
        <v>0</v>
      </c>
      <c r="N17" s="51">
        <v>0</v>
      </c>
      <c r="O17" s="51">
        <v>0</v>
      </c>
      <c r="P17" s="51">
        <v>0</v>
      </c>
      <c r="Q17" s="51">
        <f t="shared" si="1"/>
        <v>0</v>
      </c>
      <c r="R17" s="51"/>
      <c r="S17" s="51"/>
      <c r="T17" s="177"/>
      <c r="U17" s="51"/>
      <c r="V17" s="51"/>
      <c r="W17" s="51"/>
      <c r="Y17" s="180">
        <v>614800</v>
      </c>
    </row>
    <row r="18" spans="2:25" x14ac:dyDescent="0.2">
      <c r="E18" s="134" t="s">
        <v>37</v>
      </c>
      <c r="G18" s="51">
        <v>8791</v>
      </c>
      <c r="H18" s="51">
        <v>670</v>
      </c>
      <c r="I18" s="51">
        <v>25347</v>
      </c>
      <c r="J18" s="51"/>
      <c r="K18" s="51">
        <f t="shared" si="2"/>
        <v>34808</v>
      </c>
      <c r="M18" s="51">
        <v>0</v>
      </c>
      <c r="N18" s="51">
        <v>0</v>
      </c>
      <c r="O18" s="51">
        <v>0</v>
      </c>
      <c r="P18" s="51">
        <v>0</v>
      </c>
      <c r="Q18" s="51">
        <f t="shared" si="1"/>
        <v>0</v>
      </c>
      <c r="R18" s="51"/>
      <c r="S18" s="51"/>
      <c r="T18" s="177"/>
      <c r="U18" s="51"/>
      <c r="V18" s="51"/>
      <c r="W18" s="51"/>
    </row>
    <row r="19" spans="2:25" x14ac:dyDescent="0.2">
      <c r="E19" s="134" t="s">
        <v>38</v>
      </c>
      <c r="G19" s="51">
        <v>172505</v>
      </c>
      <c r="H19" s="51">
        <v>13550</v>
      </c>
      <c r="I19" s="51"/>
      <c r="J19" s="51"/>
      <c r="K19" s="51">
        <f t="shared" si="2"/>
        <v>186055</v>
      </c>
      <c r="M19" s="51">
        <f>G19</f>
        <v>172505</v>
      </c>
      <c r="N19" s="51">
        <f>H19</f>
        <v>13550</v>
      </c>
      <c r="O19" s="51">
        <f>I19</f>
        <v>0</v>
      </c>
      <c r="P19" s="51">
        <f>J19</f>
        <v>0</v>
      </c>
      <c r="Q19" s="51">
        <f t="shared" si="1"/>
        <v>186055</v>
      </c>
      <c r="R19" s="51"/>
      <c r="S19" s="51"/>
      <c r="T19" s="177"/>
      <c r="U19" s="51"/>
      <c r="V19" s="51"/>
      <c r="W19" s="51"/>
      <c r="Y19" s="169" t="s">
        <v>39</v>
      </c>
    </row>
    <row r="20" spans="2:25" x14ac:dyDescent="0.2">
      <c r="E20" s="134" t="s">
        <v>40</v>
      </c>
      <c r="G20" s="181">
        <v>13742</v>
      </c>
      <c r="H20" s="181">
        <v>1064</v>
      </c>
      <c r="I20" s="181">
        <v>38731</v>
      </c>
      <c r="J20" s="181"/>
      <c r="K20" s="181">
        <f t="shared" si="2"/>
        <v>53537</v>
      </c>
      <c r="M20" s="51">
        <v>0</v>
      </c>
      <c r="N20" s="51">
        <v>0</v>
      </c>
      <c r="O20" s="51">
        <v>0</v>
      </c>
      <c r="P20" s="51">
        <v>0</v>
      </c>
      <c r="Q20" s="51">
        <f t="shared" si="1"/>
        <v>0</v>
      </c>
      <c r="R20" s="51"/>
      <c r="S20" s="51"/>
      <c r="T20" s="177"/>
      <c r="U20" s="51"/>
      <c r="V20" s="51"/>
      <c r="W20" s="51"/>
      <c r="Y20" s="180">
        <f>31030+1679</f>
        <v>32709</v>
      </c>
    </row>
    <row r="21" spans="2:25" x14ac:dyDescent="0.2">
      <c r="D21" s="168" t="s">
        <v>41</v>
      </c>
      <c r="E21" s="134"/>
      <c r="G21" s="182">
        <f>SUM(G15:G20)+G12+G9</f>
        <v>409216</v>
      </c>
      <c r="H21" s="182">
        <f t="shared" ref="H21:K21" si="3">SUM(H15:H20)+H12+H9</f>
        <v>31900</v>
      </c>
      <c r="I21" s="182">
        <f t="shared" si="3"/>
        <v>670506</v>
      </c>
      <c r="J21" s="182">
        <f t="shared" si="3"/>
        <v>0</v>
      </c>
      <c r="K21" s="182">
        <f t="shared" si="3"/>
        <v>1111622</v>
      </c>
      <c r="M21" s="183">
        <f>M9+M12+SUM(M15:M20)</f>
        <v>327128</v>
      </c>
      <c r="N21" s="183">
        <f>N9+N12+SUM(N15:N20)</f>
        <v>25761</v>
      </c>
      <c r="O21" s="183">
        <f>O9+O12+SUM(O15:O20)</f>
        <v>445671</v>
      </c>
      <c r="P21" s="183">
        <f>P9+P12+SUM(P15:P20)</f>
        <v>0</v>
      </c>
      <c r="Q21" s="183">
        <f>Q9+Q12+SUM(Q15:Q20)</f>
        <v>798560</v>
      </c>
      <c r="R21" s="182"/>
      <c r="S21" s="182"/>
      <c r="T21" s="184"/>
      <c r="U21" s="182"/>
      <c r="V21" s="182"/>
      <c r="W21" s="182"/>
    </row>
    <row r="22" spans="2:25" x14ac:dyDescent="0.2">
      <c r="E22" s="134"/>
      <c r="G22" s="51"/>
      <c r="H22" s="51"/>
      <c r="I22" s="51"/>
      <c r="J22" s="51"/>
      <c r="K22" s="51"/>
      <c r="N22" s="51"/>
      <c r="O22" s="51"/>
      <c r="P22" s="51"/>
      <c r="Q22" s="51"/>
      <c r="R22" s="51"/>
      <c r="S22" s="51"/>
      <c r="T22" s="177"/>
      <c r="U22" s="51"/>
      <c r="V22" s="51"/>
      <c r="W22" s="51"/>
      <c r="Y22" s="169" t="s">
        <v>42</v>
      </c>
    </row>
    <row r="23" spans="2:25" x14ac:dyDescent="0.2">
      <c r="B23" s="168" t="s">
        <v>43</v>
      </c>
      <c r="E23" s="134" t="s">
        <v>44</v>
      </c>
      <c r="G23" s="181">
        <v>42886</v>
      </c>
      <c r="H23" s="181">
        <v>3059</v>
      </c>
      <c r="I23" s="181">
        <v>125729</v>
      </c>
      <c r="J23" s="181"/>
      <c r="K23" s="181">
        <f>J23+I23+H23+G23</f>
        <v>171674</v>
      </c>
      <c r="M23" s="181">
        <f>$Q$23*G$83</f>
        <v>2283.3786865647367</v>
      </c>
      <c r="N23" s="181">
        <f>$Q$23*H$83</f>
        <v>182.67029492517892</v>
      </c>
      <c r="O23" s="181">
        <f>$Q$23*I$83</f>
        <v>6667.465764769031</v>
      </c>
      <c r="P23" s="181">
        <v>0</v>
      </c>
      <c r="Q23" s="181">
        <f>K23*Y23</f>
        <v>9133.5147462589466</v>
      </c>
      <c r="R23" s="51"/>
      <c r="S23" s="51"/>
      <c r="T23" s="177">
        <f>251603.59-K23</f>
        <v>79929.59</v>
      </c>
      <c r="U23" s="51"/>
      <c r="V23" s="51"/>
      <c r="W23" s="51"/>
      <c r="Y23" s="185">
        <f>Y20/Y17</f>
        <v>5.320266753415745E-2</v>
      </c>
    </row>
    <row r="24" spans="2:25" x14ac:dyDescent="0.2">
      <c r="B24" s="168"/>
      <c r="D24" s="168" t="s">
        <v>45</v>
      </c>
      <c r="E24" s="134"/>
      <c r="G24" s="182">
        <f>G23</f>
        <v>42886</v>
      </c>
      <c r="H24" s="182">
        <f t="shared" ref="H24:I24" si="4">H23</f>
        <v>3059</v>
      </c>
      <c r="I24" s="182">
        <f t="shared" si="4"/>
        <v>125729</v>
      </c>
      <c r="J24" s="182"/>
      <c r="K24" s="182">
        <f>K23</f>
        <v>171674</v>
      </c>
      <c r="M24" s="182">
        <f>SUM(M23)</f>
        <v>2283.3786865647367</v>
      </c>
      <c r="N24" s="182">
        <f>SUM(N23)</f>
        <v>182.67029492517892</v>
      </c>
      <c r="O24" s="182">
        <f>SUM(O23)</f>
        <v>6667.465764769031</v>
      </c>
      <c r="P24" s="182">
        <f>SUM(P23)</f>
        <v>0</v>
      </c>
      <c r="Q24" s="182">
        <f>SUM(M24:P24)</f>
        <v>9133.5147462589466</v>
      </c>
      <c r="R24" s="182"/>
      <c r="S24" s="182"/>
      <c r="T24" s="184"/>
      <c r="U24" s="182"/>
      <c r="V24" s="182"/>
      <c r="W24" s="182"/>
    </row>
    <row r="25" spans="2:25" x14ac:dyDescent="0.2">
      <c r="B25" s="168"/>
    </row>
    <row r="26" spans="2:25" x14ac:dyDescent="0.2">
      <c r="B26" s="168" t="s">
        <v>46</v>
      </c>
      <c r="E26" s="134" t="s">
        <v>47</v>
      </c>
      <c r="G26" s="51">
        <v>1998</v>
      </c>
      <c r="H26" s="51">
        <v>121</v>
      </c>
      <c r="I26" s="51">
        <v>5860</v>
      </c>
      <c r="J26" s="51"/>
      <c r="K26" s="51">
        <f>G26+H26+I26+J26</f>
        <v>7979</v>
      </c>
      <c r="M26" s="51">
        <v>0</v>
      </c>
      <c r="N26" s="51">
        <v>0</v>
      </c>
      <c r="O26" s="51">
        <v>0</v>
      </c>
      <c r="P26" s="51">
        <v>0</v>
      </c>
      <c r="Q26" s="51">
        <f t="shared" ref="Q26:Q31" si="5">SUM(M26:P26)</f>
        <v>0</v>
      </c>
      <c r="R26" s="51"/>
      <c r="S26" s="51"/>
      <c r="T26" s="51"/>
      <c r="U26" s="51"/>
      <c r="V26" s="51"/>
      <c r="W26" s="51"/>
    </row>
    <row r="27" spans="2:25" x14ac:dyDescent="0.2">
      <c r="B27" s="168"/>
      <c r="E27" s="134" t="s">
        <v>48</v>
      </c>
      <c r="G27" s="51">
        <v>2738</v>
      </c>
      <c r="H27" s="51">
        <v>218</v>
      </c>
      <c r="I27" s="51">
        <v>7995</v>
      </c>
      <c r="J27" s="51"/>
      <c r="K27" s="51">
        <f t="shared" ref="K27:K30" si="6">G27+H27+I27+J27</f>
        <v>10951</v>
      </c>
      <c r="M27" s="51">
        <f>G27</f>
        <v>2738</v>
      </c>
      <c r="N27" s="51">
        <f>H27</f>
        <v>218</v>
      </c>
      <c r="O27" s="51">
        <f>I27</f>
        <v>7995</v>
      </c>
      <c r="P27" s="51">
        <f>J27</f>
        <v>0</v>
      </c>
      <c r="Q27" s="51">
        <f>SUM(M27:P27)</f>
        <v>10951</v>
      </c>
      <c r="R27" s="51"/>
      <c r="S27" s="51"/>
      <c r="T27" s="51"/>
      <c r="U27" s="51"/>
      <c r="V27" s="51"/>
      <c r="W27" s="51"/>
    </row>
    <row r="28" spans="2:25" x14ac:dyDescent="0.2">
      <c r="B28" s="168"/>
      <c r="E28" s="1" t="s">
        <v>49</v>
      </c>
      <c r="G28" s="51"/>
      <c r="H28" s="51"/>
      <c r="I28" s="51"/>
      <c r="J28" s="51"/>
      <c r="K28" s="51">
        <f t="shared" si="6"/>
        <v>0</v>
      </c>
      <c r="M28" s="51">
        <v>0</v>
      </c>
      <c r="N28" s="51">
        <v>0</v>
      </c>
      <c r="O28" s="51">
        <v>0</v>
      </c>
      <c r="P28" s="51">
        <v>0</v>
      </c>
      <c r="Q28" s="51">
        <f t="shared" si="5"/>
        <v>0</v>
      </c>
      <c r="R28" s="51"/>
      <c r="S28" s="51"/>
      <c r="T28" s="51"/>
      <c r="U28" s="51"/>
      <c r="V28" s="51"/>
      <c r="W28" s="51"/>
    </row>
    <row r="29" spans="2:25" x14ac:dyDescent="0.2">
      <c r="B29" s="168"/>
      <c r="E29" s="134" t="s">
        <v>50</v>
      </c>
      <c r="G29" s="51">
        <v>38699</v>
      </c>
      <c r="H29" s="51">
        <v>3092</v>
      </c>
      <c r="I29" s="51">
        <v>112893</v>
      </c>
      <c r="J29" s="51"/>
      <c r="K29" s="51">
        <f t="shared" si="6"/>
        <v>154684</v>
      </c>
      <c r="M29" s="51">
        <f t="shared" ref="M29:P30" si="7">G29</f>
        <v>38699</v>
      </c>
      <c r="N29" s="51">
        <f t="shared" si="7"/>
        <v>3092</v>
      </c>
      <c r="O29" s="51">
        <f t="shared" si="7"/>
        <v>112893</v>
      </c>
      <c r="P29" s="51">
        <f t="shared" si="7"/>
        <v>0</v>
      </c>
      <c r="Q29" s="51">
        <f t="shared" si="5"/>
        <v>154684</v>
      </c>
      <c r="R29" s="51"/>
      <c r="S29" s="51"/>
      <c r="T29" s="51"/>
      <c r="U29" s="51"/>
      <c r="V29" s="51"/>
      <c r="W29" s="51"/>
    </row>
    <row r="30" spans="2:25" x14ac:dyDescent="0.2">
      <c r="B30" s="168"/>
      <c r="E30" s="134" t="s">
        <v>51</v>
      </c>
      <c r="G30" s="181">
        <v>5128</v>
      </c>
      <c r="H30" s="181">
        <v>364</v>
      </c>
      <c r="I30" s="181">
        <v>14977</v>
      </c>
      <c r="J30" s="181"/>
      <c r="K30" s="181">
        <f t="shared" si="6"/>
        <v>20469</v>
      </c>
      <c r="M30" s="181">
        <f t="shared" si="7"/>
        <v>5128</v>
      </c>
      <c r="N30" s="181">
        <f t="shared" si="7"/>
        <v>364</v>
      </c>
      <c r="O30" s="181">
        <f t="shared" si="7"/>
        <v>14977</v>
      </c>
      <c r="P30" s="181">
        <f>J30</f>
        <v>0</v>
      </c>
      <c r="Q30" s="181">
        <f t="shared" si="5"/>
        <v>20469</v>
      </c>
      <c r="R30" s="51"/>
      <c r="S30" s="51"/>
      <c r="T30" s="51"/>
      <c r="U30" s="51"/>
      <c r="V30" s="51"/>
      <c r="W30" s="51"/>
    </row>
    <row r="31" spans="2:25" x14ac:dyDescent="0.2">
      <c r="B31" s="168"/>
      <c r="D31" s="168" t="s">
        <v>52</v>
      </c>
      <c r="G31" s="182">
        <f>SUM(G26:G30)</f>
        <v>48563</v>
      </c>
      <c r="H31" s="182">
        <f t="shared" ref="H31:I31" si="8">SUM(H26:H30)</f>
        <v>3795</v>
      </c>
      <c r="I31" s="182">
        <f t="shared" si="8"/>
        <v>141725</v>
      </c>
      <c r="J31" s="182"/>
      <c r="K31" s="182">
        <f>SUM(K26:K30)</f>
        <v>194083</v>
      </c>
      <c r="M31" s="182">
        <f>SUM(M26:M30)</f>
        <v>46565</v>
      </c>
      <c r="N31" s="182">
        <f>SUM(N26:N30)</f>
        <v>3674</v>
      </c>
      <c r="O31" s="182">
        <f>SUM(O26:O30)</f>
        <v>135865</v>
      </c>
      <c r="P31" s="182">
        <f>SUM(P26:P30)</f>
        <v>0</v>
      </c>
      <c r="Q31" s="182">
        <f t="shared" si="5"/>
        <v>186104</v>
      </c>
      <c r="R31" s="182"/>
      <c r="S31" s="182"/>
      <c r="T31" s="182"/>
      <c r="U31" s="182"/>
      <c r="V31" s="182"/>
      <c r="W31" s="182"/>
    </row>
    <row r="32" spans="2:25" x14ac:dyDescent="0.2">
      <c r="B32" s="168"/>
    </row>
    <row r="33" spans="2:23" x14ac:dyDescent="0.2">
      <c r="B33" s="168" t="s">
        <v>53</v>
      </c>
      <c r="D33" s="168" t="s">
        <v>54</v>
      </c>
      <c r="E33" s="1" t="s">
        <v>55</v>
      </c>
      <c r="G33" s="51"/>
      <c r="H33" s="51"/>
      <c r="I33" s="51"/>
      <c r="J33" s="51"/>
      <c r="K33" s="51">
        <f>G33+H33+I33+J33</f>
        <v>0</v>
      </c>
      <c r="M33" s="51">
        <f t="shared" ref="M33:P34" si="9">G33</f>
        <v>0</v>
      </c>
      <c r="N33" s="51">
        <f t="shared" si="9"/>
        <v>0</v>
      </c>
      <c r="O33" s="51">
        <f t="shared" si="9"/>
        <v>0</v>
      </c>
      <c r="P33" s="51">
        <f t="shared" si="9"/>
        <v>0</v>
      </c>
      <c r="Q33" s="51">
        <f>SUM(M33:P33)</f>
        <v>0</v>
      </c>
      <c r="R33" s="51"/>
      <c r="S33" s="51"/>
      <c r="T33" s="51"/>
      <c r="U33" s="51"/>
      <c r="V33" s="51"/>
      <c r="W33" s="51"/>
    </row>
    <row r="34" spans="2:23" x14ac:dyDescent="0.2">
      <c r="B34" s="168" t="s">
        <v>56</v>
      </c>
      <c r="D34" s="168" t="s">
        <v>57</v>
      </c>
      <c r="E34" s="1" t="s">
        <v>58</v>
      </c>
      <c r="G34" s="51"/>
      <c r="H34" s="51"/>
      <c r="I34" s="51"/>
      <c r="J34" s="51"/>
      <c r="K34" s="51">
        <f t="shared" ref="K34:K42" si="10">G34+H34+I34+J34</f>
        <v>0</v>
      </c>
      <c r="M34" s="51">
        <f t="shared" si="9"/>
        <v>0</v>
      </c>
      <c r="N34" s="51">
        <f t="shared" si="9"/>
        <v>0</v>
      </c>
      <c r="O34" s="51">
        <f t="shared" si="9"/>
        <v>0</v>
      </c>
      <c r="P34" s="51">
        <f t="shared" si="9"/>
        <v>0</v>
      </c>
      <c r="Q34" s="51">
        <f>SUM(M34:P34)</f>
        <v>0</v>
      </c>
      <c r="R34" s="51"/>
      <c r="S34" s="51"/>
      <c r="T34" s="51"/>
      <c r="U34" s="51"/>
      <c r="V34" s="51"/>
      <c r="W34" s="51"/>
    </row>
    <row r="35" spans="2:23" x14ac:dyDescent="0.2">
      <c r="D35" s="168"/>
      <c r="K35" s="51">
        <f t="shared" si="10"/>
        <v>0</v>
      </c>
      <c r="Q35" s="51"/>
      <c r="R35" s="51"/>
      <c r="S35" s="51"/>
      <c r="T35" s="51"/>
      <c r="U35" s="51"/>
      <c r="V35" s="51"/>
      <c r="W35" s="51"/>
    </row>
    <row r="36" spans="2:23" x14ac:dyDescent="0.2">
      <c r="D36" s="168" t="s">
        <v>59</v>
      </c>
      <c r="E36" s="1" t="s">
        <v>60</v>
      </c>
      <c r="G36" s="51"/>
      <c r="H36" s="51"/>
      <c r="I36" s="51"/>
      <c r="J36" s="51"/>
      <c r="K36" s="51">
        <f t="shared" si="10"/>
        <v>0</v>
      </c>
      <c r="M36" s="51">
        <f t="shared" ref="M36:P41" si="11">G36</f>
        <v>0</v>
      </c>
      <c r="N36" s="51">
        <f t="shared" si="11"/>
        <v>0</v>
      </c>
      <c r="O36" s="51">
        <f t="shared" si="11"/>
        <v>0</v>
      </c>
      <c r="P36" s="51">
        <f t="shared" si="11"/>
        <v>0</v>
      </c>
      <c r="Q36" s="51">
        <f t="shared" ref="Q36:Q41" si="12">SUM(M36:P36)</f>
        <v>0</v>
      </c>
      <c r="R36" s="51"/>
      <c r="S36" s="51"/>
      <c r="T36" s="51"/>
      <c r="U36" s="51"/>
      <c r="V36" s="51"/>
      <c r="W36" s="51"/>
    </row>
    <row r="37" spans="2:23" x14ac:dyDescent="0.2">
      <c r="D37" s="168" t="s">
        <v>61</v>
      </c>
      <c r="E37" s="1" t="s">
        <v>62</v>
      </c>
      <c r="G37" s="51"/>
      <c r="H37" s="51"/>
      <c r="I37" s="51"/>
      <c r="J37" s="51"/>
      <c r="K37" s="51">
        <f t="shared" si="10"/>
        <v>0</v>
      </c>
      <c r="M37" s="51">
        <f t="shared" si="11"/>
        <v>0</v>
      </c>
      <c r="N37" s="51">
        <f t="shared" si="11"/>
        <v>0</v>
      </c>
      <c r="O37" s="51">
        <f t="shared" si="11"/>
        <v>0</v>
      </c>
      <c r="P37" s="51">
        <f t="shared" si="11"/>
        <v>0</v>
      </c>
      <c r="Q37" s="51">
        <f t="shared" si="12"/>
        <v>0</v>
      </c>
      <c r="R37" s="51"/>
      <c r="S37" s="51"/>
      <c r="T37" s="51"/>
      <c r="U37" s="51"/>
      <c r="V37" s="51"/>
      <c r="W37" s="51"/>
    </row>
    <row r="38" spans="2:23" x14ac:dyDescent="0.2">
      <c r="D38" s="168"/>
      <c r="E38" s="1" t="s">
        <v>63</v>
      </c>
      <c r="G38" s="51"/>
      <c r="H38" s="51"/>
      <c r="I38" s="51"/>
      <c r="J38" s="51"/>
      <c r="K38" s="51">
        <f t="shared" si="10"/>
        <v>0</v>
      </c>
      <c r="M38" s="51">
        <f t="shared" si="11"/>
        <v>0</v>
      </c>
      <c r="N38" s="51">
        <f t="shared" si="11"/>
        <v>0</v>
      </c>
      <c r="O38" s="51">
        <f t="shared" si="11"/>
        <v>0</v>
      </c>
      <c r="P38" s="51">
        <f t="shared" si="11"/>
        <v>0</v>
      </c>
      <c r="Q38" s="51">
        <f t="shared" si="12"/>
        <v>0</v>
      </c>
      <c r="R38" s="51"/>
      <c r="S38" s="51"/>
      <c r="T38" s="51"/>
      <c r="U38" s="51"/>
      <c r="V38" s="51"/>
      <c r="W38" s="51"/>
    </row>
    <row r="39" spans="2:23" x14ac:dyDescent="0.2">
      <c r="D39" s="168"/>
      <c r="E39" s="1" t="s">
        <v>64</v>
      </c>
      <c r="G39" s="51"/>
      <c r="H39" s="51"/>
      <c r="I39" s="51"/>
      <c r="J39" s="51"/>
      <c r="K39" s="51">
        <f t="shared" si="10"/>
        <v>0</v>
      </c>
      <c r="M39" s="51">
        <f t="shared" si="11"/>
        <v>0</v>
      </c>
      <c r="N39" s="51">
        <f t="shared" si="11"/>
        <v>0</v>
      </c>
      <c r="O39" s="51">
        <f t="shared" si="11"/>
        <v>0</v>
      </c>
      <c r="P39" s="51">
        <f t="shared" si="11"/>
        <v>0</v>
      </c>
      <c r="Q39" s="51">
        <f t="shared" si="12"/>
        <v>0</v>
      </c>
      <c r="R39" s="51"/>
      <c r="S39" s="51"/>
      <c r="T39" s="51"/>
      <c r="U39" s="51"/>
      <c r="V39" s="51"/>
      <c r="W39" s="51"/>
    </row>
    <row r="40" spans="2:23" x14ac:dyDescent="0.2">
      <c r="D40" s="168"/>
      <c r="E40" s="1" t="s">
        <v>65</v>
      </c>
      <c r="G40" s="51">
        <v>249305</v>
      </c>
      <c r="H40" s="51"/>
      <c r="I40" s="51"/>
      <c r="J40" s="51"/>
      <c r="K40" s="51">
        <f t="shared" si="10"/>
        <v>249305</v>
      </c>
      <c r="M40" s="51">
        <f t="shared" si="11"/>
        <v>249305</v>
      </c>
      <c r="N40" s="51">
        <f t="shared" si="11"/>
        <v>0</v>
      </c>
      <c r="O40" s="51">
        <f t="shared" si="11"/>
        <v>0</v>
      </c>
      <c r="P40" s="51">
        <f t="shared" si="11"/>
        <v>0</v>
      </c>
      <c r="Q40" s="51">
        <f t="shared" si="12"/>
        <v>249305</v>
      </c>
      <c r="R40" s="51"/>
      <c r="S40" s="51"/>
      <c r="T40" s="51"/>
      <c r="U40" s="51"/>
      <c r="V40" s="51"/>
      <c r="W40" s="51"/>
    </row>
    <row r="41" spans="2:23" x14ac:dyDescent="0.2">
      <c r="D41" s="168"/>
      <c r="E41" s="1" t="s">
        <v>66</v>
      </c>
      <c r="G41" s="51"/>
      <c r="H41" s="51"/>
      <c r="I41" s="51"/>
      <c r="J41" s="51"/>
      <c r="K41" s="51">
        <f t="shared" si="10"/>
        <v>0</v>
      </c>
      <c r="M41" s="51">
        <f t="shared" si="11"/>
        <v>0</v>
      </c>
      <c r="N41" s="51">
        <f t="shared" si="11"/>
        <v>0</v>
      </c>
      <c r="O41" s="51">
        <f t="shared" si="11"/>
        <v>0</v>
      </c>
      <c r="P41" s="51">
        <f t="shared" si="11"/>
        <v>0</v>
      </c>
      <c r="Q41" s="51">
        <f t="shared" si="12"/>
        <v>0</v>
      </c>
      <c r="R41" s="51"/>
      <c r="S41" s="51"/>
      <c r="T41" s="51"/>
      <c r="U41" s="51"/>
      <c r="V41" s="51"/>
      <c r="W41" s="51"/>
    </row>
    <row r="42" spans="2:23" x14ac:dyDescent="0.2">
      <c r="D42" s="168"/>
      <c r="K42" s="51">
        <f t="shared" si="10"/>
        <v>0</v>
      </c>
      <c r="Q42" s="51"/>
      <c r="R42" s="51"/>
      <c r="S42" s="51"/>
      <c r="T42" s="51"/>
      <c r="U42" s="51"/>
      <c r="V42" s="51"/>
      <c r="W42" s="51"/>
    </row>
    <row r="43" spans="2:23" x14ac:dyDescent="0.2">
      <c r="D43" s="168" t="s">
        <v>67</v>
      </c>
      <c r="G43" s="51"/>
      <c r="H43" s="51">
        <f>H11</f>
        <v>0</v>
      </c>
      <c r="I43" s="51">
        <v>0</v>
      </c>
      <c r="J43" s="51">
        <v>0</v>
      </c>
      <c r="K43" s="51">
        <f>SUM(G43:J43)</f>
        <v>0</v>
      </c>
      <c r="M43" s="51">
        <f>G43</f>
        <v>0</v>
      </c>
      <c r="N43" s="51">
        <f>H43</f>
        <v>0</v>
      </c>
      <c r="O43" s="51">
        <f>I43</f>
        <v>0</v>
      </c>
      <c r="P43" s="51">
        <f>J43</f>
        <v>0</v>
      </c>
      <c r="Q43" s="51">
        <f>SUM(M43:P43)</f>
        <v>0</v>
      </c>
      <c r="R43" s="51"/>
      <c r="S43" s="51"/>
      <c r="T43" s="51"/>
      <c r="U43" s="51"/>
      <c r="V43" s="51"/>
      <c r="W43" s="51"/>
    </row>
    <row r="44" spans="2:23" x14ac:dyDescent="0.2">
      <c r="D44" s="168"/>
    </row>
    <row r="45" spans="2:23" x14ac:dyDescent="0.2">
      <c r="D45" s="168" t="s">
        <v>68</v>
      </c>
      <c r="G45" s="51"/>
      <c r="H45" s="51"/>
      <c r="I45" s="51">
        <v>0</v>
      </c>
      <c r="J45" s="51">
        <v>0</v>
      </c>
      <c r="K45" s="51">
        <f>SUM(G45:J45)</f>
        <v>0</v>
      </c>
      <c r="M45" s="51">
        <f>G45</f>
        <v>0</v>
      </c>
      <c r="N45" s="51">
        <f>H45</f>
        <v>0</v>
      </c>
      <c r="O45" s="51">
        <f>I45</f>
        <v>0</v>
      </c>
      <c r="P45" s="51">
        <f>J45</f>
        <v>0</v>
      </c>
      <c r="Q45" s="51">
        <f>SUM(M45:P45)</f>
        <v>0</v>
      </c>
      <c r="R45" s="51"/>
      <c r="S45" s="51"/>
      <c r="T45" s="51"/>
      <c r="U45" s="51"/>
      <c r="V45" s="51"/>
      <c r="W45" s="51"/>
    </row>
    <row r="46" spans="2:23" x14ac:dyDescent="0.2">
      <c r="D46" s="168"/>
    </row>
    <row r="47" spans="2:23" x14ac:dyDescent="0.2">
      <c r="D47" s="168" t="s">
        <v>69</v>
      </c>
      <c r="G47" s="51"/>
      <c r="H47" s="51"/>
      <c r="I47" s="51">
        <v>0</v>
      </c>
      <c r="J47" s="51">
        <v>0</v>
      </c>
      <c r="K47" s="51">
        <f>SUM(G47:J47)</f>
        <v>0</v>
      </c>
      <c r="M47" s="51">
        <f>G47</f>
        <v>0</v>
      </c>
      <c r="N47" s="51">
        <f>H47</f>
        <v>0</v>
      </c>
      <c r="O47" s="51">
        <f>I47</f>
        <v>0</v>
      </c>
      <c r="P47" s="51">
        <f>J47</f>
        <v>0</v>
      </c>
      <c r="Q47" s="51">
        <f>SUM(M47:P47)</f>
        <v>0</v>
      </c>
      <c r="R47" s="51"/>
      <c r="S47" s="51"/>
      <c r="T47" s="51"/>
      <c r="U47" s="51"/>
      <c r="V47" s="51"/>
      <c r="W47" s="51"/>
    </row>
    <row r="48" spans="2:23" x14ac:dyDescent="0.2">
      <c r="D48" s="168"/>
    </row>
    <row r="49" spans="2:23" x14ac:dyDescent="0.2">
      <c r="D49" s="168" t="s">
        <v>70</v>
      </c>
      <c r="G49" s="51"/>
      <c r="H49" s="51">
        <v>0</v>
      </c>
      <c r="I49" s="51">
        <v>0</v>
      </c>
      <c r="J49" s="51">
        <v>0</v>
      </c>
      <c r="K49" s="51">
        <f>SUM(G49:J49)</f>
        <v>0</v>
      </c>
      <c r="M49" s="51">
        <f>G49</f>
        <v>0</v>
      </c>
      <c r="N49" s="51">
        <f>H49</f>
        <v>0</v>
      </c>
      <c r="O49" s="51">
        <f>I49</f>
        <v>0</v>
      </c>
      <c r="P49" s="51">
        <f>J49</f>
        <v>0</v>
      </c>
      <c r="Q49" s="51">
        <f>SUM(M49:P49)</f>
        <v>0</v>
      </c>
      <c r="R49" s="51"/>
      <c r="S49" s="51"/>
      <c r="T49" s="51"/>
      <c r="U49" s="51"/>
      <c r="V49" s="51"/>
      <c r="W49" s="51"/>
    </row>
    <row r="50" spans="2:23" x14ac:dyDescent="0.2">
      <c r="D50" s="168" t="s">
        <v>71</v>
      </c>
    </row>
    <row r="51" spans="2:23" x14ac:dyDescent="0.2">
      <c r="D51" s="168"/>
    </row>
    <row r="52" spans="2:23" x14ac:dyDescent="0.2">
      <c r="B52" s="168"/>
      <c r="D52" s="168" t="s">
        <v>66</v>
      </c>
      <c r="G52" s="181"/>
      <c r="H52" s="181">
        <v>0</v>
      </c>
      <c r="I52" s="181">
        <v>0</v>
      </c>
      <c r="J52" s="181">
        <v>0</v>
      </c>
      <c r="K52" s="181">
        <f>SUM(G52:J52)</f>
        <v>0</v>
      </c>
      <c r="M52" s="181">
        <f>G52</f>
        <v>0</v>
      </c>
      <c r="N52" s="181">
        <f>H52</f>
        <v>0</v>
      </c>
      <c r="O52" s="181">
        <f>I52</f>
        <v>0</v>
      </c>
      <c r="P52" s="181">
        <f>J52</f>
        <v>0</v>
      </c>
      <c r="Q52" s="181">
        <f>SUM(M52:P52)</f>
        <v>0</v>
      </c>
      <c r="R52" s="51"/>
      <c r="S52" s="51"/>
      <c r="T52" s="51"/>
      <c r="U52" s="51"/>
      <c r="V52" s="51"/>
      <c r="W52" s="51"/>
    </row>
    <row r="53" spans="2:23" x14ac:dyDescent="0.2">
      <c r="D53" s="168" t="s">
        <v>72</v>
      </c>
      <c r="G53" s="182">
        <f>SUM(G33:G52)</f>
        <v>249305</v>
      </c>
      <c r="H53" s="182">
        <f>SUM(H33:H52)</f>
        <v>0</v>
      </c>
      <c r="I53" s="182">
        <f>SUM(I33:I52)</f>
        <v>0</v>
      </c>
      <c r="J53" s="182">
        <f>SUM(J33:J52)</f>
        <v>0</v>
      </c>
      <c r="K53" s="182">
        <f>SUM(G53:J53)</f>
        <v>249305</v>
      </c>
      <c r="M53" s="182">
        <f>SUM(M33:M52)</f>
        <v>249305</v>
      </c>
      <c r="N53" s="182">
        <f>SUM(N33:N52)</f>
        <v>0</v>
      </c>
      <c r="O53" s="182">
        <f>SUM(O33:O52)</f>
        <v>0</v>
      </c>
      <c r="P53" s="182">
        <f>SUM(P33:P52)</f>
        <v>0</v>
      </c>
      <c r="Q53" s="182">
        <f>SUM(M53:P53)</f>
        <v>249305</v>
      </c>
      <c r="R53" s="182"/>
      <c r="S53" s="182"/>
      <c r="T53" s="182"/>
      <c r="U53" s="182"/>
      <c r="V53" s="182"/>
      <c r="W53" s="182"/>
    </row>
    <row r="54" spans="2:23" x14ac:dyDescent="0.2">
      <c r="B54" s="168"/>
      <c r="G54" s="51"/>
    </row>
    <row r="55" spans="2:23" x14ac:dyDescent="0.2">
      <c r="B55" s="168" t="s">
        <v>73</v>
      </c>
      <c r="G55" s="51">
        <v>0</v>
      </c>
      <c r="H55" s="51">
        <v>0</v>
      </c>
      <c r="I55" s="51">
        <v>0</v>
      </c>
      <c r="J55" s="51">
        <v>0</v>
      </c>
      <c r="K55" s="51">
        <f>SUM(G55:J55)</f>
        <v>0</v>
      </c>
      <c r="M55" s="51">
        <v>0</v>
      </c>
      <c r="N55" s="51">
        <v>0</v>
      </c>
      <c r="O55" s="51">
        <v>0</v>
      </c>
      <c r="P55" s="51">
        <v>0</v>
      </c>
      <c r="Q55" s="51">
        <f>SUM(M55:P55)</f>
        <v>0</v>
      </c>
      <c r="R55" s="51"/>
      <c r="S55" s="51"/>
      <c r="T55" s="51"/>
      <c r="U55" s="51"/>
      <c r="V55" s="51"/>
      <c r="W55" s="51"/>
    </row>
    <row r="56" spans="2:23" x14ac:dyDescent="0.2">
      <c r="B56" s="168" t="s">
        <v>74</v>
      </c>
      <c r="D56" s="51"/>
    </row>
    <row r="57" spans="2:23" ht="13.5" thickBot="1" x14ac:dyDescent="0.25">
      <c r="K57" s="51"/>
      <c r="Q57" s="186"/>
      <c r="R57" s="51"/>
      <c r="S57" s="51"/>
      <c r="T57" s="51"/>
      <c r="U57" s="51"/>
      <c r="V57" s="51"/>
      <c r="W57" s="51"/>
    </row>
    <row r="58" spans="2:23" x14ac:dyDescent="0.2">
      <c r="B58" s="168" t="s">
        <v>75</v>
      </c>
      <c r="E58" s="51"/>
      <c r="G58" s="187">
        <f>G21+G24+G31+G53+G55</f>
        <v>749970</v>
      </c>
      <c r="H58" s="187">
        <f>H21+H24+H31+H53+H55</f>
        <v>38754</v>
      </c>
      <c r="I58" s="187">
        <f>I21+I24+I31+I53+I55</f>
        <v>937960</v>
      </c>
      <c r="J58" s="187">
        <f>J21+J24+J31+J53+J55</f>
        <v>0</v>
      </c>
      <c r="K58" s="187">
        <f>SUM(G58:J58)</f>
        <v>1726684</v>
      </c>
      <c r="L58" s="188"/>
      <c r="M58" s="187">
        <f>M21+M24+M31+M53+M55</f>
        <v>625281.37868656474</v>
      </c>
      <c r="N58" s="187">
        <f>N21+N24+N31+N53+N55</f>
        <v>29617.670294925178</v>
      </c>
      <c r="O58" s="187">
        <f>O21+O24+O31+O53+O55</f>
        <v>588203.465764769</v>
      </c>
      <c r="P58" s="187">
        <f>P21+P24+P31+P53+P55</f>
        <v>0</v>
      </c>
      <c r="Q58" s="187">
        <f>SUM(M58:P58)</f>
        <v>1243102.514746259</v>
      </c>
      <c r="R58" s="182"/>
      <c r="S58" s="182"/>
      <c r="T58" s="182"/>
      <c r="U58" s="182"/>
      <c r="V58" s="182"/>
      <c r="W58" s="182"/>
    </row>
    <row r="61" spans="2:23" ht="14.25" x14ac:dyDescent="0.2">
      <c r="B61" s="174" t="s">
        <v>76</v>
      </c>
    </row>
    <row r="62" spans="2:23" x14ac:dyDescent="0.2">
      <c r="E62" s="134"/>
    </row>
    <row r="63" spans="2:23" x14ac:dyDescent="0.2">
      <c r="D63" s="1" t="s">
        <v>77</v>
      </c>
      <c r="E63" s="134" t="s">
        <v>26</v>
      </c>
      <c r="G63" s="51">
        <f>822000*0.25</f>
        <v>205500</v>
      </c>
      <c r="H63" s="51">
        <f>822000*0.02</f>
        <v>16440</v>
      </c>
      <c r="I63" s="51">
        <f>822000*0.73</f>
        <v>600060</v>
      </c>
      <c r="J63" s="51"/>
      <c r="K63" s="51">
        <f>I63+H63+G63</f>
        <v>822000</v>
      </c>
      <c r="M63" s="51">
        <f>Q63*G83</f>
        <v>158755.44</v>
      </c>
      <c r="N63" s="51">
        <f>Q63*H83</f>
        <v>12700.4352</v>
      </c>
      <c r="O63" s="51">
        <f>Q63*I83</f>
        <v>463565.8848</v>
      </c>
      <c r="P63" s="51">
        <f t="shared" ref="P63" si="13">J63</f>
        <v>0</v>
      </c>
      <c r="Q63" s="51">
        <f>K63-((((68*114.57)*8)*3))</f>
        <v>635021.76</v>
      </c>
    </row>
    <row r="64" spans="2:23" x14ac:dyDescent="0.2">
      <c r="E64" s="134"/>
      <c r="G64" s="51"/>
      <c r="H64" s="51"/>
      <c r="I64" s="51"/>
      <c r="J64" s="51"/>
      <c r="K64" s="51"/>
      <c r="M64" s="51"/>
      <c r="N64" s="51"/>
      <c r="O64" s="51"/>
      <c r="P64" s="51"/>
      <c r="Q64" s="51"/>
    </row>
    <row r="65" spans="1:24" x14ac:dyDescent="0.2">
      <c r="D65" s="1" t="s">
        <v>94</v>
      </c>
      <c r="E65" s="134" t="s">
        <v>26</v>
      </c>
      <c r="G65" s="51">
        <v>0</v>
      </c>
      <c r="H65" s="51">
        <v>0</v>
      </c>
      <c r="I65" s="51">
        <v>550000</v>
      </c>
      <c r="J65" s="51">
        <v>0</v>
      </c>
      <c r="K65" s="51">
        <f>I65+H65+G65</f>
        <v>550000</v>
      </c>
      <c r="M65" s="51">
        <f>G65</f>
        <v>0</v>
      </c>
      <c r="N65" s="51">
        <f>H65</f>
        <v>0</v>
      </c>
      <c r="O65" s="51">
        <f>I65</f>
        <v>550000</v>
      </c>
      <c r="P65" s="51">
        <f>J65</f>
        <v>0</v>
      </c>
      <c r="Q65" s="51">
        <f>K65</f>
        <v>550000</v>
      </c>
    </row>
    <row r="66" spans="1:24" x14ac:dyDescent="0.2">
      <c r="E66" s="134"/>
    </row>
    <row r="67" spans="1:24" s="169" customFormat="1" x14ac:dyDescent="0.2">
      <c r="A67" s="1"/>
      <c r="B67" s="1"/>
      <c r="C67" s="1"/>
      <c r="D67" s="1" t="s">
        <v>78</v>
      </c>
      <c r="E67" s="134" t="s">
        <v>26</v>
      </c>
      <c r="F67" s="1"/>
      <c r="G67" s="51">
        <v>949564.25</v>
      </c>
      <c r="H67" s="51">
        <v>75965.14</v>
      </c>
      <c r="I67" s="51">
        <v>2772727.61</v>
      </c>
      <c r="J67" s="51">
        <v>0</v>
      </c>
      <c r="K67" s="51">
        <f>I67+H67+G67</f>
        <v>3798257</v>
      </c>
      <c r="L67" s="1"/>
      <c r="M67" s="51">
        <f>G67</f>
        <v>949564.25</v>
      </c>
      <c r="N67" s="51">
        <f>H67</f>
        <v>75965.14</v>
      </c>
      <c r="O67" s="51">
        <f>I67</f>
        <v>2772727.61</v>
      </c>
      <c r="P67" s="51">
        <f>J67</f>
        <v>0</v>
      </c>
      <c r="Q67" s="51">
        <f>K67</f>
        <v>3798257</v>
      </c>
      <c r="R67" s="51"/>
      <c r="S67" s="51"/>
      <c r="T67" s="51"/>
      <c r="U67" s="51"/>
      <c r="V67" s="51"/>
      <c r="W67" s="51"/>
      <c r="X67" s="1"/>
    </row>
    <row r="68" spans="1:24" s="169" customFormat="1" ht="13.5" thickBo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s="169" customFormat="1" ht="13.5" thickBot="1" x14ac:dyDescent="0.25">
      <c r="A69" s="1"/>
      <c r="B69" s="168" t="s">
        <v>79</v>
      </c>
      <c r="C69" s="1"/>
      <c r="D69" s="1"/>
      <c r="E69" s="134" t="s">
        <v>26</v>
      </c>
      <c r="F69" s="1"/>
      <c r="G69" s="187">
        <f>G67+G63</f>
        <v>1155064.25</v>
      </c>
      <c r="H69" s="187">
        <f>H67+H63</f>
        <v>92405.14</v>
      </c>
      <c r="I69" s="187">
        <f>I67+I63+I65</f>
        <v>3922787.61</v>
      </c>
      <c r="J69" s="187">
        <f t="shared" ref="H69:Q70" si="14">J67</f>
        <v>0</v>
      </c>
      <c r="K69" s="187">
        <f>K67+K63+K65</f>
        <v>5170257</v>
      </c>
      <c r="L69" s="187">
        <f t="shared" ref="L69:Q69" si="15">L67+L63+L65</f>
        <v>0</v>
      </c>
      <c r="M69" s="187">
        <f t="shared" si="15"/>
        <v>1108319.69</v>
      </c>
      <c r="N69" s="187">
        <f t="shared" si="15"/>
        <v>88665.575199999992</v>
      </c>
      <c r="O69" s="187">
        <f>O67+O63+O65</f>
        <v>3786293.4948</v>
      </c>
      <c r="P69" s="187">
        <f t="shared" si="15"/>
        <v>0</v>
      </c>
      <c r="Q69" s="187">
        <f t="shared" si="15"/>
        <v>4983278.76</v>
      </c>
      <c r="R69" s="182"/>
      <c r="S69" s="182"/>
      <c r="T69" s="182"/>
      <c r="U69" s="182"/>
      <c r="V69" s="182"/>
      <c r="W69" s="182"/>
      <c r="X69" s="51"/>
    </row>
    <row r="70" spans="1:24" s="169" customFormat="1" x14ac:dyDescent="0.2">
      <c r="A70" s="1"/>
      <c r="B70" s="168"/>
      <c r="C70" s="1"/>
      <c r="D70" s="1"/>
      <c r="E70" s="134" t="s">
        <v>28</v>
      </c>
      <c r="F70" s="1"/>
      <c r="G70" s="187">
        <f>G68</f>
        <v>0</v>
      </c>
      <c r="H70" s="187">
        <f t="shared" si="14"/>
        <v>0</v>
      </c>
      <c r="I70" s="187">
        <f t="shared" si="14"/>
        <v>0</v>
      </c>
      <c r="J70" s="187">
        <f t="shared" si="14"/>
        <v>0</v>
      </c>
      <c r="K70" s="187">
        <f t="shared" si="14"/>
        <v>0</v>
      </c>
      <c r="L70" s="1"/>
      <c r="M70" s="187">
        <f t="shared" si="14"/>
        <v>0</v>
      </c>
      <c r="N70" s="187">
        <f t="shared" si="14"/>
        <v>0</v>
      </c>
      <c r="O70" s="187">
        <f t="shared" si="14"/>
        <v>0</v>
      </c>
      <c r="P70" s="187">
        <f t="shared" si="14"/>
        <v>0</v>
      </c>
      <c r="Q70" s="187">
        <f t="shared" si="14"/>
        <v>0</v>
      </c>
      <c r="R70" s="189"/>
      <c r="S70" s="189"/>
      <c r="T70" s="189"/>
      <c r="U70" s="189"/>
      <c r="V70" s="189"/>
      <c r="W70" s="189"/>
      <c r="X70" s="1"/>
    </row>
    <row r="71" spans="1:24" s="169" customFormat="1" x14ac:dyDescent="0.2">
      <c r="A71" s="1"/>
      <c r="B71" s="1"/>
      <c r="C71" s="1"/>
      <c r="D71" s="1"/>
      <c r="E71" s="1"/>
      <c r="F71" s="1"/>
      <c r="G71" s="1"/>
      <c r="H71" s="1"/>
      <c r="I71" s="1"/>
      <c r="J71" s="1"/>
      <c r="K71" s="51"/>
      <c r="L71" s="1"/>
      <c r="M71" s="1"/>
      <c r="N71" s="1"/>
      <c r="O71" s="1"/>
      <c r="P71" s="1"/>
      <c r="Q71" s="1"/>
      <c r="R71" s="1"/>
      <c r="S71" s="1"/>
      <c r="T71" s="1"/>
      <c r="U71" s="1"/>
      <c r="V71" s="1"/>
      <c r="W71" s="1"/>
      <c r="X71" s="51"/>
    </row>
    <row r="72" spans="1:24" s="169" customFormat="1" ht="13.5" thickBo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s="169" customFormat="1" ht="15" thickBot="1" x14ac:dyDescent="0.25">
      <c r="A73" s="1"/>
      <c r="B73" s="174" t="s">
        <v>80</v>
      </c>
      <c r="C73" s="1"/>
      <c r="D73" s="1"/>
      <c r="E73" s="1"/>
      <c r="F73" s="1"/>
      <c r="G73" s="190">
        <f>G58+G69</f>
        <v>1905034.25</v>
      </c>
      <c r="H73" s="190">
        <f t="shared" ref="H73:P73" si="16">H58+H69</f>
        <v>131159.14000000001</v>
      </c>
      <c r="I73" s="190">
        <f t="shared" si="16"/>
        <v>4860747.6099999994</v>
      </c>
      <c r="J73" s="190">
        <f t="shared" si="16"/>
        <v>0</v>
      </c>
      <c r="K73" s="190">
        <f t="shared" si="16"/>
        <v>6896941</v>
      </c>
      <c r="L73" s="190">
        <f t="shared" si="16"/>
        <v>0</v>
      </c>
      <c r="M73" s="190">
        <f>M58+M69</f>
        <v>1733601.0686865647</v>
      </c>
      <c r="N73" s="190">
        <f>N58+N69</f>
        <v>118283.24549492517</v>
      </c>
      <c r="O73" s="190">
        <f>O58+O69</f>
        <v>4374496.9605647689</v>
      </c>
      <c r="P73" s="190">
        <f t="shared" si="16"/>
        <v>0</v>
      </c>
      <c r="Q73" s="190">
        <f>Q58+Q69</f>
        <v>6226381.2747462587</v>
      </c>
      <c r="R73" s="182"/>
      <c r="S73" s="182"/>
      <c r="T73" s="182"/>
      <c r="U73" s="182"/>
      <c r="V73" s="182"/>
      <c r="W73" s="182"/>
      <c r="X73" s="1"/>
    </row>
    <row r="74" spans="1:24" s="169" customFormat="1" ht="13.5" thickTop="1" x14ac:dyDescent="0.2">
      <c r="A74" s="1"/>
      <c r="B74" s="1"/>
      <c r="C74" s="1"/>
      <c r="D74" s="1"/>
      <c r="E74" s="1"/>
      <c r="F74" s="1"/>
      <c r="G74" s="1"/>
      <c r="H74" s="1"/>
      <c r="I74" s="191"/>
      <c r="J74" s="1"/>
      <c r="K74" s="1"/>
      <c r="L74" s="1"/>
      <c r="M74" s="1"/>
      <c r="N74" s="1"/>
      <c r="O74" s="192"/>
      <c r="P74" s="1"/>
      <c r="Q74" s="1"/>
      <c r="R74" s="1"/>
      <c r="S74" s="1"/>
      <c r="T74" s="1"/>
      <c r="U74" s="1"/>
      <c r="V74" s="1"/>
      <c r="W74" s="1"/>
      <c r="X74" s="1"/>
    </row>
    <row r="75" spans="1:24" x14ac:dyDescent="0.2">
      <c r="I75" s="191"/>
      <c r="K75" s="51"/>
      <c r="O75" s="192"/>
    </row>
    <row r="76" spans="1:24" x14ac:dyDescent="0.2">
      <c r="G76" s="111"/>
      <c r="H76" s="111"/>
      <c r="I76" s="111"/>
      <c r="J76" s="51"/>
      <c r="K76" s="51"/>
      <c r="O76" s="192"/>
    </row>
    <row r="77" spans="1:24" x14ac:dyDescent="0.2">
      <c r="G77" s="191"/>
      <c r="H77" s="191"/>
      <c r="I77" s="191"/>
      <c r="K77" s="51"/>
      <c r="O77" s="193"/>
    </row>
    <row r="78" spans="1:24" x14ac:dyDescent="0.2">
      <c r="G78" s="194"/>
      <c r="H78" s="194"/>
      <c r="I78" s="194"/>
      <c r="J78" s="111"/>
      <c r="K78" s="51"/>
      <c r="O78" s="192"/>
    </row>
    <row r="79" spans="1:24" x14ac:dyDescent="0.2">
      <c r="G79" s="191"/>
      <c r="H79" s="191"/>
      <c r="I79" s="191"/>
      <c r="J79" s="51"/>
      <c r="K79" s="51"/>
      <c r="M79" s="195"/>
      <c r="N79" s="195"/>
      <c r="O79" s="196"/>
      <c r="P79" s="195"/>
      <c r="Q79" s="195"/>
      <c r="R79" s="195"/>
      <c r="S79" s="195"/>
      <c r="T79" s="195"/>
      <c r="U79" s="195"/>
    </row>
    <row r="80" spans="1:24" x14ac:dyDescent="0.2">
      <c r="G80" s="191"/>
      <c r="H80" s="191"/>
      <c r="I80" s="191"/>
      <c r="J80" s="191"/>
      <c r="K80" s="191"/>
      <c r="M80" s="195"/>
      <c r="N80" s="195"/>
      <c r="O80" s="196"/>
      <c r="P80" s="195"/>
      <c r="Q80" s="195"/>
      <c r="R80" s="195"/>
      <c r="S80" s="195"/>
      <c r="T80" s="195"/>
      <c r="U80" s="195"/>
    </row>
    <row r="81" spans="5:25" x14ac:dyDescent="0.2">
      <c r="G81" s="197"/>
      <c r="I81" s="191"/>
      <c r="M81" s="195"/>
      <c r="N81" s="195"/>
      <c r="O81" s="196"/>
      <c r="P81" s="195"/>
      <c r="Q81" s="195"/>
      <c r="R81" s="195"/>
      <c r="S81" s="195"/>
      <c r="T81" s="195"/>
      <c r="U81" s="195"/>
    </row>
    <row r="82" spans="5:25" ht="13.5" thickBot="1" x14ac:dyDescent="0.25">
      <c r="M82" s="195"/>
      <c r="N82" s="195"/>
      <c r="O82" s="195"/>
      <c r="P82" s="195"/>
      <c r="Q82" s="195"/>
      <c r="R82" s="195"/>
      <c r="S82" s="195"/>
      <c r="T82" s="195"/>
      <c r="U82" s="195"/>
    </row>
    <row r="83" spans="5:25" x14ac:dyDescent="0.2">
      <c r="E83" s="198"/>
      <c r="F83" s="199"/>
      <c r="G83" s="200">
        <v>0.25</v>
      </c>
      <c r="H83" s="200">
        <v>0.02</v>
      </c>
      <c r="I83" s="200">
        <v>0.73</v>
      </c>
      <c r="J83" s="199"/>
      <c r="K83" s="201"/>
      <c r="M83" s="202"/>
      <c r="N83" s="76"/>
      <c r="O83" s="76"/>
      <c r="P83" s="76"/>
      <c r="Q83" s="203"/>
      <c r="R83" s="169"/>
      <c r="S83" s="169"/>
      <c r="T83" s="169"/>
      <c r="U83" s="169"/>
    </row>
    <row r="84" spans="5:25" x14ac:dyDescent="0.2">
      <c r="E84" s="204"/>
      <c r="K84" s="205"/>
      <c r="M84" s="206"/>
      <c r="N84" s="169"/>
      <c r="O84" s="169"/>
      <c r="P84" s="169"/>
      <c r="Q84" s="169"/>
      <c r="R84" s="169"/>
      <c r="S84" s="169"/>
      <c r="T84" s="169"/>
      <c r="U84" s="169"/>
    </row>
    <row r="85" spans="5:25" x14ac:dyDescent="0.2">
      <c r="E85" s="204" t="s">
        <v>81</v>
      </c>
      <c r="K85" s="207">
        <f>K73</f>
        <v>6896941</v>
      </c>
      <c r="M85" s="208"/>
      <c r="N85" s="203"/>
      <c r="O85" s="203"/>
      <c r="P85" s="203"/>
      <c r="Q85" s="203"/>
      <c r="R85" s="169"/>
      <c r="S85" s="169"/>
      <c r="T85" s="169"/>
      <c r="U85" s="169"/>
    </row>
    <row r="86" spans="5:25" x14ac:dyDescent="0.2">
      <c r="E86" s="204" t="s">
        <v>82</v>
      </c>
      <c r="K86" s="207">
        <v>0</v>
      </c>
      <c r="M86" s="195"/>
      <c r="N86" s="169"/>
      <c r="O86" s="169"/>
      <c r="P86" s="169"/>
      <c r="Q86" s="169"/>
      <c r="R86" s="169"/>
      <c r="S86" s="169"/>
      <c r="T86" s="169"/>
      <c r="U86" s="169"/>
    </row>
    <row r="87" spans="5:25" x14ac:dyDescent="0.2">
      <c r="E87" s="204"/>
      <c r="K87" s="207"/>
      <c r="M87" s="208"/>
      <c r="N87" s="169"/>
      <c r="O87" s="169"/>
      <c r="P87" s="169"/>
      <c r="Q87" s="169"/>
      <c r="R87" s="169"/>
      <c r="S87" s="169"/>
      <c r="T87" s="169"/>
      <c r="U87" s="169"/>
    </row>
    <row r="88" spans="5:25" x14ac:dyDescent="0.2">
      <c r="E88" s="204" t="s">
        <v>83</v>
      </c>
      <c r="K88" s="209">
        <f>SUM(K85:K87)</f>
        <v>6896941</v>
      </c>
      <c r="M88" s="208"/>
      <c r="N88" s="169"/>
      <c r="O88" s="169"/>
      <c r="P88" s="169"/>
      <c r="Q88" s="169"/>
      <c r="R88" s="169"/>
      <c r="S88" s="169"/>
      <c r="T88" s="169"/>
      <c r="U88" s="169"/>
    </row>
    <row r="89" spans="5:25" x14ac:dyDescent="0.2">
      <c r="E89" s="204" t="s">
        <v>84</v>
      </c>
      <c r="K89" s="207">
        <f>I65</f>
        <v>550000</v>
      </c>
      <c r="M89" s="208"/>
      <c r="N89" s="169"/>
      <c r="O89" s="210"/>
      <c r="P89" s="210"/>
      <c r="Q89" s="203"/>
      <c r="R89" s="169"/>
      <c r="S89" s="169"/>
      <c r="T89" s="169"/>
      <c r="U89" s="169"/>
    </row>
    <row r="90" spans="5:25" x14ac:dyDescent="0.2">
      <c r="E90" s="204" t="s">
        <v>85</v>
      </c>
      <c r="K90" s="207">
        <f>G53</f>
        <v>249305</v>
      </c>
      <c r="M90" s="208"/>
      <c r="N90" s="169"/>
      <c r="O90" s="210"/>
      <c r="P90" s="210"/>
      <c r="Q90" s="203"/>
      <c r="R90" s="169"/>
      <c r="S90" s="169"/>
      <c r="T90" s="169"/>
      <c r="U90" s="169"/>
    </row>
    <row r="91" spans="5:25" x14ac:dyDescent="0.2">
      <c r="E91" s="204"/>
      <c r="K91" s="207"/>
      <c r="M91" s="208"/>
      <c r="N91" s="169"/>
      <c r="O91" s="210"/>
      <c r="P91" s="210"/>
      <c r="Q91" s="203"/>
      <c r="R91" s="169"/>
      <c r="S91" s="169"/>
      <c r="T91" s="169"/>
      <c r="U91" s="169"/>
    </row>
    <row r="92" spans="5:25" ht="13.5" thickBot="1" x14ac:dyDescent="0.25">
      <c r="E92" s="204" t="s">
        <v>86</v>
      </c>
      <c r="K92" s="211">
        <f>K88-K89-K90-K91</f>
        <v>6097636</v>
      </c>
      <c r="M92" s="208"/>
      <c r="N92" s="169"/>
      <c r="O92" s="169"/>
      <c r="P92" s="169"/>
      <c r="Q92" s="169"/>
      <c r="R92" s="169"/>
      <c r="S92" s="169"/>
      <c r="T92" s="169"/>
      <c r="U92" s="169"/>
    </row>
    <row r="93" spans="5:25" ht="13.5" thickTop="1" x14ac:dyDescent="0.2">
      <c r="E93" s="204"/>
      <c r="J93" s="212" t="s">
        <v>87</v>
      </c>
      <c r="K93" s="207"/>
      <c r="M93" s="208"/>
      <c r="N93" s="169"/>
      <c r="O93" s="169"/>
      <c r="P93" s="169"/>
      <c r="Q93" s="203"/>
      <c r="R93" s="169"/>
      <c r="S93" s="169"/>
      <c r="T93" s="169"/>
      <c r="U93" s="169"/>
    </row>
    <row r="94" spans="5:25" x14ac:dyDescent="0.2">
      <c r="E94" s="204" t="s">
        <v>81</v>
      </c>
      <c r="G94" s="213">
        <f>G73</f>
        <v>1905034.25</v>
      </c>
      <c r="H94" s="213">
        <f>H73</f>
        <v>131159.14000000001</v>
      </c>
      <c r="I94" s="213">
        <f>I73</f>
        <v>4860747.6099999994</v>
      </c>
      <c r="J94" s="213"/>
      <c r="K94" s="207"/>
      <c r="M94" s="208"/>
      <c r="N94" s="169"/>
      <c r="O94" s="169"/>
      <c r="P94" s="169"/>
      <c r="Q94" s="169"/>
      <c r="R94" s="169"/>
      <c r="S94" s="169"/>
      <c r="T94" s="169"/>
      <c r="U94" s="169">
        <v>0</v>
      </c>
      <c r="Y94" s="169">
        <v>900323.36</v>
      </c>
    </row>
    <row r="95" spans="5:25" x14ac:dyDescent="0.2">
      <c r="E95" s="204" t="s">
        <v>88</v>
      </c>
      <c r="G95" s="213">
        <f>K90</f>
        <v>249305</v>
      </c>
      <c r="H95" s="214">
        <v>0</v>
      </c>
      <c r="I95" s="214">
        <f>K89</f>
        <v>550000</v>
      </c>
      <c r="K95" s="205"/>
      <c r="M95" s="195"/>
      <c r="N95" s="169"/>
      <c r="O95" s="169"/>
      <c r="P95" s="169"/>
      <c r="Q95" s="169"/>
      <c r="R95" s="169"/>
      <c r="S95" s="169"/>
      <c r="T95" s="169"/>
      <c r="U95" s="169"/>
    </row>
    <row r="96" spans="5:25" ht="13.5" thickBot="1" x14ac:dyDescent="0.25">
      <c r="E96" s="204" t="s">
        <v>89</v>
      </c>
      <c r="G96" s="215">
        <f>G94-G95</f>
        <v>1655729.25</v>
      </c>
      <c r="H96" s="215">
        <f>H94-H95</f>
        <v>131159.14000000001</v>
      </c>
      <c r="I96" s="215">
        <f>I94-I95</f>
        <v>4310747.6099999994</v>
      </c>
      <c r="J96" s="2"/>
      <c r="K96" s="207"/>
      <c r="M96" s="195"/>
      <c r="N96" s="169"/>
      <c r="O96" s="169"/>
      <c r="P96" s="177"/>
      <c r="Q96" s="169"/>
      <c r="R96" s="169"/>
      <c r="S96" s="169"/>
      <c r="T96" s="169"/>
      <c r="U96" s="169"/>
    </row>
    <row r="97" spans="5:21" ht="14.25" thickTop="1" thickBot="1" x14ac:dyDescent="0.25">
      <c r="E97" s="204" t="s">
        <v>90</v>
      </c>
      <c r="G97" s="216">
        <f>G96/$K$92</f>
        <v>0.27153625601790593</v>
      </c>
      <c r="H97" s="216">
        <f t="shared" ref="H97:I97" si="17">H96/$K$92</f>
        <v>2.1509834302998739E-2</v>
      </c>
      <c r="I97" s="216">
        <f t="shared" si="17"/>
        <v>0.70695390967909522</v>
      </c>
      <c r="J97" s="213"/>
      <c r="K97" s="207"/>
      <c r="M97" s="195"/>
      <c r="N97" s="169"/>
      <c r="O97" s="169"/>
      <c r="P97" s="169"/>
      <c r="Q97" s="169"/>
      <c r="R97" s="169"/>
      <c r="S97" s="169"/>
      <c r="T97" s="169"/>
      <c r="U97" s="169"/>
    </row>
    <row r="98" spans="5:21" ht="14.25" thickTop="1" thickBot="1" x14ac:dyDescent="0.25">
      <c r="E98" s="217"/>
      <c r="F98" s="218"/>
      <c r="G98" s="219" t="s">
        <v>91</v>
      </c>
      <c r="H98" s="219" t="s">
        <v>92</v>
      </c>
      <c r="I98" s="219" t="s">
        <v>5</v>
      </c>
      <c r="J98" s="218"/>
      <c r="K98" s="220"/>
      <c r="M98" s="195"/>
      <c r="N98" s="221"/>
      <c r="O98" s="221"/>
      <c r="P98" s="221"/>
      <c r="Q98" s="169"/>
      <c r="R98" s="169"/>
      <c r="S98" s="169"/>
      <c r="T98" s="169"/>
      <c r="U98" s="169"/>
    </row>
    <row r="99" spans="5:21" x14ac:dyDescent="0.2">
      <c r="J99" s="199"/>
      <c r="K99" s="222"/>
      <c r="M99" s="195"/>
      <c r="N99" s="221"/>
      <c r="O99" s="221"/>
      <c r="P99" s="221"/>
      <c r="Q99" s="169"/>
      <c r="R99" s="169"/>
      <c r="S99" s="169"/>
      <c r="T99" s="169"/>
      <c r="U99" s="169"/>
    </row>
    <row r="100" spans="5:21" x14ac:dyDescent="0.2">
      <c r="J100" s="213"/>
      <c r="K100" s="213"/>
      <c r="M100" s="195"/>
      <c r="N100" s="169"/>
      <c r="O100" s="169"/>
      <c r="P100" s="169"/>
      <c r="Q100" s="169"/>
      <c r="R100" s="169"/>
      <c r="S100" s="169"/>
      <c r="T100" s="169"/>
      <c r="U100" s="169"/>
    </row>
    <row r="101" spans="5:21" x14ac:dyDescent="0.2">
      <c r="E101" s="223"/>
      <c r="G101" s="213"/>
      <c r="H101" s="213"/>
      <c r="I101" s="224"/>
      <c r="J101" s="225"/>
      <c r="K101" s="224"/>
      <c r="M101" s="195"/>
      <c r="N101" s="169"/>
      <c r="O101" s="169"/>
      <c r="P101" s="169"/>
      <c r="Q101" s="169"/>
      <c r="R101" s="169"/>
      <c r="S101" s="169"/>
      <c r="T101" s="169"/>
      <c r="U101" s="169"/>
    </row>
    <row r="102" spans="5:21" x14ac:dyDescent="0.2">
      <c r="I102" s="224"/>
      <c r="J102" s="225"/>
      <c r="K102" s="225"/>
      <c r="M102" s="208"/>
      <c r="N102" s="226"/>
      <c r="O102" s="226"/>
      <c r="P102" s="226"/>
      <c r="Q102" s="169"/>
      <c r="R102" s="169"/>
      <c r="S102" s="169"/>
      <c r="T102" s="169"/>
      <c r="U102" s="169"/>
    </row>
    <row r="103" spans="5:21" x14ac:dyDescent="0.2">
      <c r="H103" s="213"/>
      <c r="I103" s="213"/>
      <c r="M103" s="195"/>
      <c r="N103" s="169"/>
      <c r="O103" s="169"/>
      <c r="P103" s="169"/>
      <c r="Q103" s="169"/>
      <c r="R103" s="169"/>
      <c r="S103" s="169"/>
      <c r="T103" s="169"/>
      <c r="U103" s="169"/>
    </row>
    <row r="104" spans="5:21" x14ac:dyDescent="0.2">
      <c r="G104" s="227"/>
      <c r="H104" s="227"/>
      <c r="I104" s="227"/>
      <c r="M104" s="195"/>
      <c r="N104" s="195"/>
      <c r="O104" s="195"/>
      <c r="P104" s="195"/>
      <c r="Q104" s="195"/>
      <c r="R104" s="195"/>
      <c r="S104" s="195"/>
      <c r="T104" s="195"/>
      <c r="U104" s="195"/>
    </row>
    <row r="105" spans="5:21" x14ac:dyDescent="0.2">
      <c r="G105" s="213"/>
      <c r="H105" s="213"/>
      <c r="I105" s="213"/>
      <c r="M105" s="195"/>
      <c r="N105" s="195"/>
      <c r="O105" s="195"/>
      <c r="P105" s="195"/>
      <c r="Q105" s="195"/>
      <c r="R105" s="195"/>
      <c r="S105" s="195"/>
      <c r="T105" s="195"/>
      <c r="U105" s="195"/>
    </row>
    <row r="106" spans="5:21" x14ac:dyDescent="0.2">
      <c r="G106" s="227"/>
      <c r="H106" s="227"/>
      <c r="I106" s="227"/>
      <c r="M106" s="195"/>
      <c r="N106" s="195"/>
      <c r="O106" s="195"/>
      <c r="P106" s="195"/>
      <c r="Q106" s="195"/>
      <c r="R106" s="195"/>
      <c r="S106" s="195"/>
      <c r="T106" s="195"/>
      <c r="U106" s="195"/>
    </row>
    <row r="107" spans="5:21" x14ac:dyDescent="0.2">
      <c r="G107" s="228"/>
      <c r="H107" s="228"/>
      <c r="I107" s="228"/>
      <c r="M107" s="195"/>
      <c r="N107" s="195"/>
      <c r="O107" s="195"/>
      <c r="P107" s="195"/>
      <c r="Q107" s="195"/>
      <c r="R107" s="195"/>
      <c r="S107" s="195"/>
      <c r="T107" s="195"/>
      <c r="U107" s="195"/>
    </row>
    <row r="108" spans="5:21" x14ac:dyDescent="0.2">
      <c r="G108" s="213"/>
      <c r="H108" s="213"/>
      <c r="I108" s="213"/>
      <c r="M108" s="195"/>
      <c r="N108" s="195"/>
      <c r="O108" s="195"/>
      <c r="P108" s="195"/>
      <c r="Q108" s="195"/>
      <c r="R108" s="195"/>
      <c r="S108" s="195"/>
      <c r="T108" s="195"/>
      <c r="U108" s="195"/>
    </row>
    <row r="109" spans="5:21" x14ac:dyDescent="0.2">
      <c r="M109" s="195"/>
      <c r="N109" s="195"/>
      <c r="O109" s="195"/>
      <c r="P109" s="195"/>
      <c r="Q109" s="195"/>
      <c r="R109" s="195"/>
      <c r="S109" s="195"/>
      <c r="T109" s="195"/>
      <c r="U109" s="195"/>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0595C-51F8-4434-A7F6-793EA5F616D5}">
  <sheetPr>
    <pageSetUpPr fitToPage="1"/>
  </sheetPr>
  <dimension ref="A1:Y109"/>
  <sheetViews>
    <sheetView zoomScale="90" zoomScaleNormal="90" workbookViewId="0">
      <selection activeCell="G68" sqref="G68"/>
    </sheetView>
  </sheetViews>
  <sheetFormatPr defaultColWidth="9.140625" defaultRowHeight="12.75" x14ac:dyDescent="0.2"/>
  <cols>
    <col min="1" max="1" width="0.85546875" style="6" customWidth="1"/>
    <col min="2" max="2" width="22.140625" style="6" customWidth="1"/>
    <col min="3" max="3" width="0.85546875" style="6" customWidth="1"/>
    <col min="4" max="4" width="36.140625" style="6" customWidth="1"/>
    <col min="5" max="5" width="22" style="6" bestFit="1" customWidth="1"/>
    <col min="6" max="6" width="1.28515625" style="6" customWidth="1"/>
    <col min="7" max="7" width="22.5703125" style="6" customWidth="1"/>
    <col min="8" max="8" width="20" style="6" customWidth="1"/>
    <col min="9" max="9" width="16.140625" style="6" customWidth="1"/>
    <col min="10" max="10" width="14.7109375" style="6" customWidth="1"/>
    <col min="11" max="11" width="16.85546875" style="6" customWidth="1"/>
    <col min="12" max="12" width="1.7109375" style="6" customWidth="1"/>
    <col min="13" max="13" width="14.7109375" style="6" customWidth="1"/>
    <col min="14" max="14" width="15.85546875" style="6" customWidth="1"/>
    <col min="15" max="15" width="16.85546875" style="6" customWidth="1"/>
    <col min="16" max="16" width="14.7109375" style="6" customWidth="1"/>
    <col min="17" max="17" width="16.140625" style="6" customWidth="1"/>
    <col min="18" max="19" width="2.5703125" style="6" customWidth="1"/>
    <col min="20" max="23" width="16.140625" style="6" customWidth="1"/>
    <col min="24" max="24" width="2.7109375" style="6" customWidth="1"/>
    <col min="25" max="25" width="47" style="3" hidden="1" customWidth="1"/>
    <col min="26" max="16384" width="9.140625" style="6"/>
  </cols>
  <sheetData>
    <row r="1" spans="2:25" ht="15" x14ac:dyDescent="0.25">
      <c r="E1" s="53"/>
      <c r="F1" s="53"/>
      <c r="I1" s="54"/>
    </row>
    <row r="2" spans="2:25" ht="20.25" thickBot="1" x14ac:dyDescent="0.3">
      <c r="B2" s="55" t="s">
        <v>6</v>
      </c>
      <c r="C2" s="53"/>
      <c r="D2" s="53"/>
      <c r="E2" s="53"/>
      <c r="F2" s="53"/>
      <c r="G2" s="272" t="s">
        <v>139</v>
      </c>
      <c r="H2" s="272"/>
      <c r="I2" s="272"/>
      <c r="J2" s="272"/>
      <c r="K2" s="272"/>
      <c r="M2" s="272" t="s">
        <v>140</v>
      </c>
      <c r="N2" s="272"/>
      <c r="O2" s="272"/>
      <c r="P2" s="272"/>
      <c r="Q2" s="272"/>
      <c r="R2" s="4"/>
      <c r="S2" s="4"/>
      <c r="T2" s="4"/>
      <c r="U2" s="4"/>
      <c r="V2" s="4"/>
      <c r="W2" s="4"/>
    </row>
    <row r="3" spans="2:25" ht="19.5" x14ac:dyDescent="0.25">
      <c r="B3" s="55" t="s">
        <v>7</v>
      </c>
      <c r="C3" s="53"/>
      <c r="D3" s="53"/>
    </row>
    <row r="4" spans="2:25" x14ac:dyDescent="0.2">
      <c r="B4" s="53" t="s">
        <v>141</v>
      </c>
      <c r="C4" s="53"/>
      <c r="D4" s="53"/>
      <c r="G4" s="7" t="s">
        <v>8</v>
      </c>
      <c r="H4" s="7" t="s">
        <v>9</v>
      </c>
      <c r="I4" s="7" t="s">
        <v>10</v>
      </c>
      <c r="J4" s="7" t="s">
        <v>11</v>
      </c>
      <c r="K4" s="7" t="s">
        <v>12</v>
      </c>
      <c r="M4" s="7" t="s">
        <v>8</v>
      </c>
      <c r="N4" s="7" t="s">
        <v>9</v>
      </c>
      <c r="O4" s="7" t="s">
        <v>10</v>
      </c>
      <c r="P4" s="7" t="s">
        <v>11</v>
      </c>
      <c r="Q4" s="7" t="s">
        <v>12</v>
      </c>
      <c r="R4" s="7"/>
      <c r="S4" s="7"/>
      <c r="T4" s="7"/>
      <c r="U4" s="7"/>
      <c r="V4" s="7"/>
      <c r="W4" s="7"/>
    </row>
    <row r="5" spans="2:25" ht="15" x14ac:dyDescent="0.2">
      <c r="B5" s="56"/>
      <c r="C5" s="53"/>
      <c r="D5" s="56" t="s">
        <v>13</v>
      </c>
      <c r="G5" s="7" t="s">
        <v>14</v>
      </c>
      <c r="H5" s="7" t="s">
        <v>15</v>
      </c>
      <c r="I5" s="7" t="s">
        <v>16</v>
      </c>
      <c r="J5" s="7" t="s">
        <v>17</v>
      </c>
      <c r="K5" s="7" t="s">
        <v>18</v>
      </c>
      <c r="M5" s="7" t="s">
        <v>14</v>
      </c>
      <c r="N5" s="7" t="s">
        <v>15</v>
      </c>
      <c r="O5" s="7" t="s">
        <v>16</v>
      </c>
      <c r="P5" s="7" t="s">
        <v>17</v>
      </c>
      <c r="Q5" s="7" t="s">
        <v>18</v>
      </c>
      <c r="R5" s="7"/>
      <c r="S5" s="7"/>
      <c r="T5" s="7"/>
      <c r="U5" s="7"/>
      <c r="V5" s="7"/>
      <c r="W5" s="7"/>
    </row>
    <row r="6" spans="2:25" x14ac:dyDescent="0.2">
      <c r="B6" s="6" t="s">
        <v>137</v>
      </c>
      <c r="D6" s="5"/>
      <c r="G6" s="7"/>
      <c r="H6" s="7" t="s">
        <v>19</v>
      </c>
      <c r="I6" s="7"/>
      <c r="J6" s="7"/>
      <c r="K6" s="7"/>
      <c r="M6" s="7"/>
      <c r="N6" s="7" t="s">
        <v>19</v>
      </c>
      <c r="O6" s="7"/>
      <c r="P6" s="7"/>
      <c r="Q6" s="7"/>
      <c r="R6" s="7"/>
      <c r="S6" s="7"/>
      <c r="T6" s="7"/>
      <c r="U6" s="7"/>
      <c r="V6" s="7"/>
      <c r="W6" s="7"/>
    </row>
    <row r="7" spans="2:25" ht="13.5" thickBot="1" x14ac:dyDescent="0.25">
      <c r="B7" s="53" t="s">
        <v>97</v>
      </c>
      <c r="G7" s="103" t="s">
        <v>20</v>
      </c>
      <c r="H7" s="103" t="s">
        <v>21</v>
      </c>
      <c r="I7" s="103" t="s">
        <v>22</v>
      </c>
      <c r="J7" s="103"/>
      <c r="K7" s="103" t="s">
        <v>23</v>
      </c>
      <c r="M7" s="103" t="s">
        <v>20</v>
      </c>
      <c r="N7" s="103" t="s">
        <v>21</v>
      </c>
      <c r="O7" s="103" t="s">
        <v>22</v>
      </c>
      <c r="P7" s="103"/>
      <c r="Q7" s="103" t="s">
        <v>23</v>
      </c>
      <c r="R7" s="4"/>
      <c r="S7" s="4"/>
      <c r="T7" s="4"/>
      <c r="U7" s="4"/>
      <c r="V7" s="4"/>
      <c r="W7" s="4"/>
    </row>
    <row r="8" spans="2:25" ht="5.0999999999999996" customHeight="1" x14ac:dyDescent="0.2">
      <c r="B8" s="53"/>
      <c r="G8" s="7"/>
      <c r="H8" s="7"/>
      <c r="I8" s="7"/>
      <c r="J8" s="7"/>
      <c r="K8" s="7"/>
      <c r="M8" s="7"/>
      <c r="N8" s="7"/>
      <c r="O8" s="7"/>
      <c r="P8" s="7"/>
      <c r="Q8" s="7"/>
      <c r="R8" s="7"/>
      <c r="S8" s="7"/>
      <c r="T8" s="7"/>
      <c r="U8" s="7"/>
      <c r="V8" s="7"/>
      <c r="W8" s="7"/>
    </row>
    <row r="9" spans="2:25" ht="15" thickBot="1" x14ac:dyDescent="0.25">
      <c r="B9" s="57" t="s">
        <v>24</v>
      </c>
      <c r="D9" s="6" t="s">
        <v>25</v>
      </c>
      <c r="E9" s="8" t="s">
        <v>26</v>
      </c>
      <c r="G9" s="9">
        <v>16695</v>
      </c>
      <c r="H9" s="9">
        <v>1789</v>
      </c>
      <c r="I9" s="9">
        <v>41143</v>
      </c>
      <c r="J9" s="9"/>
      <c r="K9" s="9">
        <f>J9+I9+H9+G9</f>
        <v>59627</v>
      </c>
      <c r="M9" s="9">
        <v>0</v>
      </c>
      <c r="N9" s="9">
        <v>0</v>
      </c>
      <c r="O9" s="9">
        <v>0</v>
      </c>
      <c r="P9" s="9">
        <v>0</v>
      </c>
      <c r="Q9" s="9">
        <f>SUM(M9:P9)</f>
        <v>0</v>
      </c>
      <c r="R9" s="9"/>
      <c r="S9" s="9"/>
      <c r="T9" s="9"/>
      <c r="U9" s="9"/>
      <c r="V9" s="9"/>
      <c r="W9" s="9"/>
    </row>
    <row r="10" spans="2:25" x14ac:dyDescent="0.2">
      <c r="B10" s="53" t="s">
        <v>27</v>
      </c>
      <c r="E10" s="8" t="s">
        <v>28</v>
      </c>
      <c r="G10" s="10">
        <v>300.7</v>
      </c>
      <c r="H10" s="10">
        <v>32.299999999999997</v>
      </c>
      <c r="I10" s="10">
        <v>742</v>
      </c>
      <c r="J10" s="10">
        <v>0</v>
      </c>
      <c r="K10" s="10"/>
      <c r="M10" s="10">
        <f>G10</f>
        <v>300.7</v>
      </c>
      <c r="N10" s="10">
        <f>H10</f>
        <v>32.299999999999997</v>
      </c>
      <c r="O10" s="10">
        <f>I10</f>
        <v>742</v>
      </c>
      <c r="P10" s="10">
        <v>0</v>
      </c>
      <c r="Q10" s="10">
        <f>SUM(M10:P10)</f>
        <v>1075</v>
      </c>
      <c r="R10" s="20"/>
      <c r="S10" s="20"/>
      <c r="T10" s="20"/>
      <c r="U10" s="20"/>
      <c r="V10" s="20"/>
      <c r="W10" s="20"/>
    </row>
    <row r="11" spans="2:25" x14ac:dyDescent="0.2">
      <c r="E11" s="8"/>
    </row>
    <row r="12" spans="2:25" ht="13.5" thickBot="1" x14ac:dyDescent="0.25">
      <c r="D12" s="6" t="s">
        <v>29</v>
      </c>
      <c r="E12" s="8" t="s">
        <v>26</v>
      </c>
      <c r="G12" s="9">
        <v>7419</v>
      </c>
      <c r="H12" s="9">
        <v>795</v>
      </c>
      <c r="I12" s="9">
        <v>18283</v>
      </c>
      <c r="J12" s="9"/>
      <c r="K12" s="9">
        <f>J12+I12+H12+G12</f>
        <v>26497</v>
      </c>
      <c r="M12" s="9">
        <f t="shared" ref="M12:P13" si="0">G12</f>
        <v>7419</v>
      </c>
      <c r="N12" s="9">
        <f t="shared" si="0"/>
        <v>795</v>
      </c>
      <c r="O12" s="9">
        <f t="shared" si="0"/>
        <v>18283</v>
      </c>
      <c r="P12" s="9">
        <f t="shared" si="0"/>
        <v>0</v>
      </c>
      <c r="Q12" s="9">
        <f>SUM(M12:P12)</f>
        <v>26497</v>
      </c>
      <c r="R12" s="9"/>
      <c r="S12" s="9"/>
      <c r="T12" s="58">
        <f>223294-K12</f>
        <v>196797</v>
      </c>
      <c r="U12" s="9"/>
      <c r="V12" s="9"/>
      <c r="W12" s="9"/>
    </row>
    <row r="13" spans="2:25" x14ac:dyDescent="0.2">
      <c r="E13" s="8" t="s">
        <v>28</v>
      </c>
      <c r="G13" s="10">
        <v>110.9</v>
      </c>
      <c r="H13" s="10">
        <v>12</v>
      </c>
      <c r="I13" s="10">
        <v>273.39999999999998</v>
      </c>
      <c r="J13" s="10">
        <v>0</v>
      </c>
      <c r="K13" s="10">
        <f>G13+H13+I13+J13</f>
        <v>396.29999999999995</v>
      </c>
      <c r="M13" s="10">
        <f t="shared" si="0"/>
        <v>110.9</v>
      </c>
      <c r="N13" s="10">
        <f t="shared" si="0"/>
        <v>12</v>
      </c>
      <c r="O13" s="10">
        <f t="shared" si="0"/>
        <v>273.39999999999998</v>
      </c>
      <c r="P13" s="10">
        <v>0</v>
      </c>
      <c r="Q13" s="10">
        <f>SUM(M13:P13)</f>
        <v>396.29999999999995</v>
      </c>
      <c r="R13" s="20"/>
      <c r="S13" s="20"/>
      <c r="T13" s="59"/>
      <c r="U13" s="20"/>
      <c r="V13" s="20"/>
      <c r="W13" s="20"/>
    </row>
    <row r="14" spans="2:25" x14ac:dyDescent="0.2">
      <c r="T14" s="60"/>
      <c r="Y14" s="11" t="s">
        <v>30</v>
      </c>
    </row>
    <row r="15" spans="2:25" x14ac:dyDescent="0.2">
      <c r="D15" s="6" t="s">
        <v>31</v>
      </c>
      <c r="E15" s="8" t="s">
        <v>32</v>
      </c>
      <c r="G15" s="9">
        <v>6156</v>
      </c>
      <c r="H15" s="9">
        <v>660</v>
      </c>
      <c r="I15" s="9">
        <v>15169</v>
      </c>
      <c r="J15" s="9"/>
      <c r="K15" s="9">
        <f>G15+H15+I15+J15</f>
        <v>21985</v>
      </c>
      <c r="M15" s="9">
        <v>0</v>
      </c>
      <c r="N15" s="9">
        <v>0</v>
      </c>
      <c r="O15" s="9">
        <v>0</v>
      </c>
      <c r="P15" s="9">
        <v>0</v>
      </c>
      <c r="Q15" s="9">
        <f t="shared" ref="Q15:Q20" si="1">SUM(M15:P15)</f>
        <v>0</v>
      </c>
      <c r="R15" s="9"/>
      <c r="S15" s="9"/>
      <c r="T15" s="58"/>
      <c r="U15" s="9"/>
      <c r="V15" s="9"/>
      <c r="W15" s="9"/>
    </row>
    <row r="16" spans="2:25" x14ac:dyDescent="0.2">
      <c r="D16" s="6" t="s">
        <v>33</v>
      </c>
      <c r="E16" s="8" t="s">
        <v>34</v>
      </c>
      <c r="G16" s="9">
        <v>838</v>
      </c>
      <c r="H16" s="9">
        <v>90</v>
      </c>
      <c r="I16" s="9">
        <v>2066</v>
      </c>
      <c r="J16" s="9"/>
      <c r="K16" s="9">
        <f t="shared" ref="K16:K20" si="2">G16+H16+I16+J16</f>
        <v>2994</v>
      </c>
      <c r="M16" s="9">
        <f>G16</f>
        <v>838</v>
      </c>
      <c r="N16" s="9">
        <f>H16</f>
        <v>90</v>
      </c>
      <c r="O16" s="9">
        <f>I16</f>
        <v>2066</v>
      </c>
      <c r="P16" s="9">
        <f>J16</f>
        <v>0</v>
      </c>
      <c r="Q16" s="9">
        <f t="shared" si="1"/>
        <v>2994</v>
      </c>
      <c r="R16" s="9"/>
      <c r="S16" s="9"/>
      <c r="T16" s="58"/>
      <c r="U16" s="9"/>
      <c r="V16" s="9"/>
      <c r="W16" s="9"/>
      <c r="Y16" s="3" t="s">
        <v>35</v>
      </c>
    </row>
    <row r="17" spans="2:25" x14ac:dyDescent="0.2">
      <c r="D17" s="61"/>
      <c r="E17" s="8" t="s">
        <v>36</v>
      </c>
      <c r="G17" s="9">
        <v>418</v>
      </c>
      <c r="H17" s="9">
        <v>45</v>
      </c>
      <c r="I17" s="9">
        <v>1031</v>
      </c>
      <c r="J17" s="9"/>
      <c r="K17" s="9">
        <f t="shared" si="2"/>
        <v>1494</v>
      </c>
      <c r="M17" s="9">
        <v>0</v>
      </c>
      <c r="N17" s="9">
        <v>0</v>
      </c>
      <c r="O17" s="9">
        <v>0</v>
      </c>
      <c r="P17" s="9">
        <v>0</v>
      </c>
      <c r="Q17" s="9">
        <f t="shared" si="1"/>
        <v>0</v>
      </c>
      <c r="R17" s="9"/>
      <c r="S17" s="9"/>
      <c r="T17" s="58"/>
      <c r="U17" s="9"/>
      <c r="V17" s="9"/>
      <c r="W17" s="9"/>
      <c r="Y17" s="12">
        <v>614800</v>
      </c>
    </row>
    <row r="18" spans="2:25" x14ac:dyDescent="0.2">
      <c r="E18" s="8" t="s">
        <v>37</v>
      </c>
      <c r="G18" s="9">
        <v>3932</v>
      </c>
      <c r="H18" s="9">
        <v>419</v>
      </c>
      <c r="I18" s="9">
        <v>9719</v>
      </c>
      <c r="J18" s="9"/>
      <c r="K18" s="9">
        <f t="shared" si="2"/>
        <v>14070</v>
      </c>
      <c r="M18" s="9">
        <v>0</v>
      </c>
      <c r="N18" s="9">
        <v>0</v>
      </c>
      <c r="O18" s="9">
        <v>0</v>
      </c>
      <c r="P18" s="9">
        <v>0</v>
      </c>
      <c r="Q18" s="9">
        <f t="shared" si="1"/>
        <v>0</v>
      </c>
      <c r="R18" s="9"/>
      <c r="S18" s="9"/>
      <c r="T18" s="58"/>
      <c r="U18" s="9"/>
      <c r="V18" s="9"/>
      <c r="W18" s="9"/>
    </row>
    <row r="19" spans="2:25" x14ac:dyDescent="0.2">
      <c r="E19" s="8" t="s">
        <v>38</v>
      </c>
      <c r="G19" s="9">
        <v>12677</v>
      </c>
      <c r="H19" s="9">
        <v>1275</v>
      </c>
      <c r="I19" s="9"/>
      <c r="J19" s="9"/>
      <c r="K19" s="9">
        <f t="shared" si="2"/>
        <v>13952</v>
      </c>
      <c r="M19" s="9">
        <f>G19</f>
        <v>12677</v>
      </c>
      <c r="N19" s="9">
        <f>H19</f>
        <v>1275</v>
      </c>
      <c r="O19" s="9">
        <f>I19</f>
        <v>0</v>
      </c>
      <c r="P19" s="9">
        <f>J19</f>
        <v>0</v>
      </c>
      <c r="Q19" s="9">
        <f t="shared" si="1"/>
        <v>13952</v>
      </c>
      <c r="R19" s="9"/>
      <c r="S19" s="9"/>
      <c r="T19" s="58"/>
      <c r="U19" s="9"/>
      <c r="V19" s="9"/>
      <c r="W19" s="9"/>
      <c r="Y19" s="3" t="s">
        <v>39</v>
      </c>
    </row>
    <row r="20" spans="2:25" x14ac:dyDescent="0.2">
      <c r="E20" s="8" t="s">
        <v>40</v>
      </c>
      <c r="G20" s="13">
        <v>1498</v>
      </c>
      <c r="H20" s="13">
        <v>153</v>
      </c>
      <c r="I20" s="13">
        <v>3514</v>
      </c>
      <c r="J20" s="13"/>
      <c r="K20" s="13">
        <f t="shared" si="2"/>
        <v>5165</v>
      </c>
      <c r="M20" s="9">
        <v>0</v>
      </c>
      <c r="N20" s="9">
        <v>0</v>
      </c>
      <c r="O20" s="9">
        <v>0</v>
      </c>
      <c r="P20" s="9">
        <v>0</v>
      </c>
      <c r="Q20" s="9">
        <f t="shared" si="1"/>
        <v>0</v>
      </c>
      <c r="R20" s="9"/>
      <c r="S20" s="9"/>
      <c r="T20" s="58"/>
      <c r="U20" s="9"/>
      <c r="V20" s="9"/>
      <c r="W20" s="9"/>
      <c r="Y20" s="12">
        <f>31030+1679</f>
        <v>32709</v>
      </c>
    </row>
    <row r="21" spans="2:25" x14ac:dyDescent="0.2">
      <c r="D21" s="53" t="s">
        <v>41</v>
      </c>
      <c r="E21" s="8"/>
      <c r="G21" s="14">
        <f>SUM(G15:G20)+G12+G9</f>
        <v>49633</v>
      </c>
      <c r="H21" s="14">
        <f t="shared" ref="H21:K21" si="3">SUM(H15:H20)+H12+H9</f>
        <v>5226</v>
      </c>
      <c r="I21" s="14">
        <f t="shared" si="3"/>
        <v>90925</v>
      </c>
      <c r="J21" s="14">
        <f t="shared" si="3"/>
        <v>0</v>
      </c>
      <c r="K21" s="14">
        <f t="shared" si="3"/>
        <v>145784</v>
      </c>
      <c r="M21" s="15">
        <f>M9+M12+SUM(M15:M20)</f>
        <v>20934</v>
      </c>
      <c r="N21" s="15">
        <f>N9+N12+SUM(N15:N20)</f>
        <v>2160</v>
      </c>
      <c r="O21" s="15">
        <f>O9+O12+SUM(O15:O20)</f>
        <v>20349</v>
      </c>
      <c r="P21" s="15">
        <f>P9+P12+SUM(P15:P20)</f>
        <v>0</v>
      </c>
      <c r="Q21" s="15">
        <f>Q9+Q12+SUM(Q15:Q20)</f>
        <v>43443</v>
      </c>
      <c r="R21" s="62"/>
      <c r="S21" s="62"/>
      <c r="T21" s="63">
        <f>464310+207900+20790</f>
        <v>693000</v>
      </c>
      <c r="U21" s="62"/>
      <c r="V21" s="62"/>
      <c r="W21" s="62"/>
    </row>
    <row r="22" spans="2:25" x14ac:dyDescent="0.2">
      <c r="E22" s="8"/>
      <c r="G22" s="9"/>
      <c r="H22" s="9"/>
      <c r="I22" s="9"/>
      <c r="J22" s="9"/>
      <c r="K22" s="9"/>
      <c r="M22" s="16"/>
      <c r="N22" s="9"/>
      <c r="O22" s="9"/>
      <c r="P22" s="9"/>
      <c r="Q22" s="9"/>
      <c r="R22" s="9"/>
      <c r="S22" s="9"/>
      <c r="T22" s="104"/>
      <c r="U22" s="9"/>
      <c r="V22" s="9"/>
      <c r="W22" s="9"/>
      <c r="Y22" s="3" t="s">
        <v>42</v>
      </c>
    </row>
    <row r="23" spans="2:25" x14ac:dyDescent="0.2">
      <c r="B23" s="53" t="s">
        <v>43</v>
      </c>
      <c r="E23" s="8" t="s">
        <v>44</v>
      </c>
      <c r="G23" s="13">
        <v>5370</v>
      </c>
      <c r="H23" s="13">
        <v>432</v>
      </c>
      <c r="I23" s="13">
        <v>13501</v>
      </c>
      <c r="J23" s="13"/>
      <c r="K23" s="13">
        <f>J23+I23+H23+G23</f>
        <v>19303</v>
      </c>
      <c r="M23" s="13">
        <f>$Q$23*G$83</f>
        <v>308.09132742355234</v>
      </c>
      <c r="N23" s="13">
        <f>$Q$23*H$83</f>
        <v>30.809132742355231</v>
      </c>
      <c r="O23" s="13">
        <f>$Q$23*I$83</f>
        <v>688.07063124593355</v>
      </c>
      <c r="P23" s="13">
        <v>0</v>
      </c>
      <c r="Q23" s="13">
        <f>K23*Y23</f>
        <v>1026.9710914118411</v>
      </c>
      <c r="R23" s="17"/>
      <c r="S23" s="17"/>
      <c r="T23" s="18">
        <f>251603.59-K23</f>
        <v>232300.59</v>
      </c>
      <c r="U23" s="17"/>
      <c r="V23" s="17"/>
      <c r="W23" s="17"/>
      <c r="Y23" s="19">
        <f>Y20/Y17</f>
        <v>5.320266753415745E-2</v>
      </c>
    </row>
    <row r="24" spans="2:25" x14ac:dyDescent="0.2">
      <c r="B24" s="53"/>
      <c r="D24" s="53" t="s">
        <v>45</v>
      </c>
      <c r="E24" s="8"/>
      <c r="G24" s="14">
        <f>G23</f>
        <v>5370</v>
      </c>
      <c r="H24" s="14">
        <f t="shared" ref="H24:I24" si="4">H23</f>
        <v>432</v>
      </c>
      <c r="I24" s="14">
        <f t="shared" si="4"/>
        <v>13501</v>
      </c>
      <c r="J24" s="14"/>
      <c r="K24" s="14">
        <f>K23</f>
        <v>19303</v>
      </c>
      <c r="M24" s="14">
        <f>SUM(M23)</f>
        <v>308.09132742355234</v>
      </c>
      <c r="N24" s="14">
        <f>SUM(N23)</f>
        <v>30.809132742355231</v>
      </c>
      <c r="O24" s="14">
        <f>SUM(O23)</f>
        <v>688.07063124593355</v>
      </c>
      <c r="P24" s="14">
        <f>SUM(P23)</f>
        <v>0</v>
      </c>
      <c r="Q24" s="14">
        <f>SUM(M24:P24)</f>
        <v>1026.9710914118411</v>
      </c>
      <c r="R24" s="14"/>
      <c r="S24" s="14"/>
      <c r="T24" s="64"/>
      <c r="U24" s="14"/>
      <c r="V24" s="14"/>
      <c r="W24" s="14"/>
    </row>
    <row r="25" spans="2:25" x14ac:dyDescent="0.2">
      <c r="B25" s="53"/>
    </row>
    <row r="26" spans="2:25" x14ac:dyDescent="0.2">
      <c r="B26" s="53" t="s">
        <v>46</v>
      </c>
      <c r="E26" s="8" t="s">
        <v>47</v>
      </c>
      <c r="G26" s="9">
        <v>180</v>
      </c>
      <c r="H26" s="9">
        <v>12</v>
      </c>
      <c r="I26" s="9">
        <v>463</v>
      </c>
      <c r="J26" s="9"/>
      <c r="K26" s="9">
        <f>G26+H26+I26+J26</f>
        <v>655</v>
      </c>
      <c r="M26" s="17">
        <v>0</v>
      </c>
      <c r="N26" s="17">
        <v>0</v>
      </c>
      <c r="O26" s="17">
        <v>0</v>
      </c>
      <c r="P26" s="9">
        <v>0</v>
      </c>
      <c r="Q26" s="9">
        <f t="shared" ref="Q26:Q31" si="5">SUM(M26:P26)</f>
        <v>0</v>
      </c>
      <c r="R26" s="9"/>
      <c r="S26" s="9"/>
      <c r="T26" s="9"/>
      <c r="U26" s="9"/>
      <c r="V26" s="9"/>
      <c r="W26" s="9"/>
    </row>
    <row r="27" spans="2:25" x14ac:dyDescent="0.2">
      <c r="B27" s="53"/>
      <c r="E27" s="8" t="s">
        <v>48</v>
      </c>
      <c r="G27" s="9">
        <v>374</v>
      </c>
      <c r="H27" s="9">
        <v>40</v>
      </c>
      <c r="I27" s="9">
        <v>921</v>
      </c>
      <c r="J27" s="9"/>
      <c r="K27" s="9">
        <f t="shared" ref="K27:K30" si="6">G27+H27+I27+J27</f>
        <v>1335</v>
      </c>
      <c r="M27" s="9">
        <f>G27</f>
        <v>374</v>
      </c>
      <c r="N27" s="9">
        <f>H27</f>
        <v>40</v>
      </c>
      <c r="O27" s="9">
        <f>I27</f>
        <v>921</v>
      </c>
      <c r="P27" s="9">
        <f>J27</f>
        <v>0</v>
      </c>
      <c r="Q27" s="9">
        <f>SUM(M27:P27)</f>
        <v>1335</v>
      </c>
      <c r="R27" s="9"/>
      <c r="S27" s="9"/>
      <c r="T27" s="9"/>
      <c r="U27" s="9"/>
      <c r="V27" s="9"/>
      <c r="W27" s="9"/>
    </row>
    <row r="28" spans="2:25" x14ac:dyDescent="0.2">
      <c r="B28" s="53"/>
      <c r="E28" s="6" t="s">
        <v>49</v>
      </c>
      <c r="G28" s="9"/>
      <c r="H28" s="9"/>
      <c r="I28" s="9"/>
      <c r="J28" s="9"/>
      <c r="K28" s="9">
        <f t="shared" si="6"/>
        <v>0</v>
      </c>
      <c r="M28" s="9">
        <v>0</v>
      </c>
      <c r="N28" s="9">
        <v>0</v>
      </c>
      <c r="O28" s="9">
        <v>0</v>
      </c>
      <c r="P28" s="9">
        <v>0</v>
      </c>
      <c r="Q28" s="9">
        <f t="shared" si="5"/>
        <v>0</v>
      </c>
      <c r="R28" s="9"/>
      <c r="S28" s="9"/>
      <c r="T28" s="9"/>
      <c r="U28" s="9"/>
      <c r="V28" s="9"/>
      <c r="W28" s="9"/>
    </row>
    <row r="29" spans="2:25" x14ac:dyDescent="0.2">
      <c r="B29" s="53"/>
      <c r="E29" s="8" t="s">
        <v>50</v>
      </c>
      <c r="G29" s="9">
        <v>4956</v>
      </c>
      <c r="H29" s="9">
        <v>531</v>
      </c>
      <c r="I29" s="9">
        <v>12212</v>
      </c>
      <c r="J29" s="9"/>
      <c r="K29" s="9">
        <f t="shared" si="6"/>
        <v>17699</v>
      </c>
      <c r="M29" s="9">
        <f t="shared" ref="M29:P30" si="7">G29</f>
        <v>4956</v>
      </c>
      <c r="N29" s="9">
        <f t="shared" si="7"/>
        <v>531</v>
      </c>
      <c r="O29" s="9">
        <f t="shared" si="7"/>
        <v>12212</v>
      </c>
      <c r="P29" s="9">
        <f t="shared" si="7"/>
        <v>0</v>
      </c>
      <c r="Q29" s="9">
        <f t="shared" si="5"/>
        <v>17699</v>
      </c>
      <c r="R29" s="9"/>
      <c r="S29" s="9"/>
      <c r="T29" s="9"/>
      <c r="U29" s="9"/>
      <c r="V29" s="9"/>
      <c r="W29" s="9"/>
    </row>
    <row r="30" spans="2:25" x14ac:dyDescent="0.2">
      <c r="B30" s="53"/>
      <c r="E30" s="8" t="s">
        <v>51</v>
      </c>
      <c r="G30" s="13">
        <v>350</v>
      </c>
      <c r="H30" s="13">
        <v>31</v>
      </c>
      <c r="I30" s="13">
        <v>867</v>
      </c>
      <c r="J30" s="13"/>
      <c r="K30" s="13">
        <f t="shared" si="6"/>
        <v>1248</v>
      </c>
      <c r="M30" s="13">
        <f t="shared" si="7"/>
        <v>350</v>
      </c>
      <c r="N30" s="13">
        <f t="shared" si="7"/>
        <v>31</v>
      </c>
      <c r="O30" s="13">
        <f t="shared" si="7"/>
        <v>867</v>
      </c>
      <c r="P30" s="13">
        <f>J30</f>
        <v>0</v>
      </c>
      <c r="Q30" s="13">
        <f t="shared" si="5"/>
        <v>1248</v>
      </c>
      <c r="R30" s="17"/>
      <c r="S30" s="17"/>
      <c r="T30" s="17"/>
      <c r="U30" s="17"/>
      <c r="V30" s="17"/>
      <c r="W30" s="17"/>
    </row>
    <row r="31" spans="2:25" x14ac:dyDescent="0.2">
      <c r="B31" s="53"/>
      <c r="D31" s="53" t="s">
        <v>52</v>
      </c>
      <c r="G31" s="14">
        <f>SUM(G26:G30)</f>
        <v>5860</v>
      </c>
      <c r="H31" s="14">
        <f t="shared" ref="H31:I31" si="8">SUM(H26:H30)</f>
        <v>614</v>
      </c>
      <c r="I31" s="14">
        <f t="shared" si="8"/>
        <v>14463</v>
      </c>
      <c r="J31" s="14"/>
      <c r="K31" s="14">
        <f>SUM(K26:K30)</f>
        <v>20937</v>
      </c>
      <c r="M31" s="14">
        <f>SUM(M26:M30)</f>
        <v>5680</v>
      </c>
      <c r="N31" s="14">
        <f>SUM(N26:N30)</f>
        <v>602</v>
      </c>
      <c r="O31" s="14">
        <f>SUM(O26:O30)</f>
        <v>14000</v>
      </c>
      <c r="P31" s="14">
        <f>SUM(P26:P30)</f>
        <v>0</v>
      </c>
      <c r="Q31" s="14">
        <f t="shared" si="5"/>
        <v>20282</v>
      </c>
      <c r="R31" s="14"/>
      <c r="S31" s="14"/>
      <c r="T31" s="14"/>
      <c r="U31" s="14"/>
      <c r="V31" s="14"/>
      <c r="W31" s="14"/>
    </row>
    <row r="32" spans="2:25" x14ac:dyDescent="0.2">
      <c r="B32" s="53"/>
    </row>
    <row r="33" spans="2:23" x14ac:dyDescent="0.2">
      <c r="B33" s="53" t="s">
        <v>53</v>
      </c>
      <c r="D33" s="53" t="s">
        <v>54</v>
      </c>
      <c r="E33" s="6" t="s">
        <v>55</v>
      </c>
      <c r="G33" s="9">
        <v>0</v>
      </c>
      <c r="H33" s="9"/>
      <c r="I33" s="9"/>
      <c r="J33" s="9"/>
      <c r="K33" s="9">
        <f>G33+H33+I33+J33</f>
        <v>0</v>
      </c>
      <c r="M33" s="9">
        <f t="shared" ref="M33:P34" si="9">G33</f>
        <v>0</v>
      </c>
      <c r="N33" s="9">
        <f t="shared" si="9"/>
        <v>0</v>
      </c>
      <c r="O33" s="9">
        <f t="shared" si="9"/>
        <v>0</v>
      </c>
      <c r="P33" s="9">
        <f t="shared" si="9"/>
        <v>0</v>
      </c>
      <c r="Q33" s="9">
        <f>SUM(M33:P33)</f>
        <v>0</v>
      </c>
      <c r="R33" s="9"/>
      <c r="S33" s="9"/>
      <c r="T33" s="9"/>
      <c r="U33" s="9"/>
      <c r="V33" s="9"/>
      <c r="W33" s="9"/>
    </row>
    <row r="34" spans="2:23" x14ac:dyDescent="0.2">
      <c r="B34" s="53" t="s">
        <v>56</v>
      </c>
      <c r="D34" s="53" t="s">
        <v>57</v>
      </c>
      <c r="E34" s="6" t="s">
        <v>58</v>
      </c>
      <c r="G34" s="9">
        <v>0</v>
      </c>
      <c r="H34" s="9"/>
      <c r="I34" s="9"/>
      <c r="J34" s="9"/>
      <c r="K34" s="9">
        <f t="shared" ref="K34:K42" si="10">G34+H34+I34+J34</f>
        <v>0</v>
      </c>
      <c r="M34" s="9">
        <f t="shared" si="9"/>
        <v>0</v>
      </c>
      <c r="N34" s="9">
        <f t="shared" si="9"/>
        <v>0</v>
      </c>
      <c r="O34" s="9">
        <f t="shared" si="9"/>
        <v>0</v>
      </c>
      <c r="P34" s="9">
        <f t="shared" si="9"/>
        <v>0</v>
      </c>
      <c r="Q34" s="9">
        <f>SUM(M34:P34)</f>
        <v>0</v>
      </c>
      <c r="R34" s="9"/>
      <c r="S34" s="9"/>
      <c r="T34" s="9"/>
      <c r="U34" s="9"/>
      <c r="V34" s="9"/>
      <c r="W34" s="9"/>
    </row>
    <row r="35" spans="2:23" x14ac:dyDescent="0.2">
      <c r="D35" s="53"/>
      <c r="G35" s="6">
        <v>0</v>
      </c>
      <c r="K35" s="9">
        <f t="shared" si="10"/>
        <v>0</v>
      </c>
      <c r="Q35" s="9"/>
      <c r="R35" s="9"/>
      <c r="S35" s="9"/>
      <c r="T35" s="9"/>
      <c r="U35" s="9"/>
      <c r="V35" s="9"/>
      <c r="W35" s="9"/>
    </row>
    <row r="36" spans="2:23" x14ac:dyDescent="0.2">
      <c r="D36" s="53" t="s">
        <v>59</v>
      </c>
      <c r="E36" s="6" t="s">
        <v>60</v>
      </c>
      <c r="G36" s="9">
        <v>0</v>
      </c>
      <c r="H36" s="9"/>
      <c r="I36" s="9"/>
      <c r="J36" s="9"/>
      <c r="K36" s="9">
        <f t="shared" si="10"/>
        <v>0</v>
      </c>
      <c r="M36" s="9">
        <f t="shared" ref="M36:P41" si="11">G36</f>
        <v>0</v>
      </c>
      <c r="N36" s="9">
        <f t="shared" si="11"/>
        <v>0</v>
      </c>
      <c r="O36" s="9">
        <f t="shared" si="11"/>
        <v>0</v>
      </c>
      <c r="P36" s="9">
        <f t="shared" si="11"/>
        <v>0</v>
      </c>
      <c r="Q36" s="9">
        <f t="shared" ref="Q36:Q41" si="12">SUM(M36:P36)</f>
        <v>0</v>
      </c>
      <c r="R36" s="9"/>
      <c r="S36" s="9"/>
      <c r="T36" s="9"/>
      <c r="U36" s="9"/>
      <c r="V36" s="9"/>
      <c r="W36" s="9"/>
    </row>
    <row r="37" spans="2:23" x14ac:dyDescent="0.2">
      <c r="D37" s="53" t="s">
        <v>61</v>
      </c>
      <c r="E37" s="6" t="s">
        <v>62</v>
      </c>
      <c r="G37" s="9">
        <v>0</v>
      </c>
      <c r="H37" s="9"/>
      <c r="I37" s="9"/>
      <c r="J37" s="9"/>
      <c r="K37" s="9">
        <f t="shared" si="10"/>
        <v>0</v>
      </c>
      <c r="M37" s="9">
        <f t="shared" si="11"/>
        <v>0</v>
      </c>
      <c r="N37" s="9">
        <f t="shared" si="11"/>
        <v>0</v>
      </c>
      <c r="O37" s="9">
        <f t="shared" si="11"/>
        <v>0</v>
      </c>
      <c r="P37" s="9">
        <f t="shared" si="11"/>
        <v>0</v>
      </c>
      <c r="Q37" s="9">
        <f t="shared" si="12"/>
        <v>0</v>
      </c>
      <c r="R37" s="9"/>
      <c r="S37" s="9"/>
      <c r="T37" s="9"/>
      <c r="U37" s="9"/>
      <c r="V37" s="9"/>
      <c r="W37" s="9"/>
    </row>
    <row r="38" spans="2:23" x14ac:dyDescent="0.2">
      <c r="D38" s="53"/>
      <c r="E38" s="6" t="s">
        <v>63</v>
      </c>
      <c r="G38" s="9">
        <v>0</v>
      </c>
      <c r="H38" s="9"/>
      <c r="I38" s="9"/>
      <c r="J38" s="9"/>
      <c r="K38" s="9">
        <f t="shared" si="10"/>
        <v>0</v>
      </c>
      <c r="M38" s="9">
        <f t="shared" si="11"/>
        <v>0</v>
      </c>
      <c r="N38" s="9">
        <f t="shared" si="11"/>
        <v>0</v>
      </c>
      <c r="O38" s="9">
        <f t="shared" si="11"/>
        <v>0</v>
      </c>
      <c r="P38" s="9">
        <f t="shared" si="11"/>
        <v>0</v>
      </c>
      <c r="Q38" s="9">
        <f t="shared" si="12"/>
        <v>0</v>
      </c>
      <c r="R38" s="9"/>
      <c r="S38" s="9"/>
      <c r="T38" s="9"/>
      <c r="U38" s="9"/>
      <c r="V38" s="9"/>
      <c r="W38" s="9"/>
    </row>
    <row r="39" spans="2:23" x14ac:dyDescent="0.2">
      <c r="D39" s="53"/>
      <c r="E39" s="6" t="s">
        <v>64</v>
      </c>
      <c r="G39" s="9">
        <v>0</v>
      </c>
      <c r="H39" s="9"/>
      <c r="I39" s="9"/>
      <c r="J39" s="9"/>
      <c r="K39" s="9">
        <f t="shared" si="10"/>
        <v>0</v>
      </c>
      <c r="M39" s="9">
        <f t="shared" si="11"/>
        <v>0</v>
      </c>
      <c r="N39" s="9">
        <f t="shared" si="11"/>
        <v>0</v>
      </c>
      <c r="O39" s="9">
        <f t="shared" si="11"/>
        <v>0</v>
      </c>
      <c r="P39" s="9">
        <f t="shared" si="11"/>
        <v>0</v>
      </c>
      <c r="Q39" s="9">
        <f t="shared" si="12"/>
        <v>0</v>
      </c>
      <c r="R39" s="9"/>
      <c r="S39" s="9"/>
      <c r="T39" s="9"/>
      <c r="U39" s="9"/>
      <c r="V39" s="9"/>
      <c r="W39" s="9"/>
    </row>
    <row r="40" spans="2:23" x14ac:dyDescent="0.2">
      <c r="D40" s="53"/>
      <c r="E40" s="6" t="s">
        <v>65</v>
      </c>
      <c r="G40" s="9">
        <v>0</v>
      </c>
      <c r="H40" s="9"/>
      <c r="I40" s="9"/>
      <c r="J40" s="9"/>
      <c r="K40" s="9">
        <f t="shared" si="10"/>
        <v>0</v>
      </c>
      <c r="M40" s="9">
        <f t="shared" si="11"/>
        <v>0</v>
      </c>
      <c r="N40" s="9">
        <f t="shared" si="11"/>
        <v>0</v>
      </c>
      <c r="O40" s="9">
        <f t="shared" si="11"/>
        <v>0</v>
      </c>
      <c r="P40" s="9">
        <f t="shared" si="11"/>
        <v>0</v>
      </c>
      <c r="Q40" s="9">
        <f t="shared" si="12"/>
        <v>0</v>
      </c>
      <c r="R40" s="9"/>
      <c r="S40" s="9"/>
      <c r="T40" s="9"/>
      <c r="U40" s="9"/>
      <c r="V40" s="9"/>
      <c r="W40" s="9"/>
    </row>
    <row r="41" spans="2:23" x14ac:dyDescent="0.2">
      <c r="D41" s="53"/>
      <c r="E41" s="6" t="s">
        <v>66</v>
      </c>
      <c r="G41" s="9">
        <v>18358</v>
      </c>
      <c r="H41" s="9"/>
      <c r="I41" s="9"/>
      <c r="J41" s="9"/>
      <c r="K41" s="9">
        <f t="shared" si="10"/>
        <v>18358</v>
      </c>
      <c r="M41" s="9">
        <f t="shared" si="11"/>
        <v>18358</v>
      </c>
      <c r="N41" s="9">
        <f t="shared" si="11"/>
        <v>0</v>
      </c>
      <c r="O41" s="9">
        <f t="shared" si="11"/>
        <v>0</v>
      </c>
      <c r="P41" s="9">
        <f t="shared" si="11"/>
        <v>0</v>
      </c>
      <c r="Q41" s="9">
        <f t="shared" si="12"/>
        <v>18358</v>
      </c>
      <c r="R41" s="9"/>
      <c r="S41" s="9"/>
      <c r="T41" s="9"/>
      <c r="U41" s="9"/>
      <c r="V41" s="9"/>
      <c r="W41" s="9"/>
    </row>
    <row r="42" spans="2:23" x14ac:dyDescent="0.2">
      <c r="D42" s="53"/>
      <c r="K42" s="9">
        <f t="shared" si="10"/>
        <v>0</v>
      </c>
      <c r="Q42" s="9"/>
      <c r="R42" s="9"/>
      <c r="S42" s="9"/>
      <c r="T42" s="9"/>
      <c r="U42" s="9"/>
      <c r="V42" s="9"/>
      <c r="W42" s="9"/>
    </row>
    <row r="43" spans="2:23" x14ac:dyDescent="0.2">
      <c r="D43" s="53" t="s">
        <v>67</v>
      </c>
      <c r="G43" s="9"/>
      <c r="H43" s="9">
        <f>H11</f>
        <v>0</v>
      </c>
      <c r="I43" s="9">
        <v>0</v>
      </c>
      <c r="J43" s="9">
        <v>0</v>
      </c>
      <c r="K43" s="9">
        <f>SUM(G43:J43)</f>
        <v>0</v>
      </c>
      <c r="M43" s="9">
        <f>G43</f>
        <v>0</v>
      </c>
      <c r="N43" s="9">
        <f>H43</f>
        <v>0</v>
      </c>
      <c r="O43" s="9">
        <f>I43</f>
        <v>0</v>
      </c>
      <c r="P43" s="9">
        <f>J43</f>
        <v>0</v>
      </c>
      <c r="Q43" s="9">
        <f>SUM(M43:P43)</f>
        <v>0</v>
      </c>
      <c r="R43" s="9"/>
      <c r="S43" s="9"/>
      <c r="T43" s="9"/>
      <c r="U43" s="9"/>
      <c r="V43" s="9"/>
      <c r="W43" s="9"/>
    </row>
    <row r="44" spans="2:23" x14ac:dyDescent="0.2">
      <c r="D44" s="53"/>
    </row>
    <row r="45" spans="2:23" x14ac:dyDescent="0.2">
      <c r="D45" s="53" t="s">
        <v>68</v>
      </c>
      <c r="G45" s="9"/>
      <c r="H45" s="9"/>
      <c r="I45" s="9">
        <v>0</v>
      </c>
      <c r="J45" s="9">
        <v>0</v>
      </c>
      <c r="K45" s="9">
        <f>SUM(G45:J45)</f>
        <v>0</v>
      </c>
      <c r="M45" s="9">
        <f>G45</f>
        <v>0</v>
      </c>
      <c r="N45" s="9">
        <f>H45</f>
        <v>0</v>
      </c>
      <c r="O45" s="9">
        <f>I45</f>
        <v>0</v>
      </c>
      <c r="P45" s="9">
        <f>J45</f>
        <v>0</v>
      </c>
      <c r="Q45" s="9">
        <f>SUM(M45:P45)</f>
        <v>0</v>
      </c>
      <c r="R45" s="9"/>
      <c r="S45" s="9"/>
      <c r="T45" s="9"/>
      <c r="U45" s="9"/>
      <c r="V45" s="9"/>
      <c r="W45" s="9"/>
    </row>
    <row r="46" spans="2:23" x14ac:dyDescent="0.2">
      <c r="D46" s="53"/>
    </row>
    <row r="47" spans="2:23" x14ac:dyDescent="0.2">
      <c r="D47" s="53" t="s">
        <v>69</v>
      </c>
      <c r="G47" s="9"/>
      <c r="H47" s="9"/>
      <c r="I47" s="9">
        <v>0</v>
      </c>
      <c r="J47" s="9">
        <v>0</v>
      </c>
      <c r="K47" s="9">
        <f>SUM(G47:J47)</f>
        <v>0</v>
      </c>
      <c r="M47" s="9">
        <f>G47</f>
        <v>0</v>
      </c>
      <c r="N47" s="9">
        <f>H47</f>
        <v>0</v>
      </c>
      <c r="O47" s="9">
        <f>I47</f>
        <v>0</v>
      </c>
      <c r="P47" s="9">
        <f>J47</f>
        <v>0</v>
      </c>
      <c r="Q47" s="9">
        <f>SUM(M47:P47)</f>
        <v>0</v>
      </c>
      <c r="R47" s="9"/>
      <c r="S47" s="9"/>
      <c r="T47" s="9"/>
      <c r="U47" s="9"/>
      <c r="V47" s="9"/>
      <c r="W47" s="9"/>
    </row>
    <row r="48" spans="2:23" x14ac:dyDescent="0.2">
      <c r="D48" s="53"/>
    </row>
    <row r="49" spans="2:23" x14ac:dyDescent="0.2">
      <c r="D49" s="53" t="s">
        <v>70</v>
      </c>
      <c r="G49" s="9"/>
      <c r="H49" s="9">
        <v>0</v>
      </c>
      <c r="I49" s="9">
        <v>0</v>
      </c>
      <c r="J49" s="9">
        <v>0</v>
      </c>
      <c r="K49" s="9">
        <f>SUM(G49:J49)</f>
        <v>0</v>
      </c>
      <c r="M49" s="9">
        <f>G49</f>
        <v>0</v>
      </c>
      <c r="N49" s="9">
        <f>H49</f>
        <v>0</v>
      </c>
      <c r="O49" s="9">
        <f>I49</f>
        <v>0</v>
      </c>
      <c r="P49" s="9">
        <f>J49</f>
        <v>0</v>
      </c>
      <c r="Q49" s="9">
        <f>SUM(M49:P49)</f>
        <v>0</v>
      </c>
      <c r="R49" s="9"/>
      <c r="S49" s="9"/>
      <c r="T49" s="9"/>
      <c r="U49" s="9"/>
      <c r="V49" s="9"/>
      <c r="W49" s="9"/>
    </row>
    <row r="50" spans="2:23" x14ac:dyDescent="0.2">
      <c r="D50" s="53" t="s">
        <v>71</v>
      </c>
    </row>
    <row r="51" spans="2:23" x14ac:dyDescent="0.2">
      <c r="D51" s="53"/>
    </row>
    <row r="52" spans="2:23" x14ac:dyDescent="0.2">
      <c r="B52" s="53"/>
      <c r="D52" s="53" t="s">
        <v>66</v>
      </c>
      <c r="G52" s="13"/>
      <c r="H52" s="13">
        <v>0</v>
      </c>
      <c r="I52" s="13">
        <v>0</v>
      </c>
      <c r="J52" s="13">
        <v>0</v>
      </c>
      <c r="K52" s="13">
        <f>SUM(G52:J52)</f>
        <v>0</v>
      </c>
      <c r="M52" s="13">
        <f>G52</f>
        <v>0</v>
      </c>
      <c r="N52" s="13">
        <f>H52</f>
        <v>0</v>
      </c>
      <c r="O52" s="13">
        <f>I52</f>
        <v>0</v>
      </c>
      <c r="P52" s="13">
        <f>J52</f>
        <v>0</v>
      </c>
      <c r="Q52" s="13">
        <f>SUM(M52:P52)</f>
        <v>0</v>
      </c>
      <c r="R52" s="17"/>
      <c r="S52" s="17"/>
      <c r="T52" s="17"/>
      <c r="U52" s="17"/>
      <c r="V52" s="17"/>
      <c r="W52" s="17"/>
    </row>
    <row r="53" spans="2:23" x14ac:dyDescent="0.2">
      <c r="D53" s="53" t="s">
        <v>72</v>
      </c>
      <c r="G53" s="14">
        <f>SUM(G33:G52)</f>
        <v>18358</v>
      </c>
      <c r="H53" s="14">
        <f>SUM(H33:H52)</f>
        <v>0</v>
      </c>
      <c r="I53" s="14">
        <f>SUM(I33:I52)</f>
        <v>0</v>
      </c>
      <c r="J53" s="14">
        <f>SUM(J33:J52)</f>
        <v>0</v>
      </c>
      <c r="K53" s="14">
        <f>SUM(G53:J53)</f>
        <v>18358</v>
      </c>
      <c r="M53" s="14">
        <f>SUM(M33:M52)</f>
        <v>18358</v>
      </c>
      <c r="N53" s="14">
        <f>SUM(N33:N52)</f>
        <v>0</v>
      </c>
      <c r="O53" s="14">
        <f>SUM(O33:O52)</f>
        <v>0</v>
      </c>
      <c r="P53" s="14">
        <f>SUM(P33:P52)</f>
        <v>0</v>
      </c>
      <c r="Q53" s="14">
        <f>SUM(M53:P53)</f>
        <v>18358</v>
      </c>
      <c r="R53" s="14"/>
      <c r="S53" s="14"/>
      <c r="T53" s="14"/>
      <c r="U53" s="14"/>
      <c r="V53" s="14"/>
      <c r="W53" s="14"/>
    </row>
    <row r="54" spans="2:23" x14ac:dyDescent="0.2">
      <c r="B54" s="53"/>
      <c r="G54" s="9"/>
    </row>
    <row r="55" spans="2:23" x14ac:dyDescent="0.2">
      <c r="B55" s="53" t="s">
        <v>73</v>
      </c>
      <c r="G55" s="9">
        <v>0</v>
      </c>
      <c r="H55" s="9">
        <v>0</v>
      </c>
      <c r="I55" s="9">
        <v>0</v>
      </c>
      <c r="J55" s="9">
        <v>0</v>
      </c>
      <c r="K55" s="9">
        <f>SUM(G55:J55)</f>
        <v>0</v>
      </c>
      <c r="M55" s="9">
        <v>0</v>
      </c>
      <c r="N55" s="9">
        <v>0</v>
      </c>
      <c r="O55" s="9">
        <v>0</v>
      </c>
      <c r="P55" s="9">
        <v>0</v>
      </c>
      <c r="Q55" s="9">
        <f>SUM(M55:P55)</f>
        <v>0</v>
      </c>
      <c r="R55" s="9"/>
      <c r="S55" s="9"/>
      <c r="T55" s="9"/>
      <c r="U55" s="9"/>
      <c r="V55" s="9"/>
      <c r="W55" s="9"/>
    </row>
    <row r="56" spans="2:23" x14ac:dyDescent="0.2">
      <c r="B56" s="53" t="s">
        <v>74</v>
      </c>
      <c r="D56" s="9"/>
    </row>
    <row r="57" spans="2:23" ht="13.5" thickBot="1" x14ac:dyDescent="0.25">
      <c r="K57" s="9"/>
      <c r="Q57" s="65"/>
      <c r="R57" s="66"/>
      <c r="S57" s="66"/>
      <c r="T57" s="66"/>
      <c r="U57" s="66"/>
      <c r="V57" s="66"/>
      <c r="W57" s="66"/>
    </row>
    <row r="58" spans="2:23" x14ac:dyDescent="0.2">
      <c r="B58" s="53" t="s">
        <v>75</v>
      </c>
      <c r="E58" s="9"/>
      <c r="G58" s="67">
        <f>G21+G24+G31+G53+G55</f>
        <v>79221</v>
      </c>
      <c r="H58" s="67">
        <f>H21+H24+H31+H53+H55</f>
        <v>6272</v>
      </c>
      <c r="I58" s="67">
        <f>I21+I24+I31+I53+I55</f>
        <v>118889</v>
      </c>
      <c r="J58" s="67">
        <f>J21+J24+J31+J53+J55</f>
        <v>0</v>
      </c>
      <c r="K58" s="67">
        <f>SUM(G58:J58)</f>
        <v>204382</v>
      </c>
      <c r="L58" s="68"/>
      <c r="M58" s="67">
        <f>M21+M24+M31+M53+M55</f>
        <v>45280.09132742355</v>
      </c>
      <c r="N58" s="67">
        <f>N21+N24+N31+N53+N55</f>
        <v>2792.8091327423554</v>
      </c>
      <c r="O58" s="67">
        <f>O21+O24+O31+O53+O55</f>
        <v>35037.070631245937</v>
      </c>
      <c r="P58" s="67">
        <f>P21+P24+P31+P53+P55</f>
        <v>0</v>
      </c>
      <c r="Q58" s="67">
        <f>SUM(M58:P58)</f>
        <v>83109.971091411833</v>
      </c>
      <c r="R58" s="62"/>
      <c r="S58" s="62"/>
      <c r="T58" s="62"/>
      <c r="U58" s="62"/>
      <c r="V58" s="62"/>
      <c r="W58" s="62"/>
    </row>
    <row r="61" spans="2:23" ht="14.25" x14ac:dyDescent="0.2">
      <c r="B61" s="57" t="s">
        <v>76</v>
      </c>
    </row>
    <row r="62" spans="2:23" x14ac:dyDescent="0.2">
      <c r="E62" s="8"/>
    </row>
    <row r="63" spans="2:23" x14ac:dyDescent="0.2">
      <c r="D63" s="6" t="s">
        <v>77</v>
      </c>
      <c r="E63" s="8" t="s">
        <v>26</v>
      </c>
      <c r="G63" s="9">
        <v>13727.1</v>
      </c>
      <c r="H63" s="9">
        <v>1372.71</v>
      </c>
      <c r="I63" s="9">
        <v>30657.190000000002</v>
      </c>
      <c r="J63" s="9"/>
      <c r="K63" s="9">
        <f>G63+H63+I63</f>
        <v>45757</v>
      </c>
      <c r="M63" s="9">
        <f>Q63*G83</f>
        <v>4378.188000000001</v>
      </c>
      <c r="N63" s="9">
        <f>Q63*H83</f>
        <v>437.81880000000007</v>
      </c>
      <c r="O63" s="9">
        <f>Q63*I83</f>
        <v>9777.9532000000017</v>
      </c>
      <c r="P63" s="9">
        <f t="shared" ref="P63" si="13">J63</f>
        <v>0</v>
      </c>
      <c r="Q63" s="9">
        <f>K63-((((34*114.57)*8)*1))</f>
        <v>14593.960000000003</v>
      </c>
    </row>
    <row r="64" spans="2:23" x14ac:dyDescent="0.2">
      <c r="E64" s="8"/>
      <c r="G64" s="9"/>
      <c r="H64" s="9"/>
      <c r="I64" s="9"/>
      <c r="J64" s="9"/>
      <c r="K64" s="9"/>
      <c r="M64" s="9"/>
      <c r="N64" s="9"/>
      <c r="O64" s="9"/>
      <c r="P64" s="9"/>
      <c r="Q64" s="9"/>
    </row>
    <row r="65" spans="1:24" x14ac:dyDescent="0.2">
      <c r="D65" s="6" t="s">
        <v>94</v>
      </c>
      <c r="E65" s="8" t="s">
        <v>26</v>
      </c>
      <c r="G65" s="9">
        <v>0</v>
      </c>
      <c r="H65" s="9">
        <v>0</v>
      </c>
      <c r="I65" s="9">
        <v>45936</v>
      </c>
      <c r="J65" s="9">
        <v>0</v>
      </c>
      <c r="K65" s="9">
        <f>I65+H65+G65</f>
        <v>45936</v>
      </c>
      <c r="M65" s="9">
        <f>G65</f>
        <v>0</v>
      </c>
      <c r="N65" s="9">
        <f>H65</f>
        <v>0</v>
      </c>
      <c r="O65" s="9">
        <f>I65</f>
        <v>45936</v>
      </c>
      <c r="P65" s="9">
        <f>J65</f>
        <v>0</v>
      </c>
      <c r="Q65" s="9">
        <f>K65</f>
        <v>45936</v>
      </c>
    </row>
    <row r="66" spans="1:24" x14ac:dyDescent="0.2">
      <c r="E66" s="8"/>
    </row>
    <row r="67" spans="1:24" s="3" customFormat="1" x14ac:dyDescent="0.2">
      <c r="A67" s="6"/>
      <c r="B67" s="6"/>
      <c r="C67" s="6"/>
      <c r="D67" s="6" t="s">
        <v>78</v>
      </c>
      <c r="E67" s="8" t="s">
        <v>26</v>
      </c>
      <c r="F67" s="6"/>
      <c r="G67" s="9">
        <f>30000+107118</f>
        <v>137118</v>
      </c>
      <c r="H67" s="9">
        <f>3000+10804.5</f>
        <v>13804.5</v>
      </c>
      <c r="I67" s="9">
        <f>287894.5+67000</f>
        <v>354894.5</v>
      </c>
      <c r="J67" s="9">
        <v>0</v>
      </c>
      <c r="K67" s="9">
        <f>G67+H67+I67</f>
        <v>505817</v>
      </c>
      <c r="L67" s="6"/>
      <c r="M67" s="9">
        <f>G67</f>
        <v>137118</v>
      </c>
      <c r="N67" s="9">
        <f>H67</f>
        <v>13804.5</v>
      </c>
      <c r="O67" s="9">
        <f>I67</f>
        <v>354894.5</v>
      </c>
      <c r="P67" s="9">
        <f>J67</f>
        <v>0</v>
      </c>
      <c r="Q67" s="9">
        <f>K67</f>
        <v>505817</v>
      </c>
      <c r="R67" s="9"/>
      <c r="S67" s="9"/>
      <c r="T67" s="9"/>
      <c r="U67" s="9"/>
      <c r="V67" s="9"/>
      <c r="W67" s="9"/>
      <c r="X67" s="6"/>
    </row>
    <row r="68" spans="1:24" s="3" customFormat="1" ht="13.5" thickBot="1" x14ac:dyDescent="0.25">
      <c r="A68" s="6"/>
      <c r="B68" s="6"/>
      <c r="C68" s="6"/>
      <c r="D68" s="6"/>
      <c r="E68" s="6"/>
      <c r="F68" s="6"/>
      <c r="G68" s="6"/>
      <c r="H68" s="6"/>
      <c r="I68" s="6"/>
      <c r="J68" s="6"/>
      <c r="K68" s="6"/>
      <c r="L68" s="6"/>
      <c r="M68" s="6"/>
      <c r="N68" s="6"/>
      <c r="O68" s="6"/>
      <c r="P68" s="6"/>
      <c r="Q68" s="6"/>
      <c r="R68" s="6"/>
      <c r="S68" s="6"/>
      <c r="T68" s="6"/>
      <c r="U68" s="6"/>
      <c r="V68" s="6"/>
      <c r="W68" s="6"/>
      <c r="X68" s="31"/>
    </row>
    <row r="69" spans="1:24" s="3" customFormat="1" ht="13.5" thickBot="1" x14ac:dyDescent="0.25">
      <c r="A69" s="6"/>
      <c r="B69" s="53" t="s">
        <v>79</v>
      </c>
      <c r="C69" s="6"/>
      <c r="D69" s="6"/>
      <c r="E69" s="8" t="s">
        <v>26</v>
      </c>
      <c r="F69" s="6"/>
      <c r="G69" s="67">
        <f>G67+G63</f>
        <v>150845.1</v>
      </c>
      <c r="H69" s="67">
        <f>H67+H63</f>
        <v>15177.21</v>
      </c>
      <c r="I69" s="67">
        <f>I67+I63+I65</f>
        <v>431487.69</v>
      </c>
      <c r="J69" s="67">
        <f t="shared" ref="H69:Q70" si="14">J67</f>
        <v>0</v>
      </c>
      <c r="K69" s="67">
        <f>K67+K63+K65</f>
        <v>597510</v>
      </c>
      <c r="L69" s="67">
        <f t="shared" ref="L69:Q69" si="15">L67+L63+L65</f>
        <v>0</v>
      </c>
      <c r="M69" s="67">
        <f t="shared" si="15"/>
        <v>141496.18799999999</v>
      </c>
      <c r="N69" s="67">
        <f t="shared" si="15"/>
        <v>14242.318800000001</v>
      </c>
      <c r="O69" s="67">
        <f>O67+O63+O65</f>
        <v>410608.45319999999</v>
      </c>
      <c r="P69" s="67">
        <f t="shared" si="15"/>
        <v>0</v>
      </c>
      <c r="Q69" s="67">
        <f t="shared" si="15"/>
        <v>566346.96</v>
      </c>
      <c r="R69" s="62"/>
      <c r="S69" s="62"/>
      <c r="T69" s="62"/>
      <c r="U69" s="62"/>
      <c r="V69" s="62"/>
      <c r="W69" s="62"/>
      <c r="X69" s="66"/>
    </row>
    <row r="70" spans="1:24" s="3" customFormat="1" x14ac:dyDescent="0.2">
      <c r="A70" s="6"/>
      <c r="B70" s="53"/>
      <c r="C70" s="6"/>
      <c r="D70" s="6"/>
      <c r="E70" s="8" t="s">
        <v>28</v>
      </c>
      <c r="F70" s="6"/>
      <c r="G70" s="67">
        <f>G68</f>
        <v>0</v>
      </c>
      <c r="H70" s="67">
        <f t="shared" si="14"/>
        <v>0</v>
      </c>
      <c r="I70" s="67">
        <f t="shared" si="14"/>
        <v>0</v>
      </c>
      <c r="J70" s="67">
        <f t="shared" si="14"/>
        <v>0</v>
      </c>
      <c r="K70" s="67">
        <f t="shared" si="14"/>
        <v>0</v>
      </c>
      <c r="L70" s="6"/>
      <c r="M70" s="67">
        <f t="shared" si="14"/>
        <v>0</v>
      </c>
      <c r="N70" s="67">
        <f t="shared" si="14"/>
        <v>0</v>
      </c>
      <c r="O70" s="67">
        <f t="shared" si="14"/>
        <v>0</v>
      </c>
      <c r="P70" s="67">
        <f t="shared" si="14"/>
        <v>0</v>
      </c>
      <c r="Q70" s="67">
        <f t="shared" si="14"/>
        <v>0</v>
      </c>
      <c r="R70" s="69"/>
      <c r="S70" s="69"/>
      <c r="T70" s="69"/>
      <c r="U70" s="69"/>
      <c r="V70" s="69"/>
      <c r="W70" s="69"/>
      <c r="X70" s="6"/>
    </row>
    <row r="71" spans="1:24" s="3" customFormat="1" x14ac:dyDescent="0.2">
      <c r="A71" s="6"/>
      <c r="B71" s="6"/>
      <c r="C71" s="6"/>
      <c r="D71" s="6"/>
      <c r="E71" s="6"/>
      <c r="F71" s="6"/>
      <c r="G71" s="6"/>
      <c r="H71" s="6"/>
      <c r="I71" s="6"/>
      <c r="J71" s="6"/>
      <c r="K71" s="9"/>
      <c r="L71" s="6"/>
      <c r="M71" s="6"/>
      <c r="N71" s="6"/>
      <c r="O71" s="6"/>
      <c r="P71" s="6"/>
      <c r="Q71" s="6"/>
      <c r="R71" s="6"/>
      <c r="S71" s="6"/>
      <c r="T71" s="6"/>
      <c r="U71" s="6"/>
      <c r="V71" s="6"/>
      <c r="W71" s="6"/>
      <c r="X71" s="9"/>
    </row>
    <row r="72" spans="1:24" s="3" customFormat="1" ht="13.5" thickBot="1" x14ac:dyDescent="0.25">
      <c r="A72" s="6"/>
      <c r="B72" s="6"/>
      <c r="C72" s="6"/>
      <c r="D72" s="6"/>
      <c r="E72" s="6"/>
      <c r="F72" s="6"/>
      <c r="G72" s="6"/>
      <c r="H72" s="6"/>
      <c r="I72" s="6"/>
      <c r="J72" s="6"/>
      <c r="K72" s="6"/>
      <c r="L72" s="6"/>
      <c r="M72" s="6"/>
      <c r="N72" s="6"/>
      <c r="O72" s="6"/>
      <c r="P72" s="6"/>
      <c r="Q72" s="6"/>
      <c r="R72" s="6"/>
      <c r="S72" s="6"/>
      <c r="T72" s="6"/>
      <c r="U72" s="6"/>
      <c r="V72" s="6"/>
      <c r="W72" s="6"/>
      <c r="X72" s="6"/>
    </row>
    <row r="73" spans="1:24" s="3" customFormat="1" ht="15" thickBot="1" x14ac:dyDescent="0.25">
      <c r="A73" s="6"/>
      <c r="B73" s="57" t="s">
        <v>80</v>
      </c>
      <c r="C73" s="6"/>
      <c r="D73" s="6"/>
      <c r="E73" s="6"/>
      <c r="F73" s="6"/>
      <c r="G73" s="21">
        <f>G58+G69</f>
        <v>230066.1</v>
      </c>
      <c r="H73" s="21">
        <f t="shared" ref="H73:P73" si="16">H58+H69</f>
        <v>21449.21</v>
      </c>
      <c r="I73" s="21">
        <f t="shared" si="16"/>
        <v>550376.68999999994</v>
      </c>
      <c r="J73" s="21">
        <f t="shared" si="16"/>
        <v>0</v>
      </c>
      <c r="K73" s="21">
        <f t="shared" si="16"/>
        <v>801892</v>
      </c>
      <c r="L73" s="21">
        <f t="shared" si="16"/>
        <v>0</v>
      </c>
      <c r="M73" s="21">
        <f>M58+M69</f>
        <v>186776.27932742354</v>
      </c>
      <c r="N73" s="21">
        <f>N58+N69</f>
        <v>17035.127932742354</v>
      </c>
      <c r="O73" s="21">
        <f>O58+O69</f>
        <v>445645.52383124596</v>
      </c>
      <c r="P73" s="21">
        <f t="shared" si="16"/>
        <v>0</v>
      </c>
      <c r="Q73" s="21">
        <f>Q58+Q69</f>
        <v>649456.93109141174</v>
      </c>
      <c r="R73" s="62"/>
      <c r="S73" s="62"/>
      <c r="T73" s="62"/>
      <c r="U73" s="62"/>
      <c r="V73" s="62"/>
      <c r="W73" s="62"/>
      <c r="X73" s="6"/>
    </row>
    <row r="74" spans="1:24" s="3" customFormat="1" ht="13.5" thickTop="1" x14ac:dyDescent="0.2">
      <c r="A74" s="6"/>
      <c r="B74" s="6"/>
      <c r="C74" s="6"/>
      <c r="D74" s="6"/>
      <c r="E74" s="6"/>
      <c r="F74" s="6"/>
      <c r="G74" s="6"/>
      <c r="H74" s="6"/>
      <c r="I74" s="22"/>
      <c r="J74" s="6"/>
      <c r="K74" s="6"/>
      <c r="L74" s="6"/>
      <c r="M74" s="6"/>
      <c r="N74" s="6"/>
      <c r="O74" s="23"/>
      <c r="P74" s="6"/>
      <c r="Q74" s="6"/>
      <c r="R74" s="6"/>
      <c r="S74" s="6"/>
      <c r="T74" s="6"/>
      <c r="U74" s="6"/>
      <c r="V74" s="6"/>
      <c r="W74" s="6"/>
      <c r="X74" s="6"/>
    </row>
    <row r="75" spans="1:24" x14ac:dyDescent="0.2">
      <c r="I75" s="22"/>
      <c r="K75" s="9"/>
      <c r="O75" s="23"/>
    </row>
    <row r="76" spans="1:24" x14ac:dyDescent="0.2">
      <c r="G76" s="61"/>
      <c r="H76" s="61"/>
      <c r="I76" s="61"/>
      <c r="J76" s="9"/>
      <c r="K76" s="113"/>
      <c r="O76" s="23"/>
    </row>
    <row r="77" spans="1:24" x14ac:dyDescent="0.2">
      <c r="G77" s="22"/>
      <c r="H77" s="22"/>
      <c r="I77" s="22"/>
      <c r="K77" s="113"/>
      <c r="O77" s="35"/>
    </row>
    <row r="78" spans="1:24" x14ac:dyDescent="0.2">
      <c r="G78" s="24"/>
      <c r="H78" s="24"/>
      <c r="I78" s="24"/>
      <c r="K78" s="9"/>
      <c r="O78" s="23"/>
    </row>
    <row r="79" spans="1:24" x14ac:dyDescent="0.2">
      <c r="G79" s="22"/>
      <c r="H79" s="22"/>
      <c r="I79" s="22"/>
      <c r="J79" s="9"/>
      <c r="K79" s="9"/>
      <c r="M79" s="70"/>
      <c r="N79" s="70"/>
      <c r="O79" s="25"/>
      <c r="P79" s="70"/>
      <c r="Q79" s="70"/>
      <c r="R79" s="70"/>
      <c r="S79" s="70"/>
      <c r="T79" s="70"/>
      <c r="U79" s="70"/>
    </row>
    <row r="80" spans="1:24" x14ac:dyDescent="0.2">
      <c r="G80" s="22"/>
      <c r="H80" s="22"/>
      <c r="I80" s="22"/>
      <c r="K80" s="9"/>
      <c r="M80" s="70"/>
      <c r="N80" s="70"/>
      <c r="O80" s="25"/>
      <c r="P80" s="70"/>
      <c r="Q80" s="70"/>
      <c r="R80" s="70"/>
      <c r="S80" s="70"/>
      <c r="T80" s="70"/>
      <c r="U80" s="70"/>
    </row>
    <row r="81" spans="5:25" x14ac:dyDescent="0.2">
      <c r="G81" s="22"/>
      <c r="H81" s="22"/>
      <c r="I81" s="22"/>
      <c r="M81" s="70"/>
      <c r="N81" s="70"/>
      <c r="O81" s="25"/>
      <c r="P81" s="70"/>
      <c r="Q81" s="70"/>
      <c r="R81" s="70"/>
      <c r="S81" s="70"/>
      <c r="T81" s="70"/>
      <c r="U81" s="70"/>
    </row>
    <row r="82" spans="5:25" ht="13.5" thickBot="1" x14ac:dyDescent="0.25">
      <c r="M82" s="70"/>
      <c r="N82" s="70"/>
      <c r="O82" s="70"/>
      <c r="P82" s="70"/>
      <c r="Q82" s="70"/>
      <c r="R82" s="70"/>
      <c r="S82" s="70"/>
      <c r="T82" s="70"/>
      <c r="U82" s="70"/>
    </row>
    <row r="83" spans="5:25" x14ac:dyDescent="0.2">
      <c r="E83" s="72"/>
      <c r="F83" s="73"/>
      <c r="G83" s="74">
        <v>0.3</v>
      </c>
      <c r="H83" s="74">
        <v>0.03</v>
      </c>
      <c r="I83" s="74">
        <v>0.67</v>
      </c>
      <c r="J83" s="73"/>
      <c r="K83" s="96"/>
      <c r="M83" s="75"/>
      <c r="N83" s="76"/>
      <c r="O83" s="76"/>
      <c r="P83" s="76"/>
      <c r="Q83" s="77"/>
      <c r="R83" s="60"/>
      <c r="S83" s="60"/>
      <c r="T83" s="60"/>
      <c r="U83" s="60"/>
    </row>
    <row r="84" spans="5:25" x14ac:dyDescent="0.2">
      <c r="E84" s="50"/>
      <c r="F84" s="31"/>
      <c r="G84" s="31"/>
      <c r="H84" s="31"/>
      <c r="I84" s="31"/>
      <c r="J84" s="31"/>
      <c r="K84" s="78"/>
      <c r="M84" s="26"/>
      <c r="N84" s="60"/>
      <c r="O84" s="60"/>
      <c r="P84" s="60"/>
      <c r="Q84" s="60"/>
      <c r="R84" s="60"/>
      <c r="S84" s="60"/>
      <c r="T84" s="60"/>
      <c r="U84" s="60"/>
    </row>
    <row r="85" spans="5:25" x14ac:dyDescent="0.2">
      <c r="E85" s="50" t="s">
        <v>81</v>
      </c>
      <c r="F85" s="31"/>
      <c r="G85" s="31"/>
      <c r="H85" s="31"/>
      <c r="I85" s="31"/>
      <c r="J85" s="31"/>
      <c r="K85" s="79">
        <f>K73</f>
        <v>801892</v>
      </c>
      <c r="M85" s="27"/>
      <c r="N85" s="77"/>
      <c r="O85" s="77"/>
      <c r="P85" s="77"/>
      <c r="Q85" s="77"/>
      <c r="R85" s="60"/>
      <c r="S85" s="60"/>
      <c r="T85" s="60"/>
      <c r="U85" s="60"/>
    </row>
    <row r="86" spans="5:25" x14ac:dyDescent="0.2">
      <c r="E86" s="50" t="s">
        <v>82</v>
      </c>
      <c r="F86" s="31"/>
      <c r="G86" s="31"/>
      <c r="H86" s="31"/>
      <c r="I86" s="31"/>
      <c r="J86" s="31"/>
      <c r="K86" s="79">
        <v>0</v>
      </c>
      <c r="M86" s="70"/>
      <c r="N86" s="60"/>
      <c r="O86" s="60"/>
      <c r="P86" s="60"/>
      <c r="Q86" s="60"/>
      <c r="R86" s="60"/>
      <c r="S86" s="60"/>
      <c r="T86" s="60"/>
      <c r="U86" s="60"/>
    </row>
    <row r="87" spans="5:25" x14ac:dyDescent="0.2">
      <c r="E87" s="50"/>
      <c r="F87" s="31"/>
      <c r="G87" s="31"/>
      <c r="H87" s="31"/>
      <c r="I87" s="31"/>
      <c r="J87" s="31"/>
      <c r="K87" s="79"/>
      <c r="M87" s="27"/>
      <c r="N87" s="60"/>
      <c r="O87" s="60"/>
      <c r="P87" s="60"/>
      <c r="Q87" s="60"/>
      <c r="R87" s="60"/>
      <c r="S87" s="60"/>
      <c r="T87" s="60"/>
      <c r="U87" s="60"/>
    </row>
    <row r="88" spans="5:25" x14ac:dyDescent="0.2">
      <c r="E88" s="50" t="s">
        <v>83</v>
      </c>
      <c r="F88" s="31"/>
      <c r="G88" s="31"/>
      <c r="H88" s="31"/>
      <c r="I88" s="31"/>
      <c r="J88" s="31"/>
      <c r="K88" s="80">
        <f>SUM(K85:K87)</f>
        <v>801892</v>
      </c>
      <c r="M88" s="27"/>
      <c r="N88" s="60"/>
      <c r="O88" s="60"/>
      <c r="P88" s="60"/>
      <c r="Q88" s="60"/>
      <c r="R88" s="60"/>
      <c r="S88" s="60"/>
      <c r="T88" s="60"/>
      <c r="U88" s="60"/>
    </row>
    <row r="89" spans="5:25" x14ac:dyDescent="0.2">
      <c r="E89" s="50" t="s">
        <v>84</v>
      </c>
      <c r="F89" s="31"/>
      <c r="G89" s="31"/>
      <c r="H89" s="31"/>
      <c r="I89" s="31"/>
      <c r="J89" s="31"/>
      <c r="K89" s="79">
        <f>I65</f>
        <v>45936</v>
      </c>
      <c r="M89" s="27"/>
      <c r="N89" s="60"/>
      <c r="O89" s="81"/>
      <c r="P89" s="81"/>
      <c r="Q89" s="77"/>
      <c r="R89" s="60"/>
      <c r="S89" s="60"/>
      <c r="T89" s="60"/>
      <c r="U89" s="60"/>
    </row>
    <row r="90" spans="5:25" x14ac:dyDescent="0.2">
      <c r="E90" s="50" t="s">
        <v>85</v>
      </c>
      <c r="F90" s="31"/>
      <c r="G90" s="31"/>
      <c r="H90" s="31"/>
      <c r="I90" s="31"/>
      <c r="J90" s="31"/>
      <c r="K90" s="79">
        <f>G53</f>
        <v>18358</v>
      </c>
      <c r="M90" s="27"/>
      <c r="N90" s="60"/>
      <c r="O90" s="81"/>
      <c r="P90" s="81"/>
      <c r="Q90" s="77"/>
      <c r="R90" s="60"/>
      <c r="S90" s="60"/>
      <c r="T90" s="60"/>
      <c r="U90" s="60"/>
    </row>
    <row r="91" spans="5:25" x14ac:dyDescent="0.2">
      <c r="E91" s="50"/>
      <c r="F91" s="31"/>
      <c r="G91" s="31"/>
      <c r="H91" s="31"/>
      <c r="I91" s="31"/>
      <c r="J91" s="31"/>
      <c r="K91" s="79"/>
      <c r="M91" s="27"/>
      <c r="N91" s="60"/>
      <c r="O91" s="81"/>
      <c r="P91" s="81"/>
      <c r="Q91" s="77"/>
      <c r="R91" s="60"/>
      <c r="S91" s="60"/>
      <c r="T91" s="60"/>
      <c r="U91" s="60"/>
    </row>
    <row r="92" spans="5:25" ht="13.5" thickBot="1" x14ac:dyDescent="0.25">
      <c r="E92" s="50" t="s">
        <v>86</v>
      </c>
      <c r="F92" s="31"/>
      <c r="G92" s="31"/>
      <c r="H92" s="31"/>
      <c r="I92" s="31"/>
      <c r="J92" s="31"/>
      <c r="K92" s="82">
        <f>K88-K89-K90-K91</f>
        <v>737598</v>
      </c>
      <c r="M92" s="27"/>
      <c r="N92" s="60"/>
      <c r="O92" s="60"/>
      <c r="P92" s="60"/>
      <c r="Q92" s="60"/>
      <c r="R92" s="60"/>
      <c r="S92" s="60"/>
      <c r="T92" s="60"/>
      <c r="U92" s="60"/>
    </row>
    <row r="93" spans="5:25" ht="13.5" thickTop="1" x14ac:dyDescent="0.2">
      <c r="E93" s="50"/>
      <c r="F93" s="31"/>
      <c r="G93" s="31"/>
      <c r="H93" s="31"/>
      <c r="I93" s="31"/>
      <c r="J93" s="83" t="s">
        <v>87</v>
      </c>
      <c r="K93" s="79"/>
      <c r="M93" s="27"/>
      <c r="N93" s="60"/>
      <c r="O93" s="60"/>
      <c r="P93" s="60"/>
      <c r="Q93" s="77"/>
      <c r="R93" s="60"/>
      <c r="S93" s="60"/>
      <c r="T93" s="60"/>
      <c r="U93" s="60"/>
    </row>
    <row r="94" spans="5:25" x14ac:dyDescent="0.2">
      <c r="E94" s="50" t="s">
        <v>81</v>
      </c>
      <c r="F94" s="31"/>
      <c r="G94" s="29">
        <f>G73</f>
        <v>230066.1</v>
      </c>
      <c r="H94" s="29">
        <f>H73</f>
        <v>21449.21</v>
      </c>
      <c r="I94" s="29">
        <f>I73</f>
        <v>550376.68999999994</v>
      </c>
      <c r="J94" s="29"/>
      <c r="K94" s="79"/>
      <c r="M94" s="27"/>
      <c r="N94" s="60"/>
      <c r="O94" s="60"/>
      <c r="P94" s="60"/>
      <c r="Q94" s="60"/>
      <c r="R94" s="60"/>
      <c r="S94" s="60"/>
      <c r="T94" s="60"/>
      <c r="U94" s="60">
        <v>0</v>
      </c>
      <c r="Y94" s="3">
        <v>900323.36</v>
      </c>
    </row>
    <row r="95" spans="5:25" x14ac:dyDescent="0.2">
      <c r="E95" s="50" t="s">
        <v>88</v>
      </c>
      <c r="F95" s="31"/>
      <c r="G95" s="29">
        <f>K90</f>
        <v>18358</v>
      </c>
      <c r="H95" s="84">
        <v>0</v>
      </c>
      <c r="I95" s="84">
        <f>K89</f>
        <v>45936</v>
      </c>
      <c r="K95" s="78"/>
      <c r="M95" s="70"/>
      <c r="N95" s="60"/>
      <c r="O95" s="60"/>
      <c r="P95" s="60"/>
      <c r="Q95" s="60"/>
      <c r="R95" s="60"/>
      <c r="S95" s="60"/>
      <c r="T95" s="60"/>
      <c r="U95" s="60"/>
    </row>
    <row r="96" spans="5:25" ht="13.5" thickBot="1" x14ac:dyDescent="0.25">
      <c r="E96" s="50" t="s">
        <v>89</v>
      </c>
      <c r="F96" s="31"/>
      <c r="G96" s="85">
        <f>G94-G95</f>
        <v>211708.1</v>
      </c>
      <c r="H96" s="85">
        <f>H94-H95</f>
        <v>21449.21</v>
      </c>
      <c r="I96" s="85">
        <f>I94-I95</f>
        <v>504440.68999999994</v>
      </c>
      <c r="J96" s="28"/>
      <c r="K96" s="79"/>
      <c r="M96" s="70"/>
      <c r="N96" s="60"/>
      <c r="O96" s="60"/>
      <c r="P96" s="58"/>
      <c r="Q96" s="60"/>
      <c r="R96" s="60"/>
      <c r="S96" s="60"/>
      <c r="T96" s="60"/>
      <c r="U96" s="60"/>
    </row>
    <row r="97" spans="5:21" ht="14.25" thickTop="1" thickBot="1" x14ac:dyDescent="0.25">
      <c r="E97" s="50" t="s">
        <v>90</v>
      </c>
      <c r="F97" s="31"/>
      <c r="G97" s="86">
        <f>G96/$K$92</f>
        <v>0.28702369041130804</v>
      </c>
      <c r="H97" s="86">
        <f t="shared" ref="H97:I97" si="17">H96/$K$92</f>
        <v>2.9079810411633437E-2</v>
      </c>
      <c r="I97" s="86">
        <f t="shared" si="17"/>
        <v>0.68389649917705841</v>
      </c>
      <c r="J97" s="29"/>
      <c r="K97" s="79"/>
      <c r="M97" s="70"/>
      <c r="N97" s="60"/>
      <c r="O97" s="60"/>
      <c r="P97" s="60"/>
      <c r="Q97" s="60"/>
      <c r="R97" s="60"/>
      <c r="S97" s="60"/>
      <c r="T97" s="60"/>
      <c r="U97" s="60"/>
    </row>
    <row r="98" spans="5:21" ht="14.25" thickTop="1" thickBot="1" x14ac:dyDescent="0.25">
      <c r="E98" s="87"/>
      <c r="F98" s="88"/>
      <c r="G98" s="89" t="s">
        <v>91</v>
      </c>
      <c r="H98" s="89" t="s">
        <v>92</v>
      </c>
      <c r="I98" s="89" t="s">
        <v>5</v>
      </c>
      <c r="J98" s="88"/>
      <c r="K98" s="90"/>
      <c r="M98" s="70"/>
      <c r="N98" s="91"/>
      <c r="O98" s="91"/>
      <c r="P98" s="91"/>
      <c r="Q98" s="60"/>
      <c r="R98" s="60"/>
      <c r="S98" s="60"/>
      <c r="T98" s="60"/>
      <c r="U98" s="60"/>
    </row>
    <row r="99" spans="5:21" x14ac:dyDescent="0.2">
      <c r="J99" s="73"/>
      <c r="K99" s="92"/>
      <c r="M99" s="70"/>
      <c r="N99" s="91"/>
      <c r="O99" s="91"/>
      <c r="P99" s="91"/>
      <c r="Q99" s="60"/>
      <c r="R99" s="60"/>
      <c r="S99" s="60"/>
      <c r="T99" s="60"/>
      <c r="U99" s="60"/>
    </row>
    <row r="100" spans="5:21" x14ac:dyDescent="0.2">
      <c r="J100" s="29"/>
      <c r="K100" s="29"/>
      <c r="M100" s="70"/>
      <c r="N100" s="60"/>
      <c r="O100" s="60"/>
      <c r="P100" s="60"/>
      <c r="Q100" s="60"/>
      <c r="R100" s="60"/>
      <c r="S100" s="60"/>
      <c r="T100" s="60"/>
      <c r="U100" s="60"/>
    </row>
    <row r="101" spans="5:21" x14ac:dyDescent="0.2">
      <c r="E101" s="30"/>
      <c r="F101" s="31"/>
      <c r="G101" s="29"/>
      <c r="H101" s="29"/>
      <c r="I101" s="32"/>
      <c r="J101" s="93"/>
      <c r="K101" s="32"/>
      <c r="M101" s="70"/>
      <c r="N101" s="60"/>
      <c r="O101" s="60"/>
      <c r="P101" s="60"/>
      <c r="Q101" s="60"/>
      <c r="R101" s="60"/>
      <c r="S101" s="60"/>
      <c r="T101" s="60"/>
      <c r="U101" s="60"/>
    </row>
    <row r="102" spans="5:21" x14ac:dyDescent="0.2">
      <c r="E102" s="31"/>
      <c r="F102" s="31"/>
      <c r="G102" s="31"/>
      <c r="H102" s="31"/>
      <c r="I102" s="32"/>
      <c r="J102" s="93"/>
      <c r="K102" s="93"/>
      <c r="M102" s="94"/>
      <c r="N102" s="95"/>
      <c r="O102" s="95"/>
      <c r="P102" s="95"/>
      <c r="Q102" s="60"/>
      <c r="R102" s="60"/>
      <c r="S102" s="60"/>
      <c r="T102" s="60"/>
      <c r="U102" s="60"/>
    </row>
    <row r="103" spans="5:21" x14ac:dyDescent="0.2">
      <c r="E103" s="31"/>
      <c r="F103" s="31"/>
      <c r="G103" s="31"/>
      <c r="H103" s="29"/>
      <c r="I103" s="29"/>
      <c r="J103" s="31"/>
      <c r="K103" s="31"/>
      <c r="M103" s="70"/>
      <c r="N103" s="60"/>
      <c r="O103" s="60"/>
      <c r="P103" s="60"/>
      <c r="Q103" s="60"/>
      <c r="R103" s="60"/>
      <c r="S103" s="60"/>
      <c r="T103" s="60"/>
      <c r="U103" s="60"/>
    </row>
    <row r="104" spans="5:21" x14ac:dyDescent="0.2">
      <c r="E104" s="31"/>
      <c r="F104" s="31"/>
      <c r="G104" s="33"/>
      <c r="H104" s="33"/>
      <c r="I104" s="33"/>
      <c r="M104" s="70"/>
      <c r="N104" s="70"/>
      <c r="O104" s="70"/>
      <c r="P104" s="70"/>
      <c r="Q104" s="70"/>
      <c r="R104" s="70"/>
      <c r="S104" s="70"/>
      <c r="T104" s="70"/>
      <c r="U104" s="70"/>
    </row>
    <row r="105" spans="5:21" x14ac:dyDescent="0.2">
      <c r="E105" s="31"/>
      <c r="F105" s="31"/>
      <c r="G105" s="29"/>
      <c r="H105" s="29"/>
      <c r="I105" s="29"/>
      <c r="M105" s="70"/>
      <c r="N105" s="70"/>
      <c r="O105" s="70"/>
      <c r="P105" s="70"/>
      <c r="Q105" s="70"/>
      <c r="R105" s="70"/>
      <c r="S105" s="70"/>
      <c r="T105" s="70"/>
      <c r="U105" s="70"/>
    </row>
    <row r="106" spans="5:21" x14ac:dyDescent="0.2">
      <c r="E106" s="31"/>
      <c r="F106" s="31"/>
      <c r="G106" s="33"/>
      <c r="H106" s="33"/>
      <c r="I106" s="33"/>
      <c r="M106" s="70"/>
      <c r="N106" s="70"/>
      <c r="O106" s="70"/>
      <c r="P106" s="70"/>
      <c r="Q106" s="70"/>
      <c r="R106" s="70"/>
      <c r="S106" s="70"/>
      <c r="T106" s="70"/>
      <c r="U106" s="70"/>
    </row>
    <row r="107" spans="5:21" x14ac:dyDescent="0.2">
      <c r="E107" s="31"/>
      <c r="F107" s="31"/>
      <c r="G107" s="34"/>
      <c r="H107" s="34"/>
      <c r="I107" s="34"/>
      <c r="J107" s="31"/>
      <c r="M107" s="70"/>
      <c r="N107" s="70"/>
      <c r="O107" s="70"/>
      <c r="P107" s="70"/>
      <c r="Q107" s="70"/>
      <c r="R107" s="70"/>
      <c r="S107" s="70"/>
      <c r="T107" s="70"/>
      <c r="U107" s="70"/>
    </row>
    <row r="108" spans="5:21" x14ac:dyDescent="0.2">
      <c r="G108" s="29"/>
      <c r="H108" s="29"/>
      <c r="I108" s="29"/>
      <c r="J108" s="31"/>
      <c r="M108" s="70"/>
      <c r="N108" s="70"/>
      <c r="O108" s="70"/>
      <c r="P108" s="70"/>
      <c r="Q108" s="70"/>
      <c r="R108" s="70"/>
      <c r="S108" s="70"/>
      <c r="T108" s="70"/>
      <c r="U108" s="70"/>
    </row>
    <row r="109" spans="5:21" x14ac:dyDescent="0.2">
      <c r="G109" s="31"/>
      <c r="H109" s="31"/>
      <c r="I109" s="31"/>
      <c r="J109" s="31"/>
      <c r="M109" s="70"/>
      <c r="N109" s="70"/>
      <c r="O109" s="70"/>
      <c r="P109" s="70"/>
      <c r="Q109" s="70"/>
      <c r="R109" s="70"/>
      <c r="S109" s="70"/>
      <c r="T109" s="70"/>
      <c r="U109" s="7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35532-DE24-4C1B-9B18-B62B4F7592D1}">
  <sheetPr>
    <tabColor rgb="FF8FFFC7"/>
    <pageSetUpPr fitToPage="1"/>
  </sheetPr>
  <dimension ref="A1:Y109"/>
  <sheetViews>
    <sheetView topLeftCell="A22" zoomScale="90" zoomScaleNormal="90" workbookViewId="0">
      <selection activeCell="K76" sqref="K76"/>
    </sheetView>
  </sheetViews>
  <sheetFormatPr defaultColWidth="9.140625" defaultRowHeight="12.75" x14ac:dyDescent="0.2"/>
  <cols>
    <col min="1" max="1" width="0.85546875" style="1" customWidth="1"/>
    <col min="2" max="2" width="22.140625" style="1" customWidth="1"/>
    <col min="3" max="3" width="0.85546875" style="1" customWidth="1"/>
    <col min="4" max="4" width="36.140625" style="1" customWidth="1"/>
    <col min="5" max="5" width="22" style="1" bestFit="1" customWidth="1"/>
    <col min="6" max="6" width="1.28515625" style="1" customWidth="1"/>
    <col min="7" max="7" width="22.5703125" style="1" customWidth="1"/>
    <col min="8" max="8" width="20" style="1" customWidth="1"/>
    <col min="9" max="9" width="16.140625" style="1" customWidth="1"/>
    <col min="10" max="10" width="14.7109375" style="1" customWidth="1"/>
    <col min="11" max="11" width="16.85546875" style="1" customWidth="1"/>
    <col min="12" max="12" width="1.7109375" style="1" customWidth="1"/>
    <col min="13" max="13" width="14.7109375" style="1" customWidth="1"/>
    <col min="14" max="14" width="15.85546875" style="1" customWidth="1"/>
    <col min="15" max="15" width="16.85546875" style="1" customWidth="1"/>
    <col min="16" max="16" width="14.7109375" style="1" customWidth="1"/>
    <col min="17" max="17" width="16.140625" style="1" customWidth="1"/>
    <col min="18" max="19" width="2.5703125" style="1" customWidth="1"/>
    <col min="20" max="23" width="16.140625" style="1" customWidth="1"/>
    <col min="24" max="24" width="2.7109375" style="1" customWidth="1"/>
    <col min="25" max="25" width="47" style="169" hidden="1" customWidth="1"/>
    <col min="26" max="16384" width="9.140625" style="1"/>
  </cols>
  <sheetData>
    <row r="1" spans="2:25" ht="15" x14ac:dyDescent="0.25">
      <c r="E1" s="168"/>
      <c r="F1" s="168"/>
      <c r="I1"/>
    </row>
    <row r="2" spans="2:25" ht="20.25" thickBot="1" x14ac:dyDescent="0.3">
      <c r="B2" s="170" t="s">
        <v>6</v>
      </c>
      <c r="C2" s="168"/>
      <c r="D2" s="168"/>
      <c r="E2" s="168"/>
      <c r="F2" s="168"/>
      <c r="G2" s="271" t="s">
        <v>171</v>
      </c>
      <c r="H2" s="271"/>
      <c r="I2" s="271"/>
      <c r="J2" s="271"/>
      <c r="K2" s="271"/>
      <c r="M2" s="271" t="s">
        <v>172</v>
      </c>
      <c r="N2" s="271"/>
      <c r="O2" s="271"/>
      <c r="P2" s="271"/>
      <c r="Q2" s="271"/>
      <c r="R2" s="167"/>
      <c r="S2" s="167"/>
      <c r="T2" s="167"/>
      <c r="U2" s="167"/>
      <c r="V2" s="167"/>
      <c r="W2" s="167"/>
    </row>
    <row r="3" spans="2:25" ht="19.5" x14ac:dyDescent="0.25">
      <c r="B3" s="170" t="s">
        <v>7</v>
      </c>
      <c r="C3" s="168"/>
      <c r="D3" s="168"/>
    </row>
    <row r="4" spans="2:25" x14ac:dyDescent="0.2">
      <c r="B4" s="168" t="s">
        <v>173</v>
      </c>
      <c r="C4" s="168"/>
      <c r="D4" s="168"/>
      <c r="G4" s="167" t="s">
        <v>8</v>
      </c>
      <c r="H4" s="167" t="s">
        <v>9</v>
      </c>
      <c r="I4" s="167" t="s">
        <v>10</v>
      </c>
      <c r="J4" s="167" t="s">
        <v>11</v>
      </c>
      <c r="K4" s="167" t="s">
        <v>12</v>
      </c>
      <c r="M4" s="167" t="s">
        <v>8</v>
      </c>
      <c r="N4" s="167" t="s">
        <v>9</v>
      </c>
      <c r="O4" s="167" t="s">
        <v>10</v>
      </c>
      <c r="P4" s="167" t="s">
        <v>11</v>
      </c>
      <c r="Q4" s="167" t="s">
        <v>12</v>
      </c>
      <c r="R4" s="167"/>
      <c r="S4" s="167"/>
      <c r="T4" s="167"/>
      <c r="U4" s="167"/>
      <c r="V4" s="167"/>
      <c r="W4" s="167"/>
    </row>
    <row r="5" spans="2:25" ht="15" x14ac:dyDescent="0.2">
      <c r="B5" s="171"/>
      <c r="C5" s="168"/>
      <c r="D5" s="171" t="s">
        <v>13</v>
      </c>
      <c r="G5" s="167" t="s">
        <v>14</v>
      </c>
      <c r="H5" s="167" t="s">
        <v>15</v>
      </c>
      <c r="I5" s="167" t="s">
        <v>16</v>
      </c>
      <c r="J5" s="167" t="s">
        <v>17</v>
      </c>
      <c r="K5" s="167" t="s">
        <v>18</v>
      </c>
      <c r="M5" s="167" t="s">
        <v>14</v>
      </c>
      <c r="N5" s="167" t="s">
        <v>15</v>
      </c>
      <c r="O5" s="167" t="s">
        <v>16</v>
      </c>
      <c r="P5" s="167" t="s">
        <v>17</v>
      </c>
      <c r="Q5" s="167" t="s">
        <v>18</v>
      </c>
      <c r="R5" s="167"/>
      <c r="S5" s="167"/>
      <c r="T5" s="167"/>
      <c r="U5" s="167"/>
      <c r="V5" s="167"/>
      <c r="W5" s="167"/>
    </row>
    <row r="6" spans="2:25" x14ac:dyDescent="0.2">
      <c r="B6" s="1" t="s">
        <v>174</v>
      </c>
      <c r="D6" s="172"/>
      <c r="G6" s="167"/>
      <c r="H6" s="167" t="s">
        <v>19</v>
      </c>
      <c r="I6" s="167"/>
      <c r="J6" s="167"/>
      <c r="K6" s="167"/>
      <c r="M6" s="167"/>
      <c r="N6" s="167" t="s">
        <v>19</v>
      </c>
      <c r="O6" s="167"/>
      <c r="P6" s="167"/>
      <c r="Q6" s="167"/>
      <c r="R6" s="167"/>
      <c r="S6" s="167"/>
      <c r="T6" s="167"/>
      <c r="U6" s="167"/>
      <c r="V6" s="167"/>
      <c r="W6" s="167"/>
    </row>
    <row r="7" spans="2:25" ht="13.5" thickBot="1" x14ac:dyDescent="0.25">
      <c r="B7" s="168" t="s">
        <v>97</v>
      </c>
      <c r="G7" s="173" t="s">
        <v>20</v>
      </c>
      <c r="H7" s="173" t="s">
        <v>21</v>
      </c>
      <c r="I7" s="173" t="s">
        <v>22</v>
      </c>
      <c r="J7" s="173"/>
      <c r="K7" s="173" t="s">
        <v>23</v>
      </c>
      <c r="M7" s="173" t="s">
        <v>20</v>
      </c>
      <c r="N7" s="173" t="s">
        <v>21</v>
      </c>
      <c r="O7" s="173" t="s">
        <v>22</v>
      </c>
      <c r="P7" s="173"/>
      <c r="Q7" s="173" t="s">
        <v>23</v>
      </c>
      <c r="R7" s="167"/>
      <c r="S7" s="167"/>
      <c r="T7" s="167"/>
      <c r="U7" s="167"/>
      <c r="V7" s="167"/>
      <c r="W7" s="167"/>
    </row>
    <row r="8" spans="2:25" ht="5.0999999999999996" customHeight="1" x14ac:dyDescent="0.2">
      <c r="B8" s="168"/>
      <c r="G8" s="167"/>
      <c r="H8" s="167"/>
      <c r="I8" s="167"/>
      <c r="J8" s="167"/>
      <c r="K8" s="167"/>
      <c r="M8" s="167"/>
      <c r="N8" s="167"/>
      <c r="O8" s="167"/>
      <c r="P8" s="167"/>
      <c r="Q8" s="167"/>
      <c r="R8" s="167"/>
      <c r="S8" s="167"/>
      <c r="T8" s="167"/>
      <c r="U8" s="167"/>
      <c r="V8" s="167"/>
      <c r="W8" s="167"/>
    </row>
    <row r="9" spans="2:25" ht="15" thickBot="1" x14ac:dyDescent="0.25">
      <c r="B9" s="174" t="s">
        <v>24</v>
      </c>
      <c r="D9" s="1" t="s">
        <v>25</v>
      </c>
      <c r="E9" s="134" t="s">
        <v>26</v>
      </c>
      <c r="G9" s="51">
        <v>45399</v>
      </c>
      <c r="H9" s="51">
        <v>4161</v>
      </c>
      <c r="I9" s="51">
        <v>92923</v>
      </c>
      <c r="J9" s="51"/>
      <c r="K9" s="51">
        <f>J9+I9+H9+G9</f>
        <v>142483</v>
      </c>
      <c r="M9" s="51">
        <v>0</v>
      </c>
      <c r="N9" s="51">
        <v>0</v>
      </c>
      <c r="O9" s="51">
        <v>0</v>
      </c>
      <c r="P9" s="51">
        <v>0</v>
      </c>
      <c r="Q9" s="51">
        <f>SUM(M9:P9)</f>
        <v>0</v>
      </c>
      <c r="R9" s="51"/>
      <c r="S9" s="51"/>
      <c r="T9" s="51"/>
      <c r="U9" s="51"/>
      <c r="V9" s="51"/>
      <c r="W9" s="51"/>
    </row>
    <row r="10" spans="2:25" x14ac:dyDescent="0.2">
      <c r="B10" s="168" t="s">
        <v>27</v>
      </c>
      <c r="E10" s="134" t="s">
        <v>28</v>
      </c>
      <c r="G10" s="175">
        <v>663.9</v>
      </c>
      <c r="H10" s="175">
        <v>61.5</v>
      </c>
      <c r="I10" s="175">
        <v>1373.3</v>
      </c>
      <c r="J10" s="175">
        <v>0</v>
      </c>
      <c r="K10" s="175"/>
      <c r="M10" s="175">
        <f>G10</f>
        <v>663.9</v>
      </c>
      <c r="N10" s="175">
        <f>H10</f>
        <v>61.5</v>
      </c>
      <c r="O10" s="175">
        <f>I10</f>
        <v>1373.3</v>
      </c>
      <c r="P10" s="175">
        <v>0</v>
      </c>
      <c r="Q10" s="175">
        <f>SUM(M10:P10)</f>
        <v>2098.6999999999998</v>
      </c>
      <c r="R10" s="176"/>
      <c r="S10" s="176"/>
      <c r="T10" s="176"/>
      <c r="U10" s="176"/>
      <c r="V10" s="176"/>
      <c r="W10" s="176"/>
    </row>
    <row r="11" spans="2:25" x14ac:dyDescent="0.2">
      <c r="E11" s="134"/>
    </row>
    <row r="12" spans="2:25" ht="13.5" thickBot="1" x14ac:dyDescent="0.25">
      <c r="D12" s="1" t="s">
        <v>29</v>
      </c>
      <c r="E12" s="134" t="s">
        <v>26</v>
      </c>
      <c r="G12" s="51">
        <v>226733</v>
      </c>
      <c r="H12" s="51">
        <v>22352</v>
      </c>
      <c r="I12" s="51">
        <v>499196</v>
      </c>
      <c r="J12" s="51"/>
      <c r="K12" s="51">
        <f>J12+I12+H12+G12</f>
        <v>748281</v>
      </c>
      <c r="M12" s="51">
        <f t="shared" ref="M12:P13" si="0">G12</f>
        <v>226733</v>
      </c>
      <c r="N12" s="51">
        <f t="shared" si="0"/>
        <v>22352</v>
      </c>
      <c r="O12" s="51">
        <f t="shared" si="0"/>
        <v>499196</v>
      </c>
      <c r="P12" s="51">
        <f t="shared" si="0"/>
        <v>0</v>
      </c>
      <c r="Q12" s="51">
        <f>SUM(M12:P12)</f>
        <v>748281</v>
      </c>
      <c r="R12" s="51"/>
      <c r="S12" s="51"/>
      <c r="T12" s="177">
        <f>223294-K12</f>
        <v>-524987</v>
      </c>
      <c r="U12" s="51"/>
      <c r="V12" s="51"/>
      <c r="W12" s="51"/>
    </row>
    <row r="13" spans="2:25" x14ac:dyDescent="0.2">
      <c r="E13" s="134" t="s">
        <v>28</v>
      </c>
      <c r="G13" s="175">
        <v>3234.7</v>
      </c>
      <c r="H13" s="175">
        <v>319.60000000000002</v>
      </c>
      <c r="I13" s="175">
        <v>7126.9</v>
      </c>
      <c r="J13" s="175">
        <v>0</v>
      </c>
      <c r="K13" s="175">
        <f>G13+H13+I13+J13</f>
        <v>10681.199999999999</v>
      </c>
      <c r="M13" s="175">
        <f t="shared" si="0"/>
        <v>3234.7</v>
      </c>
      <c r="N13" s="175">
        <f t="shared" si="0"/>
        <v>319.60000000000002</v>
      </c>
      <c r="O13" s="175">
        <f t="shared" si="0"/>
        <v>7126.9</v>
      </c>
      <c r="P13" s="175">
        <v>0</v>
      </c>
      <c r="Q13" s="175">
        <f>SUM(M13:P13)</f>
        <v>10681.199999999999</v>
      </c>
      <c r="R13" s="176"/>
      <c r="S13" s="176"/>
      <c r="T13" s="178"/>
      <c r="U13" s="176"/>
      <c r="V13" s="176"/>
      <c r="W13" s="176"/>
    </row>
    <row r="14" spans="2:25" x14ac:dyDescent="0.2">
      <c r="T14" s="169"/>
      <c r="Y14" s="179" t="s">
        <v>30</v>
      </c>
    </row>
    <row r="15" spans="2:25" x14ac:dyDescent="0.2">
      <c r="D15" s="1" t="s">
        <v>31</v>
      </c>
      <c r="E15" s="134" t="s">
        <v>32</v>
      </c>
      <c r="G15" s="51">
        <v>16851</v>
      </c>
      <c r="H15" s="51">
        <v>1546</v>
      </c>
      <c r="I15" s="51">
        <f>680+33831</f>
        <v>34511</v>
      </c>
      <c r="J15" s="51"/>
      <c r="K15" s="51">
        <f>G15+H15+I15+J15</f>
        <v>52908</v>
      </c>
      <c r="M15" s="51">
        <v>0</v>
      </c>
      <c r="N15" s="51">
        <v>0</v>
      </c>
      <c r="O15" s="51">
        <v>0</v>
      </c>
      <c r="P15" s="51">
        <v>0</v>
      </c>
      <c r="Q15" s="51">
        <f t="shared" ref="Q15:Q20" si="1">SUM(M15:P15)</f>
        <v>0</v>
      </c>
      <c r="R15" s="51"/>
      <c r="S15" s="51"/>
      <c r="T15" s="177"/>
      <c r="U15" s="51"/>
      <c r="V15" s="51"/>
      <c r="W15" s="51"/>
    </row>
    <row r="16" spans="2:25" x14ac:dyDescent="0.2">
      <c r="D16" s="1" t="s">
        <v>33</v>
      </c>
      <c r="E16" s="134" t="s">
        <v>34</v>
      </c>
      <c r="G16" s="51">
        <v>25621</v>
      </c>
      <c r="H16" s="51">
        <v>2526</v>
      </c>
      <c r="I16" s="51">
        <f>482+55927</f>
        <v>56409</v>
      </c>
      <c r="J16" s="51"/>
      <c r="K16" s="51">
        <f t="shared" ref="K16:K20" si="2">G16+H16+I16+J16</f>
        <v>84556</v>
      </c>
      <c r="M16" s="51">
        <f>G16</f>
        <v>25621</v>
      </c>
      <c r="N16" s="51">
        <f>H16</f>
        <v>2526</v>
      </c>
      <c r="O16" s="51">
        <f>I16</f>
        <v>56409</v>
      </c>
      <c r="P16" s="51">
        <f>J16</f>
        <v>0</v>
      </c>
      <c r="Q16" s="51">
        <f t="shared" si="1"/>
        <v>84556</v>
      </c>
      <c r="R16" s="51"/>
      <c r="S16" s="51"/>
      <c r="T16" s="177"/>
      <c r="U16" s="51"/>
      <c r="V16" s="51"/>
      <c r="W16" s="51"/>
      <c r="Y16" s="169" t="s">
        <v>35</v>
      </c>
    </row>
    <row r="17" spans="2:25" x14ac:dyDescent="0.2">
      <c r="D17" s="111"/>
      <c r="E17" s="134" t="s">
        <v>36</v>
      </c>
      <c r="G17" s="51">
        <v>1016</v>
      </c>
      <c r="H17" s="51">
        <v>99</v>
      </c>
      <c r="I17" s="51">
        <f>2190+26</f>
        <v>2216</v>
      </c>
      <c r="J17" s="51"/>
      <c r="K17" s="51">
        <f t="shared" si="2"/>
        <v>3331</v>
      </c>
      <c r="M17" s="51">
        <v>0</v>
      </c>
      <c r="N17" s="51">
        <v>0</v>
      </c>
      <c r="O17" s="51">
        <v>0</v>
      </c>
      <c r="P17" s="51">
        <v>0</v>
      </c>
      <c r="Q17" s="51">
        <f t="shared" si="1"/>
        <v>0</v>
      </c>
      <c r="R17" s="51"/>
      <c r="S17" s="51"/>
      <c r="T17" s="177"/>
      <c r="U17" s="51"/>
      <c r="V17" s="51"/>
      <c r="W17" s="51"/>
      <c r="Y17" s="180">
        <v>614800</v>
      </c>
    </row>
    <row r="18" spans="2:25" x14ac:dyDescent="0.2">
      <c r="E18" s="134" t="s">
        <v>37</v>
      </c>
      <c r="G18" s="51">
        <v>10555</v>
      </c>
      <c r="H18" s="51">
        <v>1025</v>
      </c>
      <c r="I18" s="51">
        <v>23046</v>
      </c>
      <c r="J18" s="51"/>
      <c r="K18" s="51">
        <f t="shared" si="2"/>
        <v>34626</v>
      </c>
      <c r="M18" s="51">
        <v>0</v>
      </c>
      <c r="N18" s="51">
        <v>0</v>
      </c>
      <c r="O18" s="51">
        <v>0</v>
      </c>
      <c r="P18" s="51">
        <v>0</v>
      </c>
      <c r="Q18" s="51">
        <f t="shared" si="1"/>
        <v>0</v>
      </c>
      <c r="R18" s="51"/>
      <c r="S18" s="51"/>
      <c r="T18" s="177"/>
      <c r="U18" s="51"/>
      <c r="V18" s="51"/>
      <c r="W18" s="51"/>
    </row>
    <row r="19" spans="2:25" x14ac:dyDescent="0.2">
      <c r="E19" s="134" t="s">
        <v>38</v>
      </c>
      <c r="G19" s="51">
        <v>210197</v>
      </c>
      <c r="H19" s="51">
        <v>23382</v>
      </c>
      <c r="I19" s="51"/>
      <c r="J19" s="51"/>
      <c r="K19" s="51">
        <f t="shared" si="2"/>
        <v>233579</v>
      </c>
      <c r="M19" s="51">
        <f>G19</f>
        <v>210197</v>
      </c>
      <c r="N19" s="51">
        <f>H19</f>
        <v>23382</v>
      </c>
      <c r="O19" s="51">
        <f>I19</f>
        <v>0</v>
      </c>
      <c r="P19" s="51">
        <f>J19</f>
        <v>0</v>
      </c>
      <c r="Q19" s="51">
        <f t="shared" si="1"/>
        <v>233579</v>
      </c>
      <c r="R19" s="51"/>
      <c r="S19" s="51"/>
      <c r="T19" s="177"/>
      <c r="U19" s="51"/>
      <c r="V19" s="51"/>
      <c r="W19" s="51"/>
      <c r="Y19" s="169" t="s">
        <v>39</v>
      </c>
    </row>
    <row r="20" spans="2:25" x14ac:dyDescent="0.2">
      <c r="E20" s="134" t="s">
        <v>40</v>
      </c>
      <c r="G20" s="181">
        <v>38831</v>
      </c>
      <c r="H20" s="181">
        <v>3754</v>
      </c>
      <c r="I20" s="181">
        <v>83795</v>
      </c>
      <c r="J20" s="181"/>
      <c r="K20" s="181">
        <f t="shared" si="2"/>
        <v>126380</v>
      </c>
      <c r="M20" s="51">
        <v>0</v>
      </c>
      <c r="N20" s="51">
        <v>0</v>
      </c>
      <c r="O20" s="51">
        <v>0</v>
      </c>
      <c r="P20" s="51">
        <v>0</v>
      </c>
      <c r="Q20" s="51">
        <f t="shared" si="1"/>
        <v>0</v>
      </c>
      <c r="R20" s="51"/>
      <c r="S20" s="51"/>
      <c r="T20" s="177"/>
      <c r="U20" s="51"/>
      <c r="V20" s="51"/>
      <c r="W20" s="51"/>
      <c r="Y20" s="180">
        <f>31030+1679</f>
        <v>32709</v>
      </c>
    </row>
    <row r="21" spans="2:25" x14ac:dyDescent="0.2">
      <c r="D21" s="168" t="s">
        <v>41</v>
      </c>
      <c r="E21" s="134"/>
      <c r="G21" s="182">
        <f>SUM(G15:G20)+G12+G9</f>
        <v>575203</v>
      </c>
      <c r="H21" s="182">
        <f t="shared" ref="H21:K21" si="3">SUM(H15:H20)+H12+H9</f>
        <v>58845</v>
      </c>
      <c r="I21" s="182">
        <f t="shared" si="3"/>
        <v>792096</v>
      </c>
      <c r="J21" s="182">
        <f t="shared" si="3"/>
        <v>0</v>
      </c>
      <c r="K21" s="182">
        <f t="shared" si="3"/>
        <v>1426144</v>
      </c>
      <c r="M21" s="183">
        <f>M9+M12+SUM(M15:M20)</f>
        <v>462551</v>
      </c>
      <c r="N21" s="183">
        <f>N9+N12+SUM(N15:N20)</f>
        <v>48260</v>
      </c>
      <c r="O21" s="183">
        <f>O9+O12+SUM(O15:O20)</f>
        <v>555605</v>
      </c>
      <c r="P21" s="183">
        <f>P9+P12+SUM(P15:P20)</f>
        <v>0</v>
      </c>
      <c r="Q21" s="183">
        <f>Q9+Q12+SUM(Q15:Q20)</f>
        <v>1066416</v>
      </c>
      <c r="R21" s="182"/>
      <c r="S21" s="182"/>
      <c r="T21" s="184">
        <f>464310+207900+20790</f>
        <v>693000</v>
      </c>
      <c r="U21" s="182"/>
      <c r="V21" s="182"/>
      <c r="W21" s="182"/>
    </row>
    <row r="22" spans="2:25" x14ac:dyDescent="0.2">
      <c r="E22" s="134"/>
      <c r="G22" s="51"/>
      <c r="H22" s="51"/>
      <c r="I22" s="51"/>
      <c r="J22" s="51"/>
      <c r="K22" s="51"/>
      <c r="N22" s="51"/>
      <c r="O22" s="51"/>
      <c r="P22" s="51"/>
      <c r="Q22" s="51"/>
      <c r="R22" s="51"/>
      <c r="S22" s="51"/>
      <c r="T22" s="229"/>
      <c r="U22" s="51"/>
      <c r="V22" s="51"/>
      <c r="W22" s="51"/>
      <c r="Y22" s="169" t="s">
        <v>42</v>
      </c>
    </row>
    <row r="23" spans="2:25" x14ac:dyDescent="0.2">
      <c r="B23" s="168" t="s">
        <v>43</v>
      </c>
      <c r="E23" s="134" t="s">
        <v>44</v>
      </c>
      <c r="G23" s="181">
        <v>47080</v>
      </c>
      <c r="H23" s="181">
        <v>4318</v>
      </c>
      <c r="I23" s="181">
        <v>103804</v>
      </c>
      <c r="J23" s="181"/>
      <c r="K23" s="181">
        <f>J23+I23+H23+G23</f>
        <v>155202</v>
      </c>
      <c r="M23" s="181">
        <f>$Q$23*G$83</f>
        <v>2477.1481219908915</v>
      </c>
      <c r="N23" s="181">
        <f>$Q$23*H$83</f>
        <v>247.71481219908915</v>
      </c>
      <c r="O23" s="181">
        <f>$Q$23*I$83</f>
        <v>5532.2974724463247</v>
      </c>
      <c r="P23" s="181">
        <v>0</v>
      </c>
      <c r="Q23" s="181">
        <f>K23*Y23</f>
        <v>8257.1604066363052</v>
      </c>
      <c r="R23" s="51"/>
      <c r="S23" s="51"/>
      <c r="T23" s="177">
        <f>251603.59-K23</f>
        <v>96401.59</v>
      </c>
      <c r="U23" s="51"/>
      <c r="V23" s="51"/>
      <c r="W23" s="51"/>
      <c r="Y23" s="185">
        <f>Y20/Y17</f>
        <v>5.320266753415745E-2</v>
      </c>
    </row>
    <row r="24" spans="2:25" x14ac:dyDescent="0.2">
      <c r="B24" s="168"/>
      <c r="D24" s="168" t="s">
        <v>45</v>
      </c>
      <c r="E24" s="134"/>
      <c r="G24" s="182">
        <f>G23</f>
        <v>47080</v>
      </c>
      <c r="H24" s="182">
        <f t="shared" ref="H24:I24" si="4">H23</f>
        <v>4318</v>
      </c>
      <c r="I24" s="182">
        <f t="shared" si="4"/>
        <v>103804</v>
      </c>
      <c r="J24" s="182"/>
      <c r="K24" s="182">
        <f>K23</f>
        <v>155202</v>
      </c>
      <c r="M24" s="182">
        <f>SUM(M23)</f>
        <v>2477.1481219908915</v>
      </c>
      <c r="N24" s="182">
        <f>SUM(N23)</f>
        <v>247.71481219908915</v>
      </c>
      <c r="O24" s="182">
        <f>SUM(O23)</f>
        <v>5532.2974724463247</v>
      </c>
      <c r="P24" s="182">
        <f>SUM(P23)</f>
        <v>0</v>
      </c>
      <c r="Q24" s="182">
        <f>SUM(M24:P24)</f>
        <v>8257.1604066363052</v>
      </c>
      <c r="R24" s="182"/>
      <c r="S24" s="182"/>
      <c r="T24" s="184"/>
      <c r="U24" s="182"/>
      <c r="V24" s="182"/>
      <c r="W24" s="182"/>
    </row>
    <row r="25" spans="2:25" x14ac:dyDescent="0.2">
      <c r="B25" s="168"/>
    </row>
    <row r="26" spans="2:25" x14ac:dyDescent="0.2">
      <c r="B26" s="168" t="s">
        <v>46</v>
      </c>
      <c r="E26" s="134" t="s">
        <v>47</v>
      </c>
      <c r="G26" s="51">
        <v>1020</v>
      </c>
      <c r="H26" s="51">
        <v>82</v>
      </c>
      <c r="I26" s="51">
        <v>2193</v>
      </c>
      <c r="J26" s="51"/>
      <c r="K26" s="51">
        <f>G26+H26+I26+J26</f>
        <v>3295</v>
      </c>
      <c r="M26" s="51">
        <v>0</v>
      </c>
      <c r="N26" s="51">
        <v>0</v>
      </c>
      <c r="O26" s="51">
        <v>0</v>
      </c>
      <c r="P26" s="51">
        <v>0</v>
      </c>
      <c r="Q26" s="51">
        <f t="shared" ref="Q26:Q31" si="5">SUM(M26:P26)</f>
        <v>0</v>
      </c>
      <c r="R26" s="51"/>
      <c r="S26" s="51"/>
      <c r="T26" s="51"/>
      <c r="U26" s="51"/>
      <c r="V26" s="51"/>
      <c r="W26" s="51"/>
    </row>
    <row r="27" spans="2:25" x14ac:dyDescent="0.2">
      <c r="B27" s="168"/>
      <c r="E27" s="134" t="s">
        <v>48</v>
      </c>
      <c r="G27" s="51">
        <v>6558</v>
      </c>
      <c r="H27" s="51">
        <v>656</v>
      </c>
      <c r="I27" s="51">
        <v>14647</v>
      </c>
      <c r="J27" s="51"/>
      <c r="K27" s="51">
        <f t="shared" ref="K27:K30" si="6">G27+H27+I27+J27</f>
        <v>21861</v>
      </c>
      <c r="M27" s="51">
        <f>G27</f>
        <v>6558</v>
      </c>
      <c r="N27" s="51">
        <f>H27</f>
        <v>656</v>
      </c>
      <c r="O27" s="51">
        <f>I27</f>
        <v>14647</v>
      </c>
      <c r="P27" s="51">
        <f>J27</f>
        <v>0</v>
      </c>
      <c r="Q27" s="51">
        <f>SUM(M27:P27)</f>
        <v>21861</v>
      </c>
      <c r="R27" s="51"/>
      <c r="S27" s="51"/>
      <c r="T27" s="51"/>
      <c r="U27" s="51"/>
      <c r="V27" s="51"/>
      <c r="W27" s="51"/>
    </row>
    <row r="28" spans="2:25" x14ac:dyDescent="0.2">
      <c r="B28" s="168"/>
      <c r="E28" s="1" t="s">
        <v>49</v>
      </c>
      <c r="G28" s="51"/>
      <c r="H28" s="51"/>
      <c r="I28" s="51"/>
      <c r="J28" s="51"/>
      <c r="K28" s="51">
        <f t="shared" si="6"/>
        <v>0</v>
      </c>
      <c r="M28" s="51">
        <v>0</v>
      </c>
      <c r="N28" s="51">
        <v>0</v>
      </c>
      <c r="O28" s="51">
        <v>0</v>
      </c>
      <c r="P28" s="51">
        <v>0</v>
      </c>
      <c r="Q28" s="51">
        <f t="shared" si="5"/>
        <v>0</v>
      </c>
      <c r="R28" s="51"/>
      <c r="S28" s="51"/>
      <c r="T28" s="51"/>
      <c r="U28" s="51"/>
      <c r="V28" s="51"/>
      <c r="W28" s="51"/>
    </row>
    <row r="29" spans="2:25" x14ac:dyDescent="0.2">
      <c r="B29" s="168"/>
      <c r="E29" s="134" t="s">
        <v>50</v>
      </c>
      <c r="G29" s="51">
        <v>48718</v>
      </c>
      <c r="H29" s="51">
        <v>4866</v>
      </c>
      <c r="I29" s="51">
        <v>108679</v>
      </c>
      <c r="J29" s="51"/>
      <c r="K29" s="51">
        <f t="shared" si="6"/>
        <v>162263</v>
      </c>
      <c r="M29" s="51">
        <f t="shared" ref="M29:P30" si="7">G29</f>
        <v>48718</v>
      </c>
      <c r="N29" s="51">
        <f t="shared" si="7"/>
        <v>4866</v>
      </c>
      <c r="O29" s="51">
        <f t="shared" si="7"/>
        <v>108679</v>
      </c>
      <c r="P29" s="51">
        <f t="shared" si="7"/>
        <v>0</v>
      </c>
      <c r="Q29" s="51">
        <f t="shared" si="5"/>
        <v>162263</v>
      </c>
      <c r="R29" s="51"/>
      <c r="S29" s="51"/>
      <c r="T29" s="51"/>
      <c r="U29" s="51"/>
      <c r="V29" s="51"/>
      <c r="W29" s="51"/>
    </row>
    <row r="30" spans="2:25" x14ac:dyDescent="0.2">
      <c r="B30" s="168"/>
      <c r="E30" s="134" t="s">
        <v>51</v>
      </c>
      <c r="G30" s="181">
        <v>3842</v>
      </c>
      <c r="H30" s="181">
        <v>373</v>
      </c>
      <c r="I30" s="181">
        <v>8593</v>
      </c>
      <c r="J30" s="181"/>
      <c r="K30" s="181">
        <f t="shared" si="6"/>
        <v>12808</v>
      </c>
      <c r="M30" s="181">
        <f t="shared" si="7"/>
        <v>3842</v>
      </c>
      <c r="N30" s="181">
        <f t="shared" si="7"/>
        <v>373</v>
      </c>
      <c r="O30" s="181">
        <f t="shared" si="7"/>
        <v>8593</v>
      </c>
      <c r="P30" s="181">
        <f>J30</f>
        <v>0</v>
      </c>
      <c r="Q30" s="181">
        <f t="shared" si="5"/>
        <v>12808</v>
      </c>
      <c r="R30" s="51"/>
      <c r="S30" s="51"/>
      <c r="T30" s="51"/>
      <c r="U30" s="51"/>
      <c r="V30" s="51"/>
      <c r="W30" s="51"/>
    </row>
    <row r="31" spans="2:25" x14ac:dyDescent="0.2">
      <c r="B31" s="168"/>
      <c r="D31" s="168" t="s">
        <v>52</v>
      </c>
      <c r="G31" s="182">
        <f>SUM(G26:G30)</f>
        <v>60138</v>
      </c>
      <c r="H31" s="182">
        <f t="shared" ref="H31:I31" si="8">SUM(H26:H30)</f>
        <v>5977</v>
      </c>
      <c r="I31" s="182">
        <f t="shared" si="8"/>
        <v>134112</v>
      </c>
      <c r="J31" s="182"/>
      <c r="K31" s="182">
        <f>SUM(K26:K30)</f>
        <v>200227</v>
      </c>
      <c r="M31" s="182">
        <f>SUM(M26:M30)</f>
        <v>59118</v>
      </c>
      <c r="N31" s="182">
        <f>SUM(N26:N30)</f>
        <v>5895</v>
      </c>
      <c r="O31" s="182">
        <f>SUM(O26:O30)</f>
        <v>131919</v>
      </c>
      <c r="P31" s="182">
        <f>SUM(P26:P30)</f>
        <v>0</v>
      </c>
      <c r="Q31" s="182">
        <f t="shared" si="5"/>
        <v>196932</v>
      </c>
      <c r="R31" s="182"/>
      <c r="S31" s="182"/>
      <c r="T31" s="182"/>
      <c r="U31" s="182"/>
      <c r="V31" s="182"/>
      <c r="W31" s="182"/>
    </row>
    <row r="32" spans="2:25" x14ac:dyDescent="0.2">
      <c r="B32" s="168"/>
    </row>
    <row r="33" spans="2:23" x14ac:dyDescent="0.2">
      <c r="B33" s="168" t="s">
        <v>53</v>
      </c>
      <c r="D33" s="168" t="s">
        <v>54</v>
      </c>
      <c r="E33" s="1" t="s">
        <v>55</v>
      </c>
      <c r="G33" s="51">
        <v>29028</v>
      </c>
      <c r="H33" s="51"/>
      <c r="I33" s="51"/>
      <c r="J33" s="51"/>
      <c r="K33" s="51">
        <f>G33+H33+I33+J33</f>
        <v>29028</v>
      </c>
      <c r="M33" s="51">
        <f t="shared" ref="M33:P34" si="9">G33</f>
        <v>29028</v>
      </c>
      <c r="N33" s="51">
        <f t="shared" si="9"/>
        <v>0</v>
      </c>
      <c r="O33" s="51">
        <f t="shared" si="9"/>
        <v>0</v>
      </c>
      <c r="P33" s="51">
        <f t="shared" si="9"/>
        <v>0</v>
      </c>
      <c r="Q33" s="51">
        <f>SUM(M33:P33)</f>
        <v>29028</v>
      </c>
      <c r="R33" s="51"/>
      <c r="S33" s="51"/>
      <c r="T33" s="51"/>
      <c r="U33" s="51"/>
      <c r="V33" s="51"/>
      <c r="W33" s="51"/>
    </row>
    <row r="34" spans="2:23" x14ac:dyDescent="0.2">
      <c r="B34" s="168" t="s">
        <v>56</v>
      </c>
      <c r="D34" s="168" t="s">
        <v>57</v>
      </c>
      <c r="E34" s="1" t="s">
        <v>58</v>
      </c>
      <c r="G34" s="51">
        <v>13580</v>
      </c>
      <c r="H34" s="51"/>
      <c r="I34" s="51"/>
      <c r="J34" s="51"/>
      <c r="K34" s="51">
        <f t="shared" ref="K34:K42" si="10">G34+H34+I34+J34</f>
        <v>13580</v>
      </c>
      <c r="M34" s="51">
        <f t="shared" si="9"/>
        <v>13580</v>
      </c>
      <c r="N34" s="51">
        <f t="shared" si="9"/>
        <v>0</v>
      </c>
      <c r="O34" s="51">
        <f t="shared" si="9"/>
        <v>0</v>
      </c>
      <c r="P34" s="51">
        <f t="shared" si="9"/>
        <v>0</v>
      </c>
      <c r="Q34" s="51">
        <f>SUM(M34:P34)</f>
        <v>13580</v>
      </c>
      <c r="R34" s="51"/>
      <c r="S34" s="51"/>
      <c r="T34" s="51"/>
      <c r="U34" s="51"/>
      <c r="V34" s="51"/>
      <c r="W34" s="51"/>
    </row>
    <row r="35" spans="2:23" x14ac:dyDescent="0.2">
      <c r="D35" s="168"/>
      <c r="K35" s="51">
        <f t="shared" si="10"/>
        <v>0</v>
      </c>
      <c r="Q35" s="51"/>
      <c r="R35" s="51"/>
      <c r="S35" s="51"/>
      <c r="T35" s="51"/>
      <c r="U35" s="51"/>
      <c r="V35" s="51"/>
      <c r="W35" s="51"/>
    </row>
    <row r="36" spans="2:23" x14ac:dyDescent="0.2">
      <c r="D36" s="168" t="s">
        <v>59</v>
      </c>
      <c r="E36" s="1" t="s">
        <v>60</v>
      </c>
      <c r="G36" s="51">
        <v>20712</v>
      </c>
      <c r="H36" s="51"/>
      <c r="I36" s="51"/>
      <c r="J36" s="51"/>
      <c r="K36" s="51">
        <f t="shared" si="10"/>
        <v>20712</v>
      </c>
      <c r="M36" s="51">
        <f t="shared" ref="M36:P41" si="11">G36</f>
        <v>20712</v>
      </c>
      <c r="N36" s="51">
        <f t="shared" si="11"/>
        <v>0</v>
      </c>
      <c r="O36" s="51">
        <f t="shared" si="11"/>
        <v>0</v>
      </c>
      <c r="P36" s="51">
        <f t="shared" si="11"/>
        <v>0</v>
      </c>
      <c r="Q36" s="51">
        <f t="shared" ref="Q36:Q41" si="12">SUM(M36:P36)</f>
        <v>20712</v>
      </c>
      <c r="R36" s="51"/>
      <c r="S36" s="51"/>
      <c r="T36" s="51"/>
      <c r="U36" s="51"/>
      <c r="V36" s="51"/>
      <c r="W36" s="51"/>
    </row>
    <row r="37" spans="2:23" x14ac:dyDescent="0.2">
      <c r="D37" s="168" t="s">
        <v>61</v>
      </c>
      <c r="E37" s="1" t="s">
        <v>62</v>
      </c>
      <c r="G37" s="51">
        <v>10680</v>
      </c>
      <c r="H37" s="51"/>
      <c r="I37" s="51"/>
      <c r="J37" s="51"/>
      <c r="K37" s="51">
        <f t="shared" si="10"/>
        <v>10680</v>
      </c>
      <c r="M37" s="51">
        <f t="shared" si="11"/>
        <v>10680</v>
      </c>
      <c r="N37" s="51">
        <f t="shared" si="11"/>
        <v>0</v>
      </c>
      <c r="O37" s="51">
        <f t="shared" si="11"/>
        <v>0</v>
      </c>
      <c r="P37" s="51">
        <f t="shared" si="11"/>
        <v>0</v>
      </c>
      <c r="Q37" s="51">
        <f t="shared" si="12"/>
        <v>10680</v>
      </c>
      <c r="R37" s="51"/>
      <c r="S37" s="51"/>
      <c r="T37" s="51"/>
      <c r="U37" s="51"/>
      <c r="V37" s="51"/>
      <c r="W37" s="51"/>
    </row>
    <row r="38" spans="2:23" x14ac:dyDescent="0.2">
      <c r="D38" s="168"/>
      <c r="E38" s="1" t="s">
        <v>63</v>
      </c>
      <c r="G38" s="51"/>
      <c r="H38" s="51"/>
      <c r="I38" s="51"/>
      <c r="J38" s="51"/>
      <c r="K38" s="51">
        <f t="shared" si="10"/>
        <v>0</v>
      </c>
      <c r="M38" s="51">
        <f t="shared" si="11"/>
        <v>0</v>
      </c>
      <c r="N38" s="51">
        <f t="shared" si="11"/>
        <v>0</v>
      </c>
      <c r="O38" s="51">
        <f t="shared" si="11"/>
        <v>0</v>
      </c>
      <c r="P38" s="51">
        <f t="shared" si="11"/>
        <v>0</v>
      </c>
      <c r="Q38" s="51">
        <f t="shared" si="12"/>
        <v>0</v>
      </c>
      <c r="R38" s="51"/>
      <c r="S38" s="51"/>
      <c r="T38" s="51"/>
      <c r="U38" s="51"/>
      <c r="V38" s="51"/>
      <c r="W38" s="51"/>
    </row>
    <row r="39" spans="2:23" x14ac:dyDescent="0.2">
      <c r="D39" s="168"/>
      <c r="E39" s="1" t="s">
        <v>64</v>
      </c>
      <c r="G39" s="51">
        <f>92179*0.5</f>
        <v>46089.5</v>
      </c>
      <c r="H39" s="51"/>
      <c r="I39" s="51"/>
      <c r="J39" s="51"/>
      <c r="K39" s="51">
        <f t="shared" si="10"/>
        <v>46089.5</v>
      </c>
      <c r="M39" s="51">
        <f t="shared" si="11"/>
        <v>46089.5</v>
      </c>
      <c r="N39" s="51">
        <f t="shared" si="11"/>
        <v>0</v>
      </c>
      <c r="O39" s="51">
        <f t="shared" si="11"/>
        <v>0</v>
      </c>
      <c r="P39" s="51">
        <f t="shared" si="11"/>
        <v>0</v>
      </c>
      <c r="Q39" s="51">
        <f t="shared" si="12"/>
        <v>46089.5</v>
      </c>
      <c r="R39" s="51"/>
      <c r="S39" s="51"/>
      <c r="T39" s="51"/>
      <c r="U39" s="51"/>
      <c r="V39" s="51"/>
      <c r="W39" s="51"/>
    </row>
    <row r="40" spans="2:23" x14ac:dyDescent="0.2">
      <c r="D40" s="168"/>
      <c r="E40" s="1" t="s">
        <v>65</v>
      </c>
      <c r="G40" s="51">
        <v>6064</v>
      </c>
      <c r="H40" s="51"/>
      <c r="I40" s="51"/>
      <c r="J40" s="51"/>
      <c r="K40" s="51">
        <f t="shared" si="10"/>
        <v>6064</v>
      </c>
      <c r="M40" s="51">
        <f t="shared" si="11"/>
        <v>6064</v>
      </c>
      <c r="N40" s="51">
        <f t="shared" si="11"/>
        <v>0</v>
      </c>
      <c r="O40" s="51">
        <f t="shared" si="11"/>
        <v>0</v>
      </c>
      <c r="P40" s="51">
        <f t="shared" si="11"/>
        <v>0</v>
      </c>
      <c r="Q40" s="51">
        <f t="shared" si="12"/>
        <v>6064</v>
      </c>
      <c r="R40" s="51"/>
      <c r="S40" s="51"/>
      <c r="T40" s="51"/>
      <c r="U40" s="51"/>
      <c r="V40" s="51"/>
      <c r="W40" s="51"/>
    </row>
    <row r="41" spans="2:23" x14ac:dyDescent="0.2">
      <c r="D41" s="168"/>
      <c r="E41" s="1" t="s">
        <v>66</v>
      </c>
      <c r="G41" s="51">
        <f>349411-126154</f>
        <v>223257</v>
      </c>
      <c r="H41" s="51"/>
      <c r="I41" s="51"/>
      <c r="J41" s="51"/>
      <c r="K41" s="51">
        <f t="shared" si="10"/>
        <v>223257</v>
      </c>
      <c r="M41" s="51">
        <f t="shared" si="11"/>
        <v>223257</v>
      </c>
      <c r="N41" s="51">
        <f t="shared" si="11"/>
        <v>0</v>
      </c>
      <c r="O41" s="51">
        <f t="shared" si="11"/>
        <v>0</v>
      </c>
      <c r="P41" s="51">
        <f t="shared" si="11"/>
        <v>0</v>
      </c>
      <c r="Q41" s="51">
        <f t="shared" si="12"/>
        <v>223257</v>
      </c>
      <c r="R41" s="51"/>
      <c r="S41" s="51"/>
      <c r="T41" s="51"/>
      <c r="U41" s="51"/>
      <c r="V41" s="51"/>
      <c r="W41" s="51"/>
    </row>
    <row r="42" spans="2:23" x14ac:dyDescent="0.2">
      <c r="D42" s="168"/>
      <c r="K42" s="51">
        <f t="shared" si="10"/>
        <v>0</v>
      </c>
      <c r="Q42" s="51"/>
      <c r="R42" s="51"/>
      <c r="S42" s="51"/>
      <c r="T42" s="51"/>
      <c r="U42" s="51"/>
      <c r="V42" s="51"/>
      <c r="W42" s="51"/>
    </row>
    <row r="43" spans="2:23" x14ac:dyDescent="0.2">
      <c r="D43" s="168" t="s">
        <v>67</v>
      </c>
      <c r="G43" s="51"/>
      <c r="H43" s="51">
        <f>H11</f>
        <v>0</v>
      </c>
      <c r="I43" s="51">
        <v>0</v>
      </c>
      <c r="J43" s="51">
        <v>0</v>
      </c>
      <c r="K43" s="51">
        <f>SUM(G43:J43)</f>
        <v>0</v>
      </c>
      <c r="M43" s="51">
        <f>G43</f>
        <v>0</v>
      </c>
      <c r="N43" s="51">
        <f>H43</f>
        <v>0</v>
      </c>
      <c r="O43" s="51">
        <f>I43</f>
        <v>0</v>
      </c>
      <c r="P43" s="51">
        <f>J43</f>
        <v>0</v>
      </c>
      <c r="Q43" s="51">
        <f>SUM(M43:P43)</f>
        <v>0</v>
      </c>
      <c r="R43" s="51"/>
      <c r="S43" s="51"/>
      <c r="T43" s="51"/>
      <c r="U43" s="51"/>
      <c r="V43" s="51"/>
      <c r="W43" s="51"/>
    </row>
    <row r="44" spans="2:23" x14ac:dyDescent="0.2">
      <c r="D44" s="168"/>
    </row>
    <row r="45" spans="2:23" x14ac:dyDescent="0.2">
      <c r="D45" s="168" t="s">
        <v>68</v>
      </c>
      <c r="G45" s="51"/>
      <c r="H45" s="51"/>
      <c r="I45" s="51">
        <v>0</v>
      </c>
      <c r="J45" s="51">
        <v>0</v>
      </c>
      <c r="K45" s="51">
        <f>SUM(G45:J45)</f>
        <v>0</v>
      </c>
      <c r="M45" s="51">
        <f>G45</f>
        <v>0</v>
      </c>
      <c r="N45" s="51">
        <f>H45</f>
        <v>0</v>
      </c>
      <c r="O45" s="51">
        <f>I45</f>
        <v>0</v>
      </c>
      <c r="P45" s="51">
        <f>J45</f>
        <v>0</v>
      </c>
      <c r="Q45" s="51">
        <f>SUM(M45:P45)</f>
        <v>0</v>
      </c>
      <c r="R45" s="51"/>
      <c r="S45" s="51"/>
      <c r="T45" s="51"/>
      <c r="U45" s="51"/>
      <c r="V45" s="51"/>
      <c r="W45" s="51"/>
    </row>
    <row r="46" spans="2:23" x14ac:dyDescent="0.2">
      <c r="D46" s="168"/>
    </row>
    <row r="47" spans="2:23" x14ac:dyDescent="0.2">
      <c r="D47" s="168" t="s">
        <v>69</v>
      </c>
      <c r="G47" s="51"/>
      <c r="H47" s="51"/>
      <c r="I47" s="51">
        <v>0</v>
      </c>
      <c r="J47" s="51">
        <v>0</v>
      </c>
      <c r="K47" s="51">
        <f>SUM(G47:J47)</f>
        <v>0</v>
      </c>
      <c r="M47" s="51">
        <f>G47</f>
        <v>0</v>
      </c>
      <c r="N47" s="51">
        <f>H47</f>
        <v>0</v>
      </c>
      <c r="O47" s="51">
        <f>I47</f>
        <v>0</v>
      </c>
      <c r="P47" s="51">
        <f>J47</f>
        <v>0</v>
      </c>
      <c r="Q47" s="51">
        <f>SUM(M47:P47)</f>
        <v>0</v>
      </c>
      <c r="R47" s="51"/>
      <c r="S47" s="51"/>
      <c r="T47" s="51"/>
      <c r="U47" s="51"/>
      <c r="V47" s="51"/>
      <c r="W47" s="51"/>
    </row>
    <row r="48" spans="2:23" x14ac:dyDescent="0.2">
      <c r="D48" s="168"/>
    </row>
    <row r="49" spans="2:23" x14ac:dyDescent="0.2">
      <c r="D49" s="168" t="s">
        <v>70</v>
      </c>
      <c r="G49" s="51"/>
      <c r="H49" s="51">
        <v>0</v>
      </c>
      <c r="I49" s="51">
        <v>0</v>
      </c>
      <c r="J49" s="51">
        <v>0</v>
      </c>
      <c r="K49" s="51">
        <f>SUM(G49:J49)</f>
        <v>0</v>
      </c>
      <c r="M49" s="51">
        <f>G49</f>
        <v>0</v>
      </c>
      <c r="N49" s="51">
        <f>H49</f>
        <v>0</v>
      </c>
      <c r="O49" s="51">
        <f>I49</f>
        <v>0</v>
      </c>
      <c r="P49" s="51">
        <f>J49</f>
        <v>0</v>
      </c>
      <c r="Q49" s="51">
        <f>SUM(M49:P49)</f>
        <v>0</v>
      </c>
      <c r="R49" s="51"/>
      <c r="S49" s="51"/>
      <c r="T49" s="51"/>
      <c r="U49" s="51"/>
      <c r="V49" s="51"/>
      <c r="W49" s="51"/>
    </row>
    <row r="50" spans="2:23" x14ac:dyDescent="0.2">
      <c r="D50" s="168" t="s">
        <v>71</v>
      </c>
    </row>
    <row r="51" spans="2:23" x14ac:dyDescent="0.2">
      <c r="D51" s="168"/>
    </row>
    <row r="52" spans="2:23" x14ac:dyDescent="0.2">
      <c r="B52" s="168"/>
      <c r="D52" s="168" t="s">
        <v>66</v>
      </c>
      <c r="G52" s="181"/>
      <c r="H52" s="181">
        <v>0</v>
      </c>
      <c r="I52" s="181">
        <v>0</v>
      </c>
      <c r="J52" s="181">
        <v>0</v>
      </c>
      <c r="K52" s="181">
        <f>SUM(G52:J52)</f>
        <v>0</v>
      </c>
      <c r="M52" s="181">
        <f>G52</f>
        <v>0</v>
      </c>
      <c r="N52" s="181">
        <f>H52</f>
        <v>0</v>
      </c>
      <c r="O52" s="181">
        <f>I52</f>
        <v>0</v>
      </c>
      <c r="P52" s="181">
        <f>J52</f>
        <v>0</v>
      </c>
      <c r="Q52" s="181">
        <f>SUM(M52:P52)</f>
        <v>0</v>
      </c>
      <c r="R52" s="51"/>
      <c r="S52" s="51"/>
      <c r="T52" s="51"/>
      <c r="U52" s="51"/>
      <c r="V52" s="51"/>
      <c r="W52" s="51"/>
    </row>
    <row r="53" spans="2:23" x14ac:dyDescent="0.2">
      <c r="D53" s="168" t="s">
        <v>72</v>
      </c>
      <c r="G53" s="182">
        <f>SUM(G33:G52)</f>
        <v>349410.5</v>
      </c>
      <c r="H53" s="182">
        <f>SUM(H33:H52)</f>
        <v>0</v>
      </c>
      <c r="I53" s="182">
        <f>SUM(I33:I52)</f>
        <v>0</v>
      </c>
      <c r="J53" s="182">
        <f>SUM(J33:J52)</f>
        <v>0</v>
      </c>
      <c r="K53" s="182">
        <f>SUM(G53:J53)</f>
        <v>349410.5</v>
      </c>
      <c r="M53" s="182">
        <f>SUM(M33:M52)</f>
        <v>349410.5</v>
      </c>
      <c r="N53" s="182">
        <f>SUM(N33:N52)</f>
        <v>0</v>
      </c>
      <c r="O53" s="182">
        <f>SUM(O33:O52)</f>
        <v>0</v>
      </c>
      <c r="P53" s="182">
        <f>SUM(P33:P52)</f>
        <v>0</v>
      </c>
      <c r="Q53" s="182">
        <f>SUM(M53:P53)</f>
        <v>349410.5</v>
      </c>
      <c r="R53" s="182"/>
      <c r="S53" s="182"/>
      <c r="T53" s="182"/>
      <c r="U53" s="182"/>
      <c r="V53" s="182"/>
      <c r="W53" s="182"/>
    </row>
    <row r="54" spans="2:23" x14ac:dyDescent="0.2">
      <c r="B54" s="168"/>
      <c r="G54" s="51"/>
    </row>
    <row r="55" spans="2:23" x14ac:dyDescent="0.2">
      <c r="B55" s="168" t="s">
        <v>73</v>
      </c>
      <c r="G55" s="51">
        <v>0</v>
      </c>
      <c r="H55" s="51">
        <v>0</v>
      </c>
      <c r="I55" s="51">
        <v>0</v>
      </c>
      <c r="J55" s="51">
        <v>0</v>
      </c>
      <c r="K55" s="51">
        <f>SUM(G55:J55)</f>
        <v>0</v>
      </c>
      <c r="M55" s="51">
        <v>0</v>
      </c>
      <c r="N55" s="51">
        <v>0</v>
      </c>
      <c r="O55" s="51">
        <v>0</v>
      </c>
      <c r="P55" s="51">
        <v>0</v>
      </c>
      <c r="Q55" s="51">
        <f>SUM(M55:P55)</f>
        <v>0</v>
      </c>
      <c r="R55" s="51"/>
      <c r="S55" s="51"/>
      <c r="T55" s="51"/>
      <c r="U55" s="51"/>
      <c r="V55" s="51"/>
      <c r="W55" s="51"/>
    </row>
    <row r="56" spans="2:23" x14ac:dyDescent="0.2">
      <c r="B56" s="168" t="s">
        <v>74</v>
      </c>
      <c r="D56" s="51"/>
    </row>
    <row r="57" spans="2:23" ht="13.5" thickBot="1" x14ac:dyDescent="0.25">
      <c r="K57" s="51"/>
      <c r="Q57" s="186"/>
      <c r="R57" s="51"/>
      <c r="S57" s="51"/>
      <c r="T57" s="51"/>
      <c r="U57" s="51"/>
      <c r="V57" s="51"/>
      <c r="W57" s="51"/>
    </row>
    <row r="58" spans="2:23" x14ac:dyDescent="0.2">
      <c r="B58" s="168" t="s">
        <v>75</v>
      </c>
      <c r="E58" s="51"/>
      <c r="G58" s="187">
        <f>G21+G24+G31+G53+G55</f>
        <v>1031831.5</v>
      </c>
      <c r="H58" s="187">
        <f>H21+H24+H31+H53+H55</f>
        <v>69140</v>
      </c>
      <c r="I58" s="187">
        <f>I21+I24+I31+I53+I55</f>
        <v>1030012</v>
      </c>
      <c r="J58" s="187">
        <f>J21+J24+J31+J53+J55</f>
        <v>0</v>
      </c>
      <c r="K58" s="187">
        <f>SUM(G58:J58)</f>
        <v>2130983.5</v>
      </c>
      <c r="L58" s="188"/>
      <c r="M58" s="187">
        <f>M21+M24+M31+M53+M55</f>
        <v>873556.64812199096</v>
      </c>
      <c r="N58" s="187">
        <f>N21+N24+N31+N53+N55</f>
        <v>54402.71481219909</v>
      </c>
      <c r="O58" s="187">
        <f>O21+O24+O31+O53+O55</f>
        <v>693056.29747244634</v>
      </c>
      <c r="P58" s="187">
        <f>P21+P24+P31+P53+P55</f>
        <v>0</v>
      </c>
      <c r="Q58" s="187">
        <f>SUM(M58:P58)</f>
        <v>1621015.6604066365</v>
      </c>
      <c r="R58" s="182"/>
      <c r="S58" s="182"/>
      <c r="T58" s="182"/>
      <c r="U58" s="182"/>
      <c r="V58" s="182"/>
      <c r="W58" s="182"/>
    </row>
    <row r="61" spans="2:23" ht="14.25" x14ac:dyDescent="0.2">
      <c r="B61" s="174" t="s">
        <v>76</v>
      </c>
    </row>
    <row r="62" spans="2:23" x14ac:dyDescent="0.2">
      <c r="E62" s="134"/>
    </row>
    <row r="63" spans="2:23" x14ac:dyDescent="0.2">
      <c r="D63" s="1" t="s">
        <v>77</v>
      </c>
      <c r="E63" s="134" t="s">
        <v>26</v>
      </c>
      <c r="G63" s="51">
        <f>1353000*0.3</f>
        <v>405900</v>
      </c>
      <c r="H63" s="51">
        <f>1353000*0.03</f>
        <v>40590</v>
      </c>
      <c r="I63" s="51">
        <f>1353000*0.67</f>
        <v>906510</v>
      </c>
      <c r="J63" s="51"/>
      <c r="K63" s="51">
        <f>G63+H63+I63</f>
        <v>1353000</v>
      </c>
      <c r="M63" s="51">
        <f>Q63*G83</f>
        <v>300312.288</v>
      </c>
      <c r="N63" s="51">
        <f>Q63*H83</f>
        <v>30031.228799999997</v>
      </c>
      <c r="O63" s="51">
        <f>Q63*I83</f>
        <v>670697.44319999998</v>
      </c>
      <c r="P63" s="51">
        <f t="shared" ref="P63" si="13">J63</f>
        <v>0</v>
      </c>
      <c r="Q63" s="51">
        <f>K63-((((96*114.57)*8)*4))</f>
        <v>1001040.96</v>
      </c>
    </row>
    <row r="64" spans="2:23" x14ac:dyDescent="0.2">
      <c r="E64" s="134"/>
      <c r="G64" s="51"/>
      <c r="H64" s="51"/>
      <c r="I64" s="51"/>
      <c r="J64" s="51"/>
      <c r="K64" s="51"/>
      <c r="M64" s="51"/>
      <c r="N64" s="51"/>
      <c r="O64" s="51"/>
      <c r="P64" s="51"/>
      <c r="Q64" s="51"/>
    </row>
    <row r="65" spans="1:24" x14ac:dyDescent="0.2">
      <c r="D65" s="1" t="s">
        <v>94</v>
      </c>
      <c r="E65" s="134" t="s">
        <v>26</v>
      </c>
      <c r="G65" s="51">
        <v>0</v>
      </c>
      <c r="H65" s="51">
        <v>0</v>
      </c>
      <c r="I65" s="51">
        <v>994000</v>
      </c>
      <c r="J65" s="51">
        <v>0</v>
      </c>
      <c r="K65" s="51">
        <f>I65+H65+G65</f>
        <v>994000</v>
      </c>
      <c r="M65" s="51">
        <f>G65</f>
        <v>0</v>
      </c>
      <c r="N65" s="51">
        <f>H65</f>
        <v>0</v>
      </c>
      <c r="O65" s="51">
        <f>I65</f>
        <v>994000</v>
      </c>
      <c r="P65" s="51">
        <f>J65</f>
        <v>0</v>
      </c>
      <c r="Q65" s="51">
        <f>K65</f>
        <v>994000</v>
      </c>
    </row>
    <row r="66" spans="1:24" x14ac:dyDescent="0.2">
      <c r="E66" s="134"/>
    </row>
    <row r="67" spans="1:24" s="169" customFormat="1" x14ac:dyDescent="0.2">
      <c r="A67" s="1"/>
      <c r="B67" s="1"/>
      <c r="C67" s="1"/>
      <c r="D67" s="1" t="s">
        <v>78</v>
      </c>
      <c r="E67" s="134" t="s">
        <v>26</v>
      </c>
      <c r="F67" s="1"/>
      <c r="G67" s="51">
        <v>1081753.8</v>
      </c>
      <c r="H67" s="51">
        <v>108175.37999999999</v>
      </c>
      <c r="I67" s="51">
        <v>2415916.8200000003</v>
      </c>
      <c r="J67" s="51">
        <v>0</v>
      </c>
      <c r="K67" s="51">
        <f>G67+H67+I67</f>
        <v>3605846</v>
      </c>
      <c r="L67" s="1"/>
      <c r="M67" s="51">
        <f>G67</f>
        <v>1081753.8</v>
      </c>
      <c r="N67" s="51">
        <f>H67</f>
        <v>108175.37999999999</v>
      </c>
      <c r="O67" s="51">
        <f>I67</f>
        <v>2415916.8200000003</v>
      </c>
      <c r="P67" s="51">
        <f>J67</f>
        <v>0</v>
      </c>
      <c r="Q67" s="51">
        <f>K67</f>
        <v>3605846</v>
      </c>
      <c r="R67" s="51"/>
      <c r="S67" s="51"/>
      <c r="T67" s="51"/>
      <c r="U67" s="51"/>
      <c r="V67" s="51"/>
      <c r="W67" s="51"/>
      <c r="X67" s="1"/>
    </row>
    <row r="68" spans="1:24" s="169" customFormat="1" ht="13.5" thickBo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s="169" customFormat="1" ht="13.5" thickBot="1" x14ac:dyDescent="0.25">
      <c r="A69" s="1"/>
      <c r="B69" s="168" t="s">
        <v>79</v>
      </c>
      <c r="C69" s="1"/>
      <c r="D69" s="1"/>
      <c r="E69" s="134" t="s">
        <v>26</v>
      </c>
      <c r="F69" s="1"/>
      <c r="G69" s="187">
        <f>G67+G63</f>
        <v>1487653.8</v>
      </c>
      <c r="H69" s="187">
        <f>H67+H63</f>
        <v>148765.38</v>
      </c>
      <c r="I69" s="187">
        <f>I67+I63+I65</f>
        <v>4316426.82</v>
      </c>
      <c r="J69" s="187">
        <f t="shared" ref="H69:Q70" si="14">J67</f>
        <v>0</v>
      </c>
      <c r="K69" s="187">
        <f>K67+K63+K65</f>
        <v>5952846</v>
      </c>
      <c r="L69" s="187">
        <f t="shared" ref="L69:Q69" si="15">L67+L63+L65</f>
        <v>0</v>
      </c>
      <c r="M69" s="187">
        <f t="shared" si="15"/>
        <v>1382066.088</v>
      </c>
      <c r="N69" s="187">
        <f t="shared" si="15"/>
        <v>138206.60879999999</v>
      </c>
      <c r="O69" s="187">
        <f>O67+O63+O65</f>
        <v>4080614.2632000004</v>
      </c>
      <c r="P69" s="187">
        <f t="shared" si="15"/>
        <v>0</v>
      </c>
      <c r="Q69" s="187">
        <f t="shared" si="15"/>
        <v>5600886.96</v>
      </c>
      <c r="R69" s="182"/>
      <c r="S69" s="182"/>
      <c r="T69" s="182"/>
      <c r="U69" s="182"/>
      <c r="V69" s="182"/>
      <c r="W69" s="182"/>
      <c r="X69" s="51"/>
    </row>
    <row r="70" spans="1:24" s="169" customFormat="1" x14ac:dyDescent="0.2">
      <c r="A70" s="1"/>
      <c r="B70" s="168"/>
      <c r="C70" s="1"/>
      <c r="D70" s="1"/>
      <c r="E70" s="134" t="s">
        <v>28</v>
      </c>
      <c r="F70" s="1"/>
      <c r="G70" s="187">
        <f>G68</f>
        <v>0</v>
      </c>
      <c r="H70" s="187">
        <f t="shared" si="14"/>
        <v>0</v>
      </c>
      <c r="I70" s="187">
        <f t="shared" si="14"/>
        <v>0</v>
      </c>
      <c r="J70" s="187">
        <f t="shared" si="14"/>
        <v>0</v>
      </c>
      <c r="K70" s="187">
        <f t="shared" si="14"/>
        <v>0</v>
      </c>
      <c r="L70" s="1"/>
      <c r="M70" s="187">
        <f t="shared" si="14"/>
        <v>0</v>
      </c>
      <c r="N70" s="187">
        <f t="shared" si="14"/>
        <v>0</v>
      </c>
      <c r="O70" s="187">
        <f t="shared" si="14"/>
        <v>0</v>
      </c>
      <c r="P70" s="187">
        <f t="shared" si="14"/>
        <v>0</v>
      </c>
      <c r="Q70" s="187">
        <f t="shared" si="14"/>
        <v>0</v>
      </c>
      <c r="R70" s="189"/>
      <c r="S70" s="189"/>
      <c r="T70" s="189"/>
      <c r="U70" s="189"/>
      <c r="V70" s="189"/>
      <c r="W70" s="189"/>
      <c r="X70" s="1"/>
    </row>
    <row r="71" spans="1:24" s="169" customFormat="1" x14ac:dyDescent="0.2">
      <c r="A71" s="1"/>
      <c r="B71" s="1"/>
      <c r="C71" s="1"/>
      <c r="D71" s="1"/>
      <c r="E71" s="1"/>
      <c r="F71" s="1"/>
      <c r="G71" s="1"/>
      <c r="H71" s="1"/>
      <c r="I71" s="1"/>
      <c r="J71" s="1"/>
      <c r="K71" s="51"/>
      <c r="L71" s="1"/>
      <c r="M71" s="1"/>
      <c r="N71" s="1"/>
      <c r="O71" s="1"/>
      <c r="P71" s="1"/>
      <c r="Q71" s="1"/>
      <c r="R71" s="1"/>
      <c r="S71" s="1"/>
      <c r="T71" s="1"/>
      <c r="U71" s="1"/>
      <c r="V71" s="1"/>
      <c r="W71" s="1"/>
      <c r="X71" s="51"/>
    </row>
    <row r="72" spans="1:24" s="169" customFormat="1" ht="13.5" thickBo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s="169" customFormat="1" ht="15" thickBot="1" x14ac:dyDescent="0.25">
      <c r="A73" s="1"/>
      <c r="B73" s="174" t="s">
        <v>80</v>
      </c>
      <c r="C73" s="1"/>
      <c r="D73" s="1"/>
      <c r="E73" s="1"/>
      <c r="F73" s="1"/>
      <c r="G73" s="190">
        <f>G58+G69</f>
        <v>2519485.2999999998</v>
      </c>
      <c r="H73" s="190">
        <f t="shared" ref="H73:P73" si="16">H58+H69</f>
        <v>217905.38</v>
      </c>
      <c r="I73" s="190">
        <f t="shared" si="16"/>
        <v>5346438.82</v>
      </c>
      <c r="J73" s="190">
        <f t="shared" si="16"/>
        <v>0</v>
      </c>
      <c r="K73" s="190">
        <f t="shared" si="16"/>
        <v>8083829.5</v>
      </c>
      <c r="L73" s="190">
        <f t="shared" si="16"/>
        <v>0</v>
      </c>
      <c r="M73" s="190">
        <f>M58+M69</f>
        <v>2255622.7361219907</v>
      </c>
      <c r="N73" s="190">
        <f>N58+N69</f>
        <v>192609.32361219908</v>
      </c>
      <c r="O73" s="190">
        <f>O58+O69</f>
        <v>4773670.5606724471</v>
      </c>
      <c r="P73" s="190">
        <f t="shared" si="16"/>
        <v>0</v>
      </c>
      <c r="Q73" s="190">
        <f>Q58+Q69</f>
        <v>7221902.620406637</v>
      </c>
      <c r="R73" s="182"/>
      <c r="S73" s="182"/>
      <c r="T73" s="182"/>
      <c r="U73" s="182"/>
      <c r="V73" s="182"/>
      <c r="W73" s="182"/>
      <c r="X73" s="1"/>
    </row>
    <row r="74" spans="1:24" s="169" customFormat="1" ht="13.5" thickTop="1" x14ac:dyDescent="0.2">
      <c r="A74" s="1"/>
      <c r="B74" s="1"/>
      <c r="C74" s="1"/>
      <c r="D74" s="1"/>
      <c r="E74" s="1"/>
      <c r="F74" s="1"/>
      <c r="G74" s="1"/>
      <c r="H74" s="1"/>
      <c r="I74" s="191"/>
      <c r="J74" s="1"/>
      <c r="K74" s="1"/>
      <c r="L74" s="1"/>
      <c r="M74" s="1"/>
      <c r="N74" s="1"/>
      <c r="O74" s="192"/>
      <c r="P74" s="1"/>
      <c r="Q74" s="1"/>
      <c r="R74" s="1"/>
      <c r="S74" s="1"/>
      <c r="T74" s="1"/>
      <c r="U74" s="1"/>
      <c r="V74" s="1"/>
      <c r="W74" s="1"/>
      <c r="X74" s="1"/>
    </row>
    <row r="75" spans="1:24" x14ac:dyDescent="0.2">
      <c r="I75" s="191"/>
      <c r="K75" s="51"/>
      <c r="O75" s="192"/>
    </row>
    <row r="76" spans="1:24" x14ac:dyDescent="0.2">
      <c r="G76" s="111"/>
      <c r="H76" s="111"/>
      <c r="I76" s="111"/>
      <c r="J76" s="51"/>
      <c r="K76" s="230"/>
      <c r="O76" s="192"/>
    </row>
    <row r="77" spans="1:24" x14ac:dyDescent="0.2">
      <c r="G77" s="191"/>
      <c r="H77" s="191"/>
      <c r="I77" s="191"/>
      <c r="K77" s="230"/>
      <c r="O77" s="193"/>
    </row>
    <row r="78" spans="1:24" x14ac:dyDescent="0.2">
      <c r="G78" s="194"/>
      <c r="H78" s="194"/>
      <c r="I78" s="194"/>
      <c r="K78" s="51"/>
      <c r="O78" s="192"/>
    </row>
    <row r="79" spans="1:24" x14ac:dyDescent="0.2">
      <c r="G79" s="191"/>
      <c r="H79" s="191"/>
      <c r="I79" s="191"/>
      <c r="J79" s="51"/>
      <c r="K79" s="51"/>
      <c r="M79" s="195"/>
      <c r="N79" s="195"/>
      <c r="O79" s="196"/>
      <c r="P79" s="195"/>
      <c r="Q79" s="195"/>
      <c r="R79" s="195"/>
      <c r="S79" s="195"/>
      <c r="T79" s="195"/>
      <c r="U79" s="195"/>
    </row>
    <row r="80" spans="1:24" x14ac:dyDescent="0.2">
      <c r="G80" s="191"/>
      <c r="H80" s="191"/>
      <c r="I80" s="191"/>
      <c r="K80" s="51"/>
      <c r="M80" s="195"/>
      <c r="N80" s="195"/>
      <c r="O80" s="196"/>
      <c r="P80" s="195"/>
      <c r="Q80" s="195"/>
      <c r="R80" s="195"/>
      <c r="S80" s="195"/>
      <c r="T80" s="195"/>
      <c r="U80" s="195"/>
    </row>
    <row r="81" spans="5:25" x14ac:dyDescent="0.2">
      <c r="G81" s="191"/>
      <c r="H81" s="191"/>
      <c r="I81" s="191"/>
      <c r="M81" s="195"/>
      <c r="N81" s="195"/>
      <c r="O81" s="196"/>
      <c r="P81" s="195"/>
      <c r="Q81" s="195"/>
      <c r="R81" s="195"/>
      <c r="S81" s="195"/>
      <c r="T81" s="195"/>
      <c r="U81" s="195"/>
    </row>
    <row r="82" spans="5:25" ht="13.5" thickBot="1" x14ac:dyDescent="0.25">
      <c r="M82" s="195"/>
      <c r="N82" s="195"/>
      <c r="O82" s="195"/>
      <c r="P82" s="195"/>
      <c r="Q82" s="195"/>
      <c r="R82" s="195"/>
      <c r="S82" s="195"/>
      <c r="T82" s="195"/>
      <c r="U82" s="195"/>
    </row>
    <row r="83" spans="5:25" x14ac:dyDescent="0.2">
      <c r="E83" s="198"/>
      <c r="F83" s="199"/>
      <c r="G83" s="200">
        <v>0.3</v>
      </c>
      <c r="H83" s="200">
        <v>0.03</v>
      </c>
      <c r="I83" s="200">
        <v>0.67</v>
      </c>
      <c r="J83" s="199"/>
      <c r="K83" s="201"/>
      <c r="M83" s="202"/>
      <c r="N83" s="76"/>
      <c r="O83" s="76"/>
      <c r="P83" s="76"/>
      <c r="Q83" s="203"/>
      <c r="R83" s="169"/>
      <c r="S83" s="169"/>
      <c r="T83" s="169"/>
      <c r="U83" s="169"/>
    </row>
    <row r="84" spans="5:25" x14ac:dyDescent="0.2">
      <c r="E84" s="204"/>
      <c r="K84" s="205"/>
      <c r="M84" s="206"/>
      <c r="N84" s="169"/>
      <c r="O84" s="169"/>
      <c r="P84" s="169"/>
      <c r="Q84" s="169"/>
      <c r="R84" s="169"/>
      <c r="S84" s="169"/>
      <c r="T84" s="169"/>
      <c r="U84" s="169"/>
    </row>
    <row r="85" spans="5:25" x14ac:dyDescent="0.2">
      <c r="E85" s="204" t="s">
        <v>81</v>
      </c>
      <c r="K85" s="207">
        <f>K73</f>
        <v>8083829.5</v>
      </c>
      <c r="M85" s="208"/>
      <c r="N85" s="203"/>
      <c r="O85" s="203"/>
      <c r="P85" s="203"/>
      <c r="Q85" s="203"/>
      <c r="R85" s="169"/>
      <c r="S85" s="169"/>
      <c r="T85" s="169"/>
      <c r="U85" s="169"/>
    </row>
    <row r="86" spans="5:25" x14ac:dyDescent="0.2">
      <c r="E86" s="204" t="s">
        <v>82</v>
      </c>
      <c r="K86" s="207">
        <v>0</v>
      </c>
      <c r="M86" s="195"/>
      <c r="N86" s="169"/>
      <c r="O86" s="169"/>
      <c r="P86" s="169"/>
      <c r="Q86" s="169"/>
      <c r="R86" s="169"/>
      <c r="S86" s="169"/>
      <c r="T86" s="169"/>
      <c r="U86" s="169"/>
    </row>
    <row r="87" spans="5:25" x14ac:dyDescent="0.2">
      <c r="E87" s="204"/>
      <c r="K87" s="207"/>
      <c r="M87" s="208"/>
      <c r="N87" s="169"/>
      <c r="O87" s="169"/>
      <c r="P87" s="169"/>
      <c r="Q87" s="169"/>
      <c r="R87" s="169"/>
      <c r="S87" s="169"/>
      <c r="T87" s="169"/>
      <c r="U87" s="169"/>
    </row>
    <row r="88" spans="5:25" x14ac:dyDescent="0.2">
      <c r="E88" s="204" t="s">
        <v>83</v>
      </c>
      <c r="K88" s="209">
        <f>SUM(K85:K87)</f>
        <v>8083829.5</v>
      </c>
      <c r="M88" s="208"/>
      <c r="N88" s="169"/>
      <c r="O88" s="169"/>
      <c r="P88" s="169"/>
      <c r="Q88" s="169"/>
      <c r="R88" s="169"/>
      <c r="S88" s="169"/>
      <c r="T88" s="169"/>
      <c r="U88" s="169"/>
    </row>
    <row r="89" spans="5:25" x14ac:dyDescent="0.2">
      <c r="E89" s="204" t="s">
        <v>84</v>
      </c>
      <c r="K89" s="207">
        <f>I65</f>
        <v>994000</v>
      </c>
      <c r="M89" s="208"/>
      <c r="N89" s="169"/>
      <c r="O89" s="210"/>
      <c r="P89" s="210"/>
      <c r="Q89" s="203"/>
      <c r="R89" s="169"/>
      <c r="S89" s="169"/>
      <c r="T89" s="169"/>
      <c r="U89" s="169"/>
    </row>
    <row r="90" spans="5:25" x14ac:dyDescent="0.2">
      <c r="E90" s="204" t="s">
        <v>85</v>
      </c>
      <c r="K90" s="207">
        <f>G53</f>
        <v>349410.5</v>
      </c>
      <c r="M90" s="208"/>
      <c r="N90" s="169"/>
      <c r="O90" s="210"/>
      <c r="P90" s="210"/>
      <c r="Q90" s="203"/>
      <c r="R90" s="169"/>
      <c r="S90" s="169"/>
      <c r="T90" s="169"/>
      <c r="U90" s="169"/>
    </row>
    <row r="91" spans="5:25" x14ac:dyDescent="0.2">
      <c r="E91" s="204"/>
      <c r="K91" s="207"/>
      <c r="M91" s="208"/>
      <c r="N91" s="169"/>
      <c r="O91" s="210"/>
      <c r="P91" s="210"/>
      <c r="Q91" s="203"/>
      <c r="R91" s="169"/>
      <c r="S91" s="169"/>
      <c r="T91" s="169"/>
      <c r="U91" s="169"/>
    </row>
    <row r="92" spans="5:25" ht="13.5" thickBot="1" x14ac:dyDescent="0.25">
      <c r="E92" s="204" t="s">
        <v>86</v>
      </c>
      <c r="K92" s="211">
        <f>K88-K89-K90-K91</f>
        <v>6740419</v>
      </c>
      <c r="M92" s="208"/>
      <c r="N92" s="169"/>
      <c r="O92" s="169"/>
      <c r="P92" s="169"/>
      <c r="Q92" s="169"/>
      <c r="R92" s="169"/>
      <c r="S92" s="169"/>
      <c r="T92" s="169"/>
      <c r="U92" s="169"/>
    </row>
    <row r="93" spans="5:25" ht="13.5" thickTop="1" x14ac:dyDescent="0.2">
      <c r="E93" s="204"/>
      <c r="J93" s="212" t="s">
        <v>87</v>
      </c>
      <c r="K93" s="207"/>
      <c r="M93" s="208"/>
      <c r="N93" s="169"/>
      <c r="O93" s="169"/>
      <c r="P93" s="169"/>
      <c r="Q93" s="203"/>
      <c r="R93" s="169"/>
      <c r="S93" s="169"/>
      <c r="T93" s="169"/>
      <c r="U93" s="169"/>
    </row>
    <row r="94" spans="5:25" x14ac:dyDescent="0.2">
      <c r="E94" s="204" t="s">
        <v>81</v>
      </c>
      <c r="G94" s="213">
        <f>G73</f>
        <v>2519485.2999999998</v>
      </c>
      <c r="H94" s="213">
        <f>H73</f>
        <v>217905.38</v>
      </c>
      <c r="I94" s="213">
        <f>I73</f>
        <v>5346438.82</v>
      </c>
      <c r="J94" s="213"/>
      <c r="K94" s="207"/>
      <c r="M94" s="208"/>
      <c r="N94" s="169"/>
      <c r="O94" s="169"/>
      <c r="P94" s="169"/>
      <c r="Q94" s="169"/>
      <c r="R94" s="169"/>
      <c r="S94" s="169"/>
      <c r="T94" s="169"/>
      <c r="U94" s="169">
        <v>0</v>
      </c>
      <c r="Y94" s="169">
        <v>900323.36</v>
      </c>
    </row>
    <row r="95" spans="5:25" x14ac:dyDescent="0.2">
      <c r="E95" s="204" t="s">
        <v>88</v>
      </c>
      <c r="G95" s="213">
        <f>K90</f>
        <v>349410.5</v>
      </c>
      <c r="H95" s="214">
        <v>0</v>
      </c>
      <c r="I95" s="214">
        <f>K89</f>
        <v>994000</v>
      </c>
      <c r="K95" s="205"/>
      <c r="M95" s="195"/>
      <c r="N95" s="169"/>
      <c r="O95" s="169"/>
      <c r="P95" s="169"/>
      <c r="Q95" s="169"/>
      <c r="R95" s="169"/>
      <c r="S95" s="169"/>
      <c r="T95" s="169"/>
      <c r="U95" s="169"/>
    </row>
    <row r="96" spans="5:25" ht="13.5" thickBot="1" x14ac:dyDescent="0.25">
      <c r="E96" s="204" t="s">
        <v>89</v>
      </c>
      <c r="G96" s="215">
        <f>G94-G95</f>
        <v>2170074.7999999998</v>
      </c>
      <c r="H96" s="215">
        <f>H94-H95</f>
        <v>217905.38</v>
      </c>
      <c r="I96" s="215">
        <f>I94-I95</f>
        <v>4352438.82</v>
      </c>
      <c r="J96" s="2"/>
      <c r="K96" s="207"/>
      <c r="M96" s="195"/>
      <c r="N96" s="169"/>
      <c r="O96" s="169"/>
      <c r="P96" s="177"/>
      <c r="Q96" s="169"/>
      <c r="R96" s="169"/>
      <c r="S96" s="169"/>
      <c r="T96" s="169"/>
      <c r="U96" s="169"/>
    </row>
    <row r="97" spans="5:21" ht="14.25" thickTop="1" thickBot="1" x14ac:dyDescent="0.25">
      <c r="E97" s="204" t="s">
        <v>90</v>
      </c>
      <c r="G97" s="216">
        <f>G96/$K$92</f>
        <v>0.32194954052559638</v>
      </c>
      <c r="H97" s="216">
        <f t="shared" ref="H97:I97" si="17">H96/$K$92</f>
        <v>3.2328165355892564E-2</v>
      </c>
      <c r="I97" s="216">
        <f t="shared" si="17"/>
        <v>0.64572229411851112</v>
      </c>
      <c r="J97" s="213"/>
      <c r="K97" s="207"/>
      <c r="M97" s="195"/>
      <c r="N97" s="169"/>
      <c r="O97" s="169"/>
      <c r="P97" s="169"/>
      <c r="Q97" s="169"/>
      <c r="R97" s="169"/>
      <c r="S97" s="169"/>
      <c r="T97" s="169"/>
      <c r="U97" s="169"/>
    </row>
    <row r="98" spans="5:21" ht="14.25" thickTop="1" thickBot="1" x14ac:dyDescent="0.25">
      <c r="E98" s="217"/>
      <c r="F98" s="218"/>
      <c r="G98" s="219" t="s">
        <v>91</v>
      </c>
      <c r="H98" s="219" t="s">
        <v>92</v>
      </c>
      <c r="I98" s="219" t="s">
        <v>5</v>
      </c>
      <c r="J98" s="218"/>
      <c r="K98" s="220"/>
      <c r="M98" s="195"/>
      <c r="N98" s="221"/>
      <c r="O98" s="221"/>
      <c r="P98" s="221"/>
      <c r="Q98" s="169"/>
      <c r="R98" s="169"/>
      <c r="S98" s="169"/>
      <c r="T98" s="169"/>
      <c r="U98" s="169"/>
    </row>
    <row r="99" spans="5:21" x14ac:dyDescent="0.2">
      <c r="J99" s="199"/>
      <c r="K99" s="222"/>
      <c r="M99" s="195"/>
      <c r="N99" s="221"/>
      <c r="O99" s="221"/>
      <c r="P99" s="221"/>
      <c r="Q99" s="169"/>
      <c r="R99" s="169"/>
      <c r="S99" s="169"/>
      <c r="T99" s="169"/>
      <c r="U99" s="169"/>
    </row>
    <row r="100" spans="5:21" x14ac:dyDescent="0.2">
      <c r="J100" s="213"/>
      <c r="K100" s="213"/>
      <c r="M100" s="195"/>
      <c r="N100" s="169"/>
      <c r="O100" s="169"/>
      <c r="P100" s="169"/>
      <c r="Q100" s="169"/>
      <c r="R100" s="169"/>
      <c r="S100" s="169"/>
      <c r="T100" s="169"/>
      <c r="U100" s="169"/>
    </row>
    <row r="101" spans="5:21" x14ac:dyDescent="0.2">
      <c r="E101" s="223"/>
      <c r="G101" s="213"/>
      <c r="H101" s="213"/>
      <c r="I101" s="224"/>
      <c r="J101" s="225"/>
      <c r="K101" s="224"/>
      <c r="M101" s="195"/>
      <c r="N101" s="169"/>
      <c r="O101" s="169"/>
      <c r="P101" s="169"/>
      <c r="Q101" s="169"/>
      <c r="R101" s="169"/>
      <c r="S101" s="169"/>
      <c r="T101" s="169"/>
      <c r="U101" s="169"/>
    </row>
    <row r="102" spans="5:21" x14ac:dyDescent="0.2">
      <c r="I102" s="224"/>
      <c r="J102" s="225"/>
      <c r="K102" s="225"/>
      <c r="M102" s="208"/>
      <c r="N102" s="226"/>
      <c r="O102" s="226"/>
      <c r="P102" s="226"/>
      <c r="Q102" s="169"/>
      <c r="R102" s="169"/>
      <c r="S102" s="169"/>
      <c r="T102" s="169"/>
      <c r="U102" s="169"/>
    </row>
    <row r="103" spans="5:21" x14ac:dyDescent="0.2">
      <c r="H103" s="213"/>
      <c r="I103" s="213"/>
      <c r="M103" s="195"/>
      <c r="N103" s="169"/>
      <c r="O103" s="169"/>
      <c r="P103" s="169"/>
      <c r="Q103" s="169"/>
      <c r="R103" s="169"/>
      <c r="S103" s="169"/>
      <c r="T103" s="169"/>
      <c r="U103" s="169"/>
    </row>
    <row r="104" spans="5:21" x14ac:dyDescent="0.2">
      <c r="G104" s="227"/>
      <c r="H104" s="227"/>
      <c r="I104" s="227"/>
      <c r="M104" s="195"/>
      <c r="N104" s="195"/>
      <c r="O104" s="195"/>
      <c r="P104" s="195"/>
      <c r="Q104" s="195"/>
      <c r="R104" s="195"/>
      <c r="S104" s="195"/>
      <c r="T104" s="195"/>
      <c r="U104" s="195"/>
    </row>
    <row r="105" spans="5:21" x14ac:dyDescent="0.2">
      <c r="G105" s="213"/>
      <c r="H105" s="213"/>
      <c r="I105" s="213"/>
      <c r="M105" s="195"/>
      <c r="N105" s="195"/>
      <c r="O105" s="195"/>
      <c r="P105" s="195"/>
      <c r="Q105" s="195"/>
      <c r="R105" s="195"/>
      <c r="S105" s="195"/>
      <c r="T105" s="195"/>
      <c r="U105" s="195"/>
    </row>
    <row r="106" spans="5:21" x14ac:dyDescent="0.2">
      <c r="G106" s="227"/>
      <c r="H106" s="227"/>
      <c r="I106" s="227"/>
      <c r="M106" s="195"/>
      <c r="N106" s="195"/>
      <c r="O106" s="195"/>
      <c r="P106" s="195"/>
      <c r="Q106" s="195"/>
      <c r="R106" s="195"/>
      <c r="S106" s="195"/>
      <c r="T106" s="195"/>
      <c r="U106" s="195"/>
    </row>
    <row r="107" spans="5:21" x14ac:dyDescent="0.2">
      <c r="G107" s="228"/>
      <c r="H107" s="228"/>
      <c r="I107" s="228"/>
      <c r="M107" s="195"/>
      <c r="N107" s="195"/>
      <c r="O107" s="195"/>
      <c r="P107" s="195"/>
      <c r="Q107" s="195"/>
      <c r="R107" s="195"/>
      <c r="S107" s="195"/>
      <c r="T107" s="195"/>
      <c r="U107" s="195"/>
    </row>
    <row r="108" spans="5:21" x14ac:dyDescent="0.2">
      <c r="G108" s="213"/>
      <c r="H108" s="213"/>
      <c r="I108" s="213"/>
      <c r="M108" s="195"/>
      <c r="N108" s="195"/>
      <c r="O108" s="195"/>
      <c r="P108" s="195"/>
      <c r="Q108" s="195"/>
      <c r="R108" s="195"/>
      <c r="S108" s="195"/>
      <c r="T108" s="195"/>
      <c r="U108" s="195"/>
    </row>
    <row r="109" spans="5:21" x14ac:dyDescent="0.2">
      <c r="M109" s="195"/>
      <c r="N109" s="195"/>
      <c r="O109" s="195"/>
      <c r="P109" s="195"/>
      <c r="Q109" s="195"/>
      <c r="R109" s="195"/>
      <c r="S109" s="195"/>
      <c r="T109" s="195"/>
      <c r="U109" s="195"/>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BA3FE-E6B1-409A-9C08-C9AA1CC7D07A}">
  <sheetPr>
    <tabColor rgb="FF8FFFC7"/>
    <pageSetUpPr fitToPage="1"/>
  </sheetPr>
  <dimension ref="A1:Y105"/>
  <sheetViews>
    <sheetView topLeftCell="A3" zoomScale="90" zoomScaleNormal="90" workbookViewId="0">
      <selection activeCell="B6" sqref="B6"/>
    </sheetView>
  </sheetViews>
  <sheetFormatPr defaultColWidth="9.140625" defaultRowHeight="12.75" x14ac:dyDescent="0.2"/>
  <cols>
    <col min="1" max="1" width="0.85546875" style="1" customWidth="1"/>
    <col min="2" max="2" width="22.140625" style="1" customWidth="1"/>
    <col min="3" max="3" width="0.85546875" style="1" customWidth="1"/>
    <col min="4" max="4" width="36.140625" style="1" customWidth="1"/>
    <col min="5" max="5" width="22" style="1" bestFit="1" customWidth="1"/>
    <col min="6" max="6" width="1.28515625" style="1" customWidth="1"/>
    <col min="7" max="7" width="22.5703125" style="1" customWidth="1"/>
    <col min="8" max="8" width="20" style="1" customWidth="1"/>
    <col min="9" max="9" width="16.140625" style="1" customWidth="1"/>
    <col min="10" max="10" width="14.7109375" style="1" customWidth="1"/>
    <col min="11" max="11" width="16.85546875" style="1" customWidth="1"/>
    <col min="12" max="12" width="1.7109375" style="1" customWidth="1"/>
    <col min="13" max="13" width="14.7109375" style="1" customWidth="1"/>
    <col min="14" max="14" width="15.85546875" style="1" customWidth="1"/>
    <col min="15" max="15" width="16.85546875" style="1" customWidth="1"/>
    <col min="16" max="16" width="14.7109375" style="1" customWidth="1"/>
    <col min="17" max="17" width="16.140625" style="1" customWidth="1"/>
    <col min="18" max="19" width="2.5703125" style="1" customWidth="1"/>
    <col min="20" max="23" width="16.140625" style="1" customWidth="1"/>
    <col min="24" max="24" width="2.7109375" style="1" customWidth="1"/>
    <col min="25" max="25" width="47" style="169" hidden="1" customWidth="1"/>
    <col min="26" max="16384" width="9.140625" style="1"/>
  </cols>
  <sheetData>
    <row r="1" spans="2:25" ht="15" x14ac:dyDescent="0.25">
      <c r="E1" s="168"/>
      <c r="F1" s="168"/>
      <c r="I1"/>
    </row>
    <row r="2" spans="2:25" ht="20.25" thickBot="1" x14ac:dyDescent="0.3">
      <c r="B2" s="170" t="s">
        <v>6</v>
      </c>
      <c r="C2" s="168"/>
      <c r="D2" s="168"/>
      <c r="E2" s="168"/>
      <c r="F2" s="168"/>
      <c r="G2" s="271" t="s">
        <v>171</v>
      </c>
      <c r="H2" s="271"/>
      <c r="I2" s="271"/>
      <c r="J2" s="271"/>
      <c r="K2" s="271"/>
      <c r="M2" s="271" t="s">
        <v>172</v>
      </c>
      <c r="N2" s="271"/>
      <c r="O2" s="271"/>
      <c r="P2" s="271"/>
      <c r="Q2" s="271"/>
      <c r="R2" s="167"/>
      <c r="S2" s="167"/>
      <c r="T2" s="167"/>
      <c r="U2" s="167"/>
      <c r="V2" s="167"/>
      <c r="W2" s="167"/>
    </row>
    <row r="3" spans="2:25" ht="19.5" x14ac:dyDescent="0.25">
      <c r="B3" s="170" t="s">
        <v>7</v>
      </c>
      <c r="C3" s="168"/>
      <c r="D3" s="168"/>
    </row>
    <row r="4" spans="2:25" x14ac:dyDescent="0.2">
      <c r="B4" s="168" t="s">
        <v>181</v>
      </c>
      <c r="C4" s="168"/>
      <c r="D4" s="168"/>
      <c r="G4" s="167" t="s">
        <v>8</v>
      </c>
      <c r="H4" s="167" t="s">
        <v>9</v>
      </c>
      <c r="I4" s="167" t="s">
        <v>10</v>
      </c>
      <c r="J4" s="167" t="s">
        <v>11</v>
      </c>
      <c r="K4" s="167" t="s">
        <v>12</v>
      </c>
      <c r="M4" s="167" t="s">
        <v>8</v>
      </c>
      <c r="N4" s="167" t="s">
        <v>9</v>
      </c>
      <c r="O4" s="167" t="s">
        <v>10</v>
      </c>
      <c r="P4" s="167" t="s">
        <v>11</v>
      </c>
      <c r="Q4" s="167" t="s">
        <v>12</v>
      </c>
      <c r="R4" s="167"/>
      <c r="S4" s="167"/>
      <c r="T4" s="167"/>
      <c r="U4" s="167"/>
      <c r="V4" s="167"/>
      <c r="W4" s="167"/>
    </row>
    <row r="5" spans="2:25" ht="15" x14ac:dyDescent="0.2">
      <c r="B5" s="171"/>
      <c r="C5" s="168"/>
      <c r="D5" s="171" t="s">
        <v>13</v>
      </c>
      <c r="G5" s="167" t="s">
        <v>14</v>
      </c>
      <c r="H5" s="167" t="s">
        <v>15</v>
      </c>
      <c r="I5" s="167" t="s">
        <v>16</v>
      </c>
      <c r="J5" s="167" t="s">
        <v>17</v>
      </c>
      <c r="K5" s="167" t="s">
        <v>18</v>
      </c>
      <c r="M5" s="167" t="s">
        <v>14</v>
      </c>
      <c r="N5" s="167" t="s">
        <v>15</v>
      </c>
      <c r="O5" s="167" t="s">
        <v>16</v>
      </c>
      <c r="P5" s="167" t="s">
        <v>17</v>
      </c>
      <c r="Q5" s="167" t="s">
        <v>18</v>
      </c>
      <c r="R5" s="167"/>
      <c r="S5" s="167"/>
      <c r="T5" s="167"/>
      <c r="U5" s="167"/>
      <c r="V5" s="167"/>
      <c r="W5" s="167"/>
    </row>
    <row r="6" spans="2:25" x14ac:dyDescent="0.2">
      <c r="B6" s="168" t="s">
        <v>182</v>
      </c>
      <c r="D6" s="172"/>
      <c r="G6" s="167"/>
      <c r="H6" s="167" t="s">
        <v>19</v>
      </c>
      <c r="I6" s="167"/>
      <c r="J6" s="167"/>
      <c r="K6" s="167"/>
      <c r="M6" s="167"/>
      <c r="N6" s="167" t="s">
        <v>19</v>
      </c>
      <c r="O6" s="167"/>
      <c r="P6" s="167"/>
      <c r="Q6" s="167"/>
      <c r="R6" s="167"/>
      <c r="S6" s="167"/>
      <c r="T6" s="167"/>
      <c r="U6" s="167"/>
      <c r="V6" s="167"/>
      <c r="W6" s="167"/>
    </row>
    <row r="7" spans="2:25" ht="13.5" thickBot="1" x14ac:dyDescent="0.25">
      <c r="B7" s="168"/>
      <c r="G7" s="173" t="s">
        <v>20</v>
      </c>
      <c r="H7" s="173" t="s">
        <v>21</v>
      </c>
      <c r="I7" s="173" t="s">
        <v>22</v>
      </c>
      <c r="J7" s="173"/>
      <c r="K7" s="173" t="s">
        <v>23</v>
      </c>
      <c r="M7" s="173" t="s">
        <v>20</v>
      </c>
      <c r="N7" s="173" t="s">
        <v>21</v>
      </c>
      <c r="O7" s="173" t="s">
        <v>22</v>
      </c>
      <c r="P7" s="173"/>
      <c r="Q7" s="173" t="s">
        <v>23</v>
      </c>
      <c r="R7" s="167"/>
      <c r="S7" s="167"/>
      <c r="T7" s="167"/>
      <c r="U7" s="167"/>
      <c r="V7" s="167"/>
      <c r="W7" s="167"/>
    </row>
    <row r="8" spans="2:25" ht="5.0999999999999996" customHeight="1" x14ac:dyDescent="0.2">
      <c r="B8" s="168"/>
      <c r="G8" s="167"/>
      <c r="H8" s="167"/>
      <c r="I8" s="167"/>
      <c r="J8" s="167"/>
      <c r="K8" s="167"/>
      <c r="M8" s="167"/>
      <c r="N8" s="167"/>
      <c r="O8" s="167"/>
      <c r="P8" s="167"/>
      <c r="Q8" s="167"/>
      <c r="R8" s="167"/>
      <c r="S8" s="167"/>
      <c r="T8" s="167"/>
      <c r="U8" s="167"/>
      <c r="V8" s="167"/>
      <c r="W8" s="167"/>
    </row>
    <row r="9" spans="2:25" ht="15" thickBot="1" x14ac:dyDescent="0.25">
      <c r="B9" s="174" t="s">
        <v>24</v>
      </c>
      <c r="D9" s="1" t="s">
        <v>25</v>
      </c>
      <c r="E9" s="134" t="s">
        <v>26</v>
      </c>
      <c r="G9" s="51"/>
      <c r="H9" s="51"/>
      <c r="I9" s="51"/>
      <c r="J9" s="51"/>
      <c r="K9" s="51"/>
      <c r="M9" s="51">
        <v>0</v>
      </c>
      <c r="N9" s="51">
        <v>0</v>
      </c>
      <c r="O9" s="51">
        <v>0</v>
      </c>
      <c r="P9" s="51">
        <v>0</v>
      </c>
      <c r="Q9" s="51">
        <f>SUM(M9:P9)</f>
        <v>0</v>
      </c>
      <c r="R9" s="51"/>
      <c r="S9" s="51"/>
      <c r="T9" s="51"/>
      <c r="U9" s="51"/>
      <c r="V9" s="51"/>
      <c r="W9" s="51"/>
    </row>
    <row r="10" spans="2:25" x14ac:dyDescent="0.2">
      <c r="B10" s="168" t="s">
        <v>27</v>
      </c>
      <c r="E10" s="134" t="s">
        <v>28</v>
      </c>
      <c r="G10" s="175"/>
      <c r="H10" s="175"/>
      <c r="I10" s="175"/>
      <c r="J10" s="175"/>
      <c r="K10" s="175"/>
      <c r="M10" s="175">
        <f>G10</f>
        <v>0</v>
      </c>
      <c r="N10" s="175">
        <f>H10</f>
        <v>0</v>
      </c>
      <c r="O10" s="175">
        <f>I10</f>
        <v>0</v>
      </c>
      <c r="P10" s="175">
        <v>0</v>
      </c>
      <c r="Q10" s="175">
        <f>SUM(M10:P10)</f>
        <v>0</v>
      </c>
      <c r="R10" s="176"/>
      <c r="S10" s="176"/>
      <c r="T10" s="176"/>
      <c r="U10" s="176"/>
      <c r="V10" s="176"/>
      <c r="W10" s="176"/>
    </row>
    <row r="11" spans="2:25" x14ac:dyDescent="0.2">
      <c r="E11" s="134"/>
    </row>
    <row r="12" spans="2:25" ht="13.5" thickBot="1" x14ac:dyDescent="0.25">
      <c r="D12" s="1" t="s">
        <v>29</v>
      </c>
      <c r="E12" s="134" t="s">
        <v>26</v>
      </c>
      <c r="G12" s="51"/>
      <c r="H12" s="51"/>
      <c r="I12" s="51"/>
      <c r="J12" s="51"/>
      <c r="K12" s="51"/>
      <c r="M12" s="51">
        <f t="shared" ref="M12:P13" si="0">G12</f>
        <v>0</v>
      </c>
      <c r="N12" s="51">
        <f t="shared" si="0"/>
        <v>0</v>
      </c>
      <c r="O12" s="51">
        <f t="shared" si="0"/>
        <v>0</v>
      </c>
      <c r="P12" s="51">
        <f t="shared" si="0"/>
        <v>0</v>
      </c>
      <c r="Q12" s="51">
        <f>SUM(M12:P12)</f>
        <v>0</v>
      </c>
      <c r="R12" s="51"/>
      <c r="S12" s="51"/>
      <c r="T12" s="177">
        <f>223294-K12</f>
        <v>223294</v>
      </c>
      <c r="U12" s="51"/>
      <c r="V12" s="51"/>
      <c r="W12" s="51"/>
    </row>
    <row r="13" spans="2:25" x14ac:dyDescent="0.2">
      <c r="E13" s="134" t="s">
        <v>28</v>
      </c>
      <c r="G13" s="175"/>
      <c r="H13" s="175"/>
      <c r="I13" s="175"/>
      <c r="J13" s="175"/>
      <c r="K13" s="175"/>
      <c r="M13" s="175">
        <f t="shared" si="0"/>
        <v>0</v>
      </c>
      <c r="N13" s="175">
        <f t="shared" si="0"/>
        <v>0</v>
      </c>
      <c r="O13" s="175">
        <f t="shared" si="0"/>
        <v>0</v>
      </c>
      <c r="P13" s="175">
        <v>0</v>
      </c>
      <c r="Q13" s="175">
        <f>SUM(M13:P13)</f>
        <v>0</v>
      </c>
      <c r="R13" s="176"/>
      <c r="S13" s="176"/>
      <c r="T13" s="178"/>
      <c r="U13" s="176"/>
      <c r="V13" s="176"/>
      <c r="W13" s="176"/>
    </row>
    <row r="14" spans="2:25" x14ac:dyDescent="0.2">
      <c r="T14" s="169"/>
      <c r="Y14" s="179" t="s">
        <v>30</v>
      </c>
    </row>
    <row r="15" spans="2:25" x14ac:dyDescent="0.2">
      <c r="D15" s="1" t="s">
        <v>31</v>
      </c>
      <c r="E15" s="134" t="s">
        <v>32</v>
      </c>
      <c r="G15" s="51"/>
      <c r="H15" s="51"/>
      <c r="I15" s="51"/>
      <c r="J15" s="51"/>
      <c r="K15" s="51"/>
      <c r="M15" s="51">
        <v>0</v>
      </c>
      <c r="N15" s="51">
        <v>0</v>
      </c>
      <c r="O15" s="51">
        <v>0</v>
      </c>
      <c r="P15" s="51">
        <v>0</v>
      </c>
      <c r="Q15" s="51">
        <f t="shared" ref="Q15:Q20" si="1">SUM(M15:P15)</f>
        <v>0</v>
      </c>
      <c r="R15" s="51"/>
      <c r="S15" s="51"/>
      <c r="T15" s="177"/>
      <c r="U15" s="51"/>
      <c r="V15" s="51"/>
      <c r="W15" s="51"/>
    </row>
    <row r="16" spans="2:25" x14ac:dyDescent="0.2">
      <c r="D16" s="1" t="s">
        <v>33</v>
      </c>
      <c r="E16" s="134" t="s">
        <v>34</v>
      </c>
      <c r="G16" s="51"/>
      <c r="H16" s="51"/>
      <c r="I16" s="51"/>
      <c r="J16" s="51"/>
      <c r="K16" s="51"/>
      <c r="M16" s="51">
        <f>G16</f>
        <v>0</v>
      </c>
      <c r="N16" s="51">
        <f>H16</f>
        <v>0</v>
      </c>
      <c r="O16" s="51">
        <f>I16</f>
        <v>0</v>
      </c>
      <c r="P16" s="51">
        <f>J16</f>
        <v>0</v>
      </c>
      <c r="Q16" s="51">
        <f t="shared" si="1"/>
        <v>0</v>
      </c>
      <c r="R16" s="51"/>
      <c r="S16" s="51"/>
      <c r="T16" s="177"/>
      <c r="U16" s="51"/>
      <c r="V16" s="51"/>
      <c r="W16" s="51"/>
      <c r="Y16" s="169" t="s">
        <v>35</v>
      </c>
    </row>
    <row r="17" spans="2:25" x14ac:dyDescent="0.2">
      <c r="D17" s="111"/>
      <c r="E17" s="134" t="s">
        <v>36</v>
      </c>
      <c r="G17" s="51"/>
      <c r="H17" s="51"/>
      <c r="I17" s="51"/>
      <c r="J17" s="51"/>
      <c r="K17" s="51"/>
      <c r="M17" s="51">
        <v>0</v>
      </c>
      <c r="N17" s="51">
        <v>0</v>
      </c>
      <c r="O17" s="51">
        <v>0</v>
      </c>
      <c r="P17" s="51">
        <v>0</v>
      </c>
      <c r="Q17" s="51">
        <f t="shared" si="1"/>
        <v>0</v>
      </c>
      <c r="R17" s="51"/>
      <c r="S17" s="51"/>
      <c r="T17" s="177"/>
      <c r="U17" s="51"/>
      <c r="V17" s="51"/>
      <c r="W17" s="51"/>
      <c r="Y17" s="180">
        <v>614800</v>
      </c>
    </row>
    <row r="18" spans="2:25" x14ac:dyDescent="0.2">
      <c r="E18" s="134" t="s">
        <v>37</v>
      </c>
      <c r="G18" s="51"/>
      <c r="H18" s="51"/>
      <c r="I18" s="51"/>
      <c r="J18" s="51"/>
      <c r="K18" s="51"/>
      <c r="M18" s="51">
        <v>0</v>
      </c>
      <c r="N18" s="51">
        <v>0</v>
      </c>
      <c r="O18" s="51">
        <v>0</v>
      </c>
      <c r="P18" s="51">
        <v>0</v>
      </c>
      <c r="Q18" s="51">
        <f t="shared" si="1"/>
        <v>0</v>
      </c>
      <c r="R18" s="51"/>
      <c r="S18" s="51"/>
      <c r="T18" s="177"/>
      <c r="U18" s="51"/>
      <c r="V18" s="51"/>
      <c r="W18" s="51"/>
    </row>
    <row r="19" spans="2:25" x14ac:dyDescent="0.2">
      <c r="E19" s="134" t="s">
        <v>38</v>
      </c>
      <c r="G19" s="51"/>
      <c r="H19" s="51"/>
      <c r="I19" s="51"/>
      <c r="J19" s="51"/>
      <c r="K19" s="51"/>
      <c r="M19" s="51">
        <f>G19</f>
        <v>0</v>
      </c>
      <c r="N19" s="51">
        <f>H19</f>
        <v>0</v>
      </c>
      <c r="O19" s="51">
        <f>I19</f>
        <v>0</v>
      </c>
      <c r="P19" s="51">
        <f>J19</f>
        <v>0</v>
      </c>
      <c r="Q19" s="51">
        <f t="shared" si="1"/>
        <v>0</v>
      </c>
      <c r="R19" s="51"/>
      <c r="S19" s="51"/>
      <c r="T19" s="177"/>
      <c r="U19" s="51"/>
      <c r="V19" s="51"/>
      <c r="W19" s="51"/>
      <c r="Y19" s="169" t="s">
        <v>39</v>
      </c>
    </row>
    <row r="20" spans="2:25" x14ac:dyDescent="0.2">
      <c r="E20" s="134" t="s">
        <v>40</v>
      </c>
      <c r="G20" s="181"/>
      <c r="H20" s="181"/>
      <c r="I20" s="181"/>
      <c r="J20" s="181"/>
      <c r="K20" s="181"/>
      <c r="M20" s="51">
        <v>0</v>
      </c>
      <c r="N20" s="51">
        <v>0</v>
      </c>
      <c r="O20" s="51">
        <v>0</v>
      </c>
      <c r="P20" s="51">
        <v>0</v>
      </c>
      <c r="Q20" s="51">
        <f t="shared" si="1"/>
        <v>0</v>
      </c>
      <c r="R20" s="51"/>
      <c r="S20" s="51"/>
      <c r="T20" s="177"/>
      <c r="U20" s="51"/>
      <c r="V20" s="51"/>
      <c r="W20" s="51"/>
      <c r="Y20" s="180">
        <f>31030+1679</f>
        <v>32709</v>
      </c>
    </row>
    <row r="21" spans="2:25" x14ac:dyDescent="0.2">
      <c r="D21" s="168" t="s">
        <v>41</v>
      </c>
      <c r="E21" s="134"/>
      <c r="G21" s="182"/>
      <c r="H21" s="182"/>
      <c r="I21" s="182"/>
      <c r="J21" s="182"/>
      <c r="K21" s="182"/>
      <c r="M21" s="183">
        <f>M9+M12+SUM(M15:M20)</f>
        <v>0</v>
      </c>
      <c r="N21" s="183">
        <f>N9+N12+SUM(N15:N20)</f>
        <v>0</v>
      </c>
      <c r="O21" s="183">
        <f>O9+O12+SUM(O15:O20)</f>
        <v>0</v>
      </c>
      <c r="P21" s="183">
        <f>P9+P12+SUM(P15:P20)</f>
        <v>0</v>
      </c>
      <c r="Q21" s="183">
        <f>Q9+Q12+SUM(Q15:Q20)</f>
        <v>0</v>
      </c>
      <c r="R21" s="182"/>
      <c r="S21" s="182"/>
      <c r="T21" s="184"/>
      <c r="U21" s="182"/>
      <c r="V21" s="182"/>
      <c r="W21" s="182"/>
    </row>
    <row r="22" spans="2:25" x14ac:dyDescent="0.2">
      <c r="E22" s="134"/>
      <c r="G22" s="51"/>
      <c r="H22" s="51"/>
      <c r="I22" s="51"/>
      <c r="J22" s="51"/>
      <c r="K22" s="51"/>
      <c r="N22" s="51"/>
      <c r="O22" s="51"/>
      <c r="P22" s="51"/>
      <c r="Q22" s="51"/>
      <c r="R22" s="51"/>
      <c r="S22" s="51"/>
      <c r="T22" s="177"/>
      <c r="U22" s="51"/>
      <c r="V22" s="51"/>
      <c r="W22" s="51"/>
      <c r="Y22" s="169" t="s">
        <v>42</v>
      </c>
    </row>
    <row r="23" spans="2:25" x14ac:dyDescent="0.2">
      <c r="B23" s="168" t="s">
        <v>43</v>
      </c>
      <c r="E23" s="134" t="s">
        <v>44</v>
      </c>
      <c r="G23" s="181"/>
      <c r="H23" s="181"/>
      <c r="I23" s="181"/>
      <c r="J23" s="181"/>
      <c r="K23" s="181"/>
      <c r="M23" s="181">
        <f>$Q$23*G$79</f>
        <v>0</v>
      </c>
      <c r="N23" s="181">
        <f>$Q$23*H$79</f>
        <v>0</v>
      </c>
      <c r="O23" s="181">
        <f>$Q$23*I$79</f>
        <v>0</v>
      </c>
      <c r="P23" s="181">
        <v>0</v>
      </c>
      <c r="Q23" s="181">
        <f>K23*Y23</f>
        <v>0</v>
      </c>
      <c r="R23" s="51"/>
      <c r="S23" s="51"/>
      <c r="T23" s="177">
        <f>251603.59-K23</f>
        <v>251603.59</v>
      </c>
      <c r="U23" s="51"/>
      <c r="V23" s="51"/>
      <c r="W23" s="51"/>
      <c r="Y23" s="185">
        <f>Y20/Y17</f>
        <v>5.320266753415745E-2</v>
      </c>
    </row>
    <row r="24" spans="2:25" x14ac:dyDescent="0.2">
      <c r="B24" s="168"/>
      <c r="D24" s="168" t="s">
        <v>45</v>
      </c>
      <c r="E24" s="134"/>
      <c r="G24" s="182"/>
      <c r="H24" s="182"/>
      <c r="I24" s="182"/>
      <c r="J24" s="182"/>
      <c r="K24" s="182"/>
      <c r="M24" s="182">
        <f>SUM(M23)</f>
        <v>0</v>
      </c>
      <c r="N24" s="182">
        <f>SUM(N23)</f>
        <v>0</v>
      </c>
      <c r="O24" s="182">
        <f>SUM(O23)</f>
        <v>0</v>
      </c>
      <c r="P24" s="182">
        <f>SUM(P23)</f>
        <v>0</v>
      </c>
      <c r="Q24" s="182">
        <f>SUM(M24:P24)</f>
        <v>0</v>
      </c>
      <c r="R24" s="182"/>
      <c r="S24" s="182"/>
      <c r="T24" s="184"/>
      <c r="U24" s="182"/>
      <c r="V24" s="182"/>
      <c r="W24" s="182"/>
    </row>
    <row r="25" spans="2:25" x14ac:dyDescent="0.2">
      <c r="B25" s="168"/>
    </row>
    <row r="26" spans="2:25" x14ac:dyDescent="0.2">
      <c r="B26" s="168" t="s">
        <v>46</v>
      </c>
      <c r="E26" s="134" t="s">
        <v>47</v>
      </c>
      <c r="G26" s="51"/>
      <c r="H26" s="51"/>
      <c r="I26" s="51"/>
      <c r="J26" s="51"/>
      <c r="K26" s="51"/>
      <c r="M26" s="51">
        <v>0</v>
      </c>
      <c r="N26" s="51">
        <v>0</v>
      </c>
      <c r="O26" s="51">
        <v>0</v>
      </c>
      <c r="P26" s="51">
        <v>0</v>
      </c>
      <c r="Q26" s="51">
        <f t="shared" ref="Q26:Q31" si="2">SUM(M26:P26)</f>
        <v>0</v>
      </c>
      <c r="R26" s="51"/>
      <c r="S26" s="51"/>
      <c r="T26" s="51"/>
      <c r="U26" s="51"/>
      <c r="V26" s="51"/>
      <c r="W26" s="51"/>
    </row>
    <row r="27" spans="2:25" x14ac:dyDescent="0.2">
      <c r="B27" s="168"/>
      <c r="E27" s="134" t="s">
        <v>48</v>
      </c>
      <c r="G27" s="51"/>
      <c r="H27" s="51"/>
      <c r="I27" s="51"/>
      <c r="J27" s="51"/>
      <c r="K27" s="51"/>
      <c r="M27" s="51">
        <f>G27</f>
        <v>0</v>
      </c>
      <c r="N27" s="51">
        <f>H27</f>
        <v>0</v>
      </c>
      <c r="O27" s="51">
        <f>I27</f>
        <v>0</v>
      </c>
      <c r="P27" s="51">
        <f>J27</f>
        <v>0</v>
      </c>
      <c r="Q27" s="51">
        <f>SUM(M27:P27)</f>
        <v>0</v>
      </c>
      <c r="R27" s="51"/>
      <c r="S27" s="51"/>
      <c r="T27" s="51"/>
      <c r="U27" s="51"/>
      <c r="V27" s="51"/>
      <c r="W27" s="51"/>
    </row>
    <row r="28" spans="2:25" x14ac:dyDescent="0.2">
      <c r="B28" s="168"/>
      <c r="E28" s="1" t="s">
        <v>49</v>
      </c>
      <c r="G28" s="51"/>
      <c r="H28" s="51"/>
      <c r="I28" s="51"/>
      <c r="J28" s="51"/>
      <c r="K28" s="51"/>
      <c r="M28" s="51">
        <v>0</v>
      </c>
      <c r="N28" s="51">
        <v>0</v>
      </c>
      <c r="O28" s="51">
        <v>0</v>
      </c>
      <c r="P28" s="51">
        <v>0</v>
      </c>
      <c r="Q28" s="51">
        <f t="shared" si="2"/>
        <v>0</v>
      </c>
      <c r="R28" s="51"/>
      <c r="S28" s="51"/>
      <c r="T28" s="51"/>
      <c r="U28" s="51"/>
      <c r="V28" s="51"/>
      <c r="W28" s="51"/>
    </row>
    <row r="29" spans="2:25" x14ac:dyDescent="0.2">
      <c r="B29" s="168"/>
      <c r="E29" s="134" t="s">
        <v>50</v>
      </c>
      <c r="G29" s="51"/>
      <c r="H29" s="51"/>
      <c r="I29" s="51"/>
      <c r="J29" s="51"/>
      <c r="K29" s="51"/>
      <c r="M29" s="51">
        <f t="shared" ref="M29:P30" si="3">G29</f>
        <v>0</v>
      </c>
      <c r="N29" s="51">
        <f t="shared" si="3"/>
        <v>0</v>
      </c>
      <c r="O29" s="51">
        <f t="shared" si="3"/>
        <v>0</v>
      </c>
      <c r="P29" s="51">
        <f t="shared" si="3"/>
        <v>0</v>
      </c>
      <c r="Q29" s="51">
        <f t="shared" si="2"/>
        <v>0</v>
      </c>
      <c r="R29" s="51"/>
      <c r="S29" s="51"/>
      <c r="T29" s="51"/>
      <c r="U29" s="51"/>
      <c r="V29" s="51"/>
      <c r="W29" s="51"/>
    </row>
    <row r="30" spans="2:25" x14ac:dyDescent="0.2">
      <c r="B30" s="168"/>
      <c r="E30" s="134" t="s">
        <v>51</v>
      </c>
      <c r="G30" s="181"/>
      <c r="H30" s="181"/>
      <c r="I30" s="181"/>
      <c r="J30" s="181"/>
      <c r="K30" s="181"/>
      <c r="M30" s="181">
        <f t="shared" si="3"/>
        <v>0</v>
      </c>
      <c r="N30" s="181">
        <f t="shared" si="3"/>
        <v>0</v>
      </c>
      <c r="O30" s="181">
        <f t="shared" si="3"/>
        <v>0</v>
      </c>
      <c r="P30" s="181">
        <f>J30</f>
        <v>0</v>
      </c>
      <c r="Q30" s="181">
        <f t="shared" si="2"/>
        <v>0</v>
      </c>
      <c r="R30" s="51"/>
      <c r="S30" s="51"/>
      <c r="T30" s="51"/>
      <c r="U30" s="51"/>
      <c r="V30" s="51"/>
      <c r="W30" s="51"/>
    </row>
    <row r="31" spans="2:25" x14ac:dyDescent="0.2">
      <c r="B31" s="168"/>
      <c r="D31" s="168" t="s">
        <v>52</v>
      </c>
      <c r="G31" s="182"/>
      <c r="H31" s="182"/>
      <c r="I31" s="182"/>
      <c r="J31" s="182"/>
      <c r="K31" s="182"/>
      <c r="M31" s="182">
        <f>SUM(M26:M30)</f>
        <v>0</v>
      </c>
      <c r="N31" s="182">
        <f>SUM(N26:N30)</f>
        <v>0</v>
      </c>
      <c r="O31" s="182">
        <f>SUM(O26:O30)</f>
        <v>0</v>
      </c>
      <c r="P31" s="182">
        <f>SUM(P26:P30)</f>
        <v>0</v>
      </c>
      <c r="Q31" s="182">
        <f t="shared" si="2"/>
        <v>0</v>
      </c>
      <c r="R31" s="182"/>
      <c r="S31" s="182"/>
      <c r="T31" s="182"/>
      <c r="U31" s="182"/>
      <c r="V31" s="182"/>
      <c r="W31" s="182"/>
    </row>
    <row r="32" spans="2:25" x14ac:dyDescent="0.2">
      <c r="B32" s="168"/>
    </row>
    <row r="33" spans="2:23" x14ac:dyDescent="0.2">
      <c r="B33" s="168" t="s">
        <v>53</v>
      </c>
      <c r="D33" s="168" t="s">
        <v>54</v>
      </c>
      <c r="E33" s="1" t="s">
        <v>55</v>
      </c>
      <c r="G33" s="51"/>
      <c r="H33" s="51"/>
      <c r="I33" s="51"/>
      <c r="J33" s="51"/>
      <c r="K33" s="51"/>
      <c r="M33" s="51">
        <f t="shared" ref="M33:P34" si="4">G33</f>
        <v>0</v>
      </c>
      <c r="N33" s="51">
        <f t="shared" si="4"/>
        <v>0</v>
      </c>
      <c r="O33" s="51">
        <f t="shared" si="4"/>
        <v>0</v>
      </c>
      <c r="P33" s="51">
        <f t="shared" si="4"/>
        <v>0</v>
      </c>
      <c r="Q33" s="51">
        <f>SUM(M33:P33)</f>
        <v>0</v>
      </c>
      <c r="R33" s="51"/>
      <c r="S33" s="51"/>
      <c r="T33" s="51"/>
      <c r="U33" s="51"/>
      <c r="V33" s="51"/>
      <c r="W33" s="51"/>
    </row>
    <row r="34" spans="2:23" x14ac:dyDescent="0.2">
      <c r="B34" s="168" t="s">
        <v>56</v>
      </c>
      <c r="D34" s="168" t="s">
        <v>57</v>
      </c>
      <c r="E34" s="1" t="s">
        <v>58</v>
      </c>
      <c r="G34" s="51"/>
      <c r="H34" s="51"/>
      <c r="I34" s="51"/>
      <c r="J34" s="51"/>
      <c r="K34" s="51"/>
      <c r="M34" s="51">
        <f t="shared" si="4"/>
        <v>0</v>
      </c>
      <c r="N34" s="51">
        <f t="shared" si="4"/>
        <v>0</v>
      </c>
      <c r="O34" s="51">
        <f t="shared" si="4"/>
        <v>0</v>
      </c>
      <c r="P34" s="51">
        <f t="shared" si="4"/>
        <v>0</v>
      </c>
      <c r="Q34" s="51">
        <f>SUM(M34:P34)</f>
        <v>0</v>
      </c>
      <c r="R34" s="51"/>
      <c r="S34" s="51"/>
      <c r="T34" s="51"/>
      <c r="U34" s="51"/>
      <c r="V34" s="51"/>
      <c r="W34" s="51"/>
    </row>
    <row r="35" spans="2:23" x14ac:dyDescent="0.2">
      <c r="D35" s="168"/>
      <c r="Q35" s="51"/>
      <c r="R35" s="51"/>
      <c r="S35" s="51"/>
      <c r="T35" s="51"/>
      <c r="U35" s="51"/>
      <c r="V35" s="51"/>
      <c r="W35" s="51"/>
    </row>
    <row r="36" spans="2:23" x14ac:dyDescent="0.2">
      <c r="D36" s="168" t="s">
        <v>59</v>
      </c>
      <c r="E36" s="1" t="s">
        <v>60</v>
      </c>
      <c r="G36" s="51"/>
      <c r="H36" s="51"/>
      <c r="I36" s="51"/>
      <c r="J36" s="51"/>
      <c r="K36" s="51"/>
      <c r="M36" s="51">
        <f t="shared" ref="M36:P41" si="5">G36</f>
        <v>0</v>
      </c>
      <c r="N36" s="51">
        <f t="shared" si="5"/>
        <v>0</v>
      </c>
      <c r="O36" s="51">
        <f t="shared" si="5"/>
        <v>0</v>
      </c>
      <c r="P36" s="51">
        <f t="shared" si="5"/>
        <v>0</v>
      </c>
      <c r="Q36" s="51">
        <f t="shared" ref="Q36:Q41" si="6">SUM(M36:P36)</f>
        <v>0</v>
      </c>
      <c r="R36" s="51"/>
      <c r="S36" s="51"/>
      <c r="T36" s="51"/>
      <c r="U36" s="51"/>
      <c r="V36" s="51"/>
      <c r="W36" s="51"/>
    </row>
    <row r="37" spans="2:23" x14ac:dyDescent="0.2">
      <c r="D37" s="168" t="s">
        <v>61</v>
      </c>
      <c r="E37" s="1" t="s">
        <v>62</v>
      </c>
      <c r="G37" s="51"/>
      <c r="H37" s="51"/>
      <c r="I37" s="51"/>
      <c r="J37" s="51"/>
      <c r="K37" s="51"/>
      <c r="M37" s="51">
        <f t="shared" si="5"/>
        <v>0</v>
      </c>
      <c r="N37" s="51">
        <f t="shared" si="5"/>
        <v>0</v>
      </c>
      <c r="O37" s="51">
        <f t="shared" si="5"/>
        <v>0</v>
      </c>
      <c r="P37" s="51">
        <f t="shared" si="5"/>
        <v>0</v>
      </c>
      <c r="Q37" s="51">
        <f t="shared" si="6"/>
        <v>0</v>
      </c>
      <c r="R37" s="51"/>
      <c r="S37" s="51"/>
      <c r="T37" s="51"/>
      <c r="U37" s="51"/>
      <c r="V37" s="51"/>
      <c r="W37" s="51"/>
    </row>
    <row r="38" spans="2:23" x14ac:dyDescent="0.2">
      <c r="D38" s="168"/>
      <c r="E38" s="1" t="s">
        <v>63</v>
      </c>
      <c r="G38" s="51"/>
      <c r="H38" s="51"/>
      <c r="I38" s="51"/>
      <c r="J38" s="51"/>
      <c r="K38" s="51"/>
      <c r="M38" s="51">
        <f t="shared" si="5"/>
        <v>0</v>
      </c>
      <c r="N38" s="51">
        <f t="shared" si="5"/>
        <v>0</v>
      </c>
      <c r="O38" s="51">
        <f t="shared" si="5"/>
        <v>0</v>
      </c>
      <c r="P38" s="51">
        <f t="shared" si="5"/>
        <v>0</v>
      </c>
      <c r="Q38" s="51">
        <f t="shared" si="6"/>
        <v>0</v>
      </c>
      <c r="R38" s="51"/>
      <c r="S38" s="51"/>
      <c r="T38" s="51"/>
      <c r="U38" s="51"/>
      <c r="V38" s="51"/>
      <c r="W38" s="51"/>
    </row>
    <row r="39" spans="2:23" x14ac:dyDescent="0.2">
      <c r="D39" s="168"/>
      <c r="E39" s="1" t="s">
        <v>64</v>
      </c>
      <c r="G39" s="51"/>
      <c r="H39" s="51"/>
      <c r="I39" s="51"/>
      <c r="J39" s="51"/>
      <c r="K39" s="51"/>
      <c r="M39" s="51">
        <f t="shared" si="5"/>
        <v>0</v>
      </c>
      <c r="N39" s="51">
        <f t="shared" si="5"/>
        <v>0</v>
      </c>
      <c r="O39" s="51">
        <f t="shared" si="5"/>
        <v>0</v>
      </c>
      <c r="P39" s="51">
        <f t="shared" si="5"/>
        <v>0</v>
      </c>
      <c r="Q39" s="51">
        <f t="shared" si="6"/>
        <v>0</v>
      </c>
      <c r="R39" s="51"/>
      <c r="S39" s="51"/>
      <c r="T39" s="51"/>
      <c r="U39" s="51"/>
      <c r="V39" s="51"/>
      <c r="W39" s="51"/>
    </row>
    <row r="40" spans="2:23" x14ac:dyDescent="0.2">
      <c r="D40" s="168"/>
      <c r="E40" s="1" t="s">
        <v>65</v>
      </c>
      <c r="G40" s="51"/>
      <c r="H40" s="51"/>
      <c r="I40" s="51"/>
      <c r="J40" s="51"/>
      <c r="K40" s="51"/>
      <c r="M40" s="51">
        <f t="shared" si="5"/>
        <v>0</v>
      </c>
      <c r="N40" s="51">
        <f t="shared" si="5"/>
        <v>0</v>
      </c>
      <c r="O40" s="51">
        <f t="shared" si="5"/>
        <v>0</v>
      </c>
      <c r="P40" s="51">
        <f t="shared" si="5"/>
        <v>0</v>
      </c>
      <c r="Q40" s="51">
        <f t="shared" si="6"/>
        <v>0</v>
      </c>
      <c r="R40" s="51"/>
      <c r="S40" s="51"/>
      <c r="T40" s="51"/>
      <c r="U40" s="51"/>
      <c r="V40" s="51"/>
      <c r="W40" s="51"/>
    </row>
    <row r="41" spans="2:23" x14ac:dyDescent="0.2">
      <c r="D41" s="168"/>
      <c r="E41" s="1" t="s">
        <v>66</v>
      </c>
      <c r="G41" s="51"/>
      <c r="H41" s="51"/>
      <c r="I41" s="51"/>
      <c r="J41" s="51"/>
      <c r="K41" s="51"/>
      <c r="M41" s="51">
        <f t="shared" si="5"/>
        <v>0</v>
      </c>
      <c r="N41" s="51">
        <f t="shared" si="5"/>
        <v>0</v>
      </c>
      <c r="O41" s="51">
        <f t="shared" si="5"/>
        <v>0</v>
      </c>
      <c r="P41" s="51">
        <f t="shared" si="5"/>
        <v>0</v>
      </c>
      <c r="Q41" s="51">
        <f t="shared" si="6"/>
        <v>0</v>
      </c>
      <c r="R41" s="51"/>
      <c r="S41" s="51"/>
      <c r="T41" s="51"/>
      <c r="U41" s="51"/>
      <c r="V41" s="51"/>
      <c r="W41" s="51"/>
    </row>
    <row r="42" spans="2:23" x14ac:dyDescent="0.2">
      <c r="D42" s="168"/>
      <c r="Q42" s="51"/>
      <c r="R42" s="51"/>
      <c r="S42" s="51"/>
      <c r="T42" s="51"/>
      <c r="U42" s="51"/>
      <c r="V42" s="51"/>
      <c r="W42" s="51"/>
    </row>
    <row r="43" spans="2:23" x14ac:dyDescent="0.2">
      <c r="D43" s="168" t="s">
        <v>67</v>
      </c>
      <c r="G43" s="51"/>
      <c r="H43" s="51">
        <f>H11</f>
        <v>0</v>
      </c>
      <c r="I43" s="51">
        <v>0</v>
      </c>
      <c r="J43" s="51">
        <v>0</v>
      </c>
      <c r="K43" s="51">
        <f>SUM(G43:J43)</f>
        <v>0</v>
      </c>
      <c r="M43" s="51">
        <f>G43</f>
        <v>0</v>
      </c>
      <c r="N43" s="51">
        <f>H43</f>
        <v>0</v>
      </c>
      <c r="O43" s="51">
        <f>I43</f>
        <v>0</v>
      </c>
      <c r="P43" s="51">
        <f>J43</f>
        <v>0</v>
      </c>
      <c r="Q43" s="51">
        <f>SUM(M43:P43)</f>
        <v>0</v>
      </c>
      <c r="R43" s="51"/>
      <c r="S43" s="51"/>
      <c r="T43" s="51"/>
      <c r="U43" s="51"/>
      <c r="V43" s="51"/>
      <c r="W43" s="51"/>
    </row>
    <row r="44" spans="2:23" x14ac:dyDescent="0.2">
      <c r="D44" s="168"/>
    </row>
    <row r="45" spans="2:23" x14ac:dyDescent="0.2">
      <c r="D45" s="168" t="s">
        <v>68</v>
      </c>
      <c r="G45" s="51"/>
      <c r="H45" s="51"/>
      <c r="I45" s="51">
        <v>0</v>
      </c>
      <c r="J45" s="51">
        <v>0</v>
      </c>
      <c r="K45" s="51">
        <f>SUM(G45:J45)</f>
        <v>0</v>
      </c>
      <c r="M45" s="51">
        <f>G45</f>
        <v>0</v>
      </c>
      <c r="N45" s="51">
        <f>H45</f>
        <v>0</v>
      </c>
      <c r="O45" s="51">
        <f>I45</f>
        <v>0</v>
      </c>
      <c r="P45" s="51">
        <f>J45</f>
        <v>0</v>
      </c>
      <c r="Q45" s="51">
        <f>SUM(M45:P45)</f>
        <v>0</v>
      </c>
      <c r="R45" s="51"/>
      <c r="S45" s="51"/>
      <c r="T45" s="51"/>
      <c r="U45" s="51"/>
      <c r="V45" s="51"/>
      <c r="W45" s="51"/>
    </row>
    <row r="46" spans="2:23" x14ac:dyDescent="0.2">
      <c r="D46" s="168"/>
    </row>
    <row r="47" spans="2:23" x14ac:dyDescent="0.2">
      <c r="D47" s="168" t="s">
        <v>69</v>
      </c>
      <c r="G47" s="51"/>
      <c r="H47" s="51"/>
      <c r="I47" s="51">
        <v>0</v>
      </c>
      <c r="J47" s="51">
        <v>0</v>
      </c>
      <c r="K47" s="51">
        <f>SUM(G47:J47)</f>
        <v>0</v>
      </c>
      <c r="M47" s="51">
        <f>G47</f>
        <v>0</v>
      </c>
      <c r="N47" s="51">
        <f>H47</f>
        <v>0</v>
      </c>
      <c r="O47" s="51">
        <f>I47</f>
        <v>0</v>
      </c>
      <c r="P47" s="51">
        <f>J47</f>
        <v>0</v>
      </c>
      <c r="Q47" s="51">
        <f>SUM(M47:P47)</f>
        <v>0</v>
      </c>
      <c r="R47" s="51"/>
      <c r="S47" s="51"/>
      <c r="T47" s="51"/>
      <c r="U47" s="51"/>
      <c r="V47" s="51"/>
      <c r="W47" s="51"/>
    </row>
    <row r="48" spans="2:23" x14ac:dyDescent="0.2">
      <c r="D48" s="168"/>
    </row>
    <row r="49" spans="1:24" x14ac:dyDescent="0.2">
      <c r="D49" s="168" t="s">
        <v>70</v>
      </c>
      <c r="G49" s="51"/>
      <c r="H49" s="51">
        <v>0</v>
      </c>
      <c r="I49" s="51">
        <v>0</v>
      </c>
      <c r="J49" s="51">
        <v>0</v>
      </c>
      <c r="K49" s="51">
        <f>SUM(G49:J49)</f>
        <v>0</v>
      </c>
      <c r="M49" s="51">
        <f>G49</f>
        <v>0</v>
      </c>
      <c r="N49" s="51">
        <f>H49</f>
        <v>0</v>
      </c>
      <c r="O49" s="51">
        <f>I49</f>
        <v>0</v>
      </c>
      <c r="P49" s="51">
        <f>J49</f>
        <v>0</v>
      </c>
      <c r="Q49" s="51">
        <f>SUM(M49:P49)</f>
        <v>0</v>
      </c>
      <c r="R49" s="51"/>
      <c r="S49" s="51"/>
      <c r="T49" s="51"/>
      <c r="U49" s="51"/>
      <c r="V49" s="51"/>
      <c r="W49" s="51"/>
    </row>
    <row r="50" spans="1:24" x14ac:dyDescent="0.2">
      <c r="D50" s="168" t="s">
        <v>71</v>
      </c>
    </row>
    <row r="51" spans="1:24" x14ac:dyDescent="0.2">
      <c r="D51" s="168"/>
    </row>
    <row r="52" spans="1:24" x14ac:dyDescent="0.2">
      <c r="B52" s="168"/>
      <c r="D52" s="168" t="s">
        <v>66</v>
      </c>
      <c r="G52" s="181"/>
      <c r="H52" s="181">
        <v>0</v>
      </c>
      <c r="I52" s="181">
        <v>0</v>
      </c>
      <c r="J52" s="181">
        <v>0</v>
      </c>
      <c r="K52" s="181">
        <f>SUM(G52:J52)</f>
        <v>0</v>
      </c>
      <c r="M52" s="181">
        <f>G52</f>
        <v>0</v>
      </c>
      <c r="N52" s="181">
        <f>H52</f>
        <v>0</v>
      </c>
      <c r="O52" s="181">
        <f>I52</f>
        <v>0</v>
      </c>
      <c r="P52" s="181">
        <f>J52</f>
        <v>0</v>
      </c>
      <c r="Q52" s="181">
        <f>SUM(M52:P52)</f>
        <v>0</v>
      </c>
      <c r="R52" s="51"/>
      <c r="S52" s="51"/>
      <c r="T52" s="51"/>
      <c r="U52" s="51"/>
      <c r="V52" s="51"/>
      <c r="W52" s="51"/>
    </row>
    <row r="53" spans="1:24" x14ac:dyDescent="0.2">
      <c r="D53" s="168" t="s">
        <v>72</v>
      </c>
      <c r="G53" s="182">
        <f>SUM(G33:G52)</f>
        <v>0</v>
      </c>
      <c r="H53" s="182">
        <f>SUM(H33:H52)</f>
        <v>0</v>
      </c>
      <c r="I53" s="182">
        <f>SUM(I33:I52)</f>
        <v>0</v>
      </c>
      <c r="J53" s="182">
        <f>SUM(J33:J52)</f>
        <v>0</v>
      </c>
      <c r="K53" s="182">
        <f>SUM(G53:J53)</f>
        <v>0</v>
      </c>
      <c r="M53" s="182">
        <f>SUM(M33:M52)</f>
        <v>0</v>
      </c>
      <c r="N53" s="182">
        <f>SUM(N33:N52)</f>
        <v>0</v>
      </c>
      <c r="O53" s="182">
        <f>SUM(O33:O52)</f>
        <v>0</v>
      </c>
      <c r="P53" s="182">
        <f>SUM(P33:P52)</f>
        <v>0</v>
      </c>
      <c r="Q53" s="182">
        <f>SUM(M53:P53)</f>
        <v>0</v>
      </c>
      <c r="R53" s="182"/>
      <c r="S53" s="182"/>
      <c r="T53" s="182"/>
      <c r="U53" s="182"/>
      <c r="V53" s="182"/>
      <c r="W53" s="182"/>
    </row>
    <row r="54" spans="1:24" x14ac:dyDescent="0.2">
      <c r="B54" s="168"/>
      <c r="G54" s="51"/>
    </row>
    <row r="55" spans="1:24" x14ac:dyDescent="0.2">
      <c r="B55" s="168" t="s">
        <v>73</v>
      </c>
      <c r="G55" s="51">
        <v>0</v>
      </c>
      <c r="H55" s="51">
        <v>0</v>
      </c>
      <c r="I55" s="51">
        <v>0</v>
      </c>
      <c r="J55" s="51">
        <v>0</v>
      </c>
      <c r="K55" s="51">
        <f>SUM(G55:J55)</f>
        <v>0</v>
      </c>
      <c r="M55" s="51">
        <v>0</v>
      </c>
      <c r="N55" s="51">
        <v>0</v>
      </c>
      <c r="O55" s="51">
        <v>0</v>
      </c>
      <c r="P55" s="51">
        <v>0</v>
      </c>
      <c r="Q55" s="51">
        <f>SUM(M55:P55)</f>
        <v>0</v>
      </c>
      <c r="R55" s="51"/>
      <c r="S55" s="51"/>
      <c r="T55" s="51"/>
      <c r="U55" s="51"/>
      <c r="V55" s="51"/>
      <c r="W55" s="51"/>
    </row>
    <row r="56" spans="1:24" x14ac:dyDescent="0.2">
      <c r="B56" s="168" t="s">
        <v>74</v>
      </c>
      <c r="D56" s="51"/>
    </row>
    <row r="57" spans="1:24" ht="13.5" thickBot="1" x14ac:dyDescent="0.25">
      <c r="K57" s="51"/>
      <c r="Q57" s="186"/>
      <c r="R57" s="51"/>
      <c r="S57" s="51"/>
      <c r="T57" s="51"/>
      <c r="U57" s="51"/>
      <c r="V57" s="51"/>
      <c r="W57" s="51"/>
    </row>
    <row r="58" spans="1:24" x14ac:dyDescent="0.2">
      <c r="B58" s="168" t="s">
        <v>75</v>
      </c>
      <c r="E58" s="51"/>
      <c r="G58" s="187">
        <f>G21+G24+G31+G53+G55</f>
        <v>0</v>
      </c>
      <c r="H58" s="187">
        <f>H21+H24+H31+H53+H55</f>
        <v>0</v>
      </c>
      <c r="I58" s="187">
        <f>I21+I24+I31+I53+I55</f>
        <v>0</v>
      </c>
      <c r="J58" s="187">
        <f>J21+J24+J31+J53+J55</f>
        <v>0</v>
      </c>
      <c r="K58" s="187">
        <f>SUM(G58:J58)</f>
        <v>0</v>
      </c>
      <c r="L58" s="188"/>
      <c r="M58" s="187">
        <f>M21+M24+M31+M53+M55</f>
        <v>0</v>
      </c>
      <c r="N58" s="187">
        <f>N21+N24+N31+N53+N55</f>
        <v>0</v>
      </c>
      <c r="O58" s="187">
        <f>O21+O24+O31+O53+O55</f>
        <v>0</v>
      </c>
      <c r="P58" s="187">
        <f>P21+P24+P31+P53+P55</f>
        <v>0</v>
      </c>
      <c r="Q58" s="187">
        <f>SUM(M58:P58)</f>
        <v>0</v>
      </c>
      <c r="R58" s="182"/>
      <c r="S58" s="182"/>
      <c r="T58" s="182"/>
      <c r="U58" s="182"/>
      <c r="V58" s="182"/>
      <c r="W58" s="182"/>
    </row>
    <row r="61" spans="1:24" ht="14.25" x14ac:dyDescent="0.2">
      <c r="B61" s="174" t="s">
        <v>76</v>
      </c>
    </row>
    <row r="62" spans="1:24" x14ac:dyDescent="0.2">
      <c r="E62" s="134"/>
    </row>
    <row r="63" spans="1:24" s="169" customFormat="1" x14ac:dyDescent="0.2">
      <c r="A63" s="1"/>
      <c r="B63" s="1"/>
      <c r="C63" s="1"/>
      <c r="D63" s="1" t="s">
        <v>78</v>
      </c>
      <c r="E63" s="134" t="s">
        <v>26</v>
      </c>
      <c r="F63" s="1"/>
      <c r="G63" s="191">
        <v>48235</v>
      </c>
      <c r="H63" s="191">
        <v>24117</v>
      </c>
      <c r="I63" s="191">
        <v>187566</v>
      </c>
      <c r="J63" s="51">
        <v>0</v>
      </c>
      <c r="K63" s="51">
        <f>I63+H63+G63</f>
        <v>259918</v>
      </c>
      <c r="L63" s="1"/>
      <c r="M63" s="51">
        <f>G63</f>
        <v>48235</v>
      </c>
      <c r="N63" s="51">
        <f>H63</f>
        <v>24117</v>
      </c>
      <c r="O63" s="51">
        <f>I63</f>
        <v>187566</v>
      </c>
      <c r="P63" s="51">
        <f>J63</f>
        <v>0</v>
      </c>
      <c r="Q63" s="51">
        <f>K63</f>
        <v>259918</v>
      </c>
      <c r="R63" s="51"/>
      <c r="S63" s="51"/>
      <c r="T63" s="51"/>
      <c r="U63" s="51"/>
      <c r="V63" s="51"/>
      <c r="W63" s="51"/>
      <c r="X63" s="1"/>
    </row>
    <row r="64" spans="1:24" s="169" customFormat="1" ht="13.5" thickBot="1"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s="169" customFormat="1" ht="13.5" thickBot="1" x14ac:dyDescent="0.25">
      <c r="A65" s="1"/>
      <c r="B65" s="168" t="s">
        <v>79</v>
      </c>
      <c r="C65" s="1"/>
      <c r="D65" s="1"/>
      <c r="E65" s="134" t="s">
        <v>26</v>
      </c>
      <c r="F65" s="1"/>
      <c r="G65" s="187">
        <f>G63</f>
        <v>48235</v>
      </c>
      <c r="H65" s="187">
        <f t="shared" ref="H65:Q66" si="7">H63</f>
        <v>24117</v>
      </c>
      <c r="I65" s="187">
        <f t="shared" si="7"/>
        <v>187566</v>
      </c>
      <c r="J65" s="187">
        <f t="shared" si="7"/>
        <v>0</v>
      </c>
      <c r="K65" s="187">
        <f t="shared" si="7"/>
        <v>259918</v>
      </c>
      <c r="L65" s="1"/>
      <c r="M65" s="187">
        <f t="shared" si="7"/>
        <v>48235</v>
      </c>
      <c r="N65" s="187">
        <f t="shared" si="7"/>
        <v>24117</v>
      </c>
      <c r="O65" s="187">
        <f t="shared" si="7"/>
        <v>187566</v>
      </c>
      <c r="P65" s="187">
        <f t="shared" si="7"/>
        <v>0</v>
      </c>
      <c r="Q65" s="187">
        <f t="shared" si="7"/>
        <v>259918</v>
      </c>
      <c r="R65" s="182"/>
      <c r="S65" s="182"/>
      <c r="T65" s="182"/>
      <c r="U65" s="182"/>
      <c r="V65" s="182"/>
      <c r="W65" s="182"/>
      <c r="X65" s="51"/>
    </row>
    <row r="66" spans="1:24" s="169" customFormat="1" x14ac:dyDescent="0.2">
      <c r="A66" s="1"/>
      <c r="B66" s="168"/>
      <c r="C66" s="1"/>
      <c r="D66" s="1"/>
      <c r="E66" s="134" t="s">
        <v>28</v>
      </c>
      <c r="F66" s="1"/>
      <c r="G66" s="187">
        <f>G64</f>
        <v>0</v>
      </c>
      <c r="H66" s="187">
        <f t="shared" si="7"/>
        <v>0</v>
      </c>
      <c r="I66" s="187">
        <f t="shared" si="7"/>
        <v>0</v>
      </c>
      <c r="J66" s="187">
        <f t="shared" si="7"/>
        <v>0</v>
      </c>
      <c r="K66" s="187">
        <f t="shared" si="7"/>
        <v>0</v>
      </c>
      <c r="L66" s="1"/>
      <c r="M66" s="187">
        <f t="shared" si="7"/>
        <v>0</v>
      </c>
      <c r="N66" s="187">
        <f t="shared" si="7"/>
        <v>0</v>
      </c>
      <c r="O66" s="187">
        <f t="shared" si="7"/>
        <v>0</v>
      </c>
      <c r="P66" s="187">
        <f t="shared" si="7"/>
        <v>0</v>
      </c>
      <c r="Q66" s="187">
        <f t="shared" si="7"/>
        <v>0</v>
      </c>
      <c r="R66" s="189"/>
      <c r="S66" s="189"/>
      <c r="T66" s="189"/>
      <c r="U66" s="189"/>
      <c r="V66" s="189"/>
      <c r="W66" s="189"/>
      <c r="X66" s="1"/>
    </row>
    <row r="67" spans="1:24" s="169" customFormat="1" x14ac:dyDescent="0.2">
      <c r="A67" s="1"/>
      <c r="B67" s="1"/>
      <c r="C67" s="1"/>
      <c r="D67" s="1"/>
      <c r="E67" s="1"/>
      <c r="F67" s="1"/>
      <c r="G67" s="1"/>
      <c r="H67" s="1"/>
      <c r="I67" s="1"/>
      <c r="J67" s="1"/>
      <c r="K67" s="51"/>
      <c r="L67" s="1"/>
      <c r="M67" s="1"/>
      <c r="N67" s="1"/>
      <c r="O67" s="1"/>
      <c r="P67" s="1"/>
      <c r="Q67" s="1"/>
      <c r="R67" s="1"/>
      <c r="S67" s="1"/>
      <c r="T67" s="1"/>
      <c r="U67" s="1"/>
      <c r="V67" s="1"/>
      <c r="W67" s="1"/>
      <c r="X67" s="51"/>
    </row>
    <row r="68" spans="1:24" s="169" customFormat="1" ht="13.5" thickBo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s="169" customFormat="1" ht="15" thickBot="1" x14ac:dyDescent="0.25">
      <c r="A69" s="1"/>
      <c r="B69" s="174" t="s">
        <v>80</v>
      </c>
      <c r="C69" s="1"/>
      <c r="D69" s="1"/>
      <c r="E69" s="1"/>
      <c r="F69" s="1"/>
      <c r="G69" s="190">
        <f t="shared" ref="G69:Q69" si="8">G58+G65</f>
        <v>48235</v>
      </c>
      <c r="H69" s="190">
        <f t="shared" si="8"/>
        <v>24117</v>
      </c>
      <c r="I69" s="190">
        <f t="shared" si="8"/>
        <v>187566</v>
      </c>
      <c r="J69" s="190">
        <f t="shared" si="8"/>
        <v>0</v>
      </c>
      <c r="K69" s="190">
        <f>K58+K65</f>
        <v>259918</v>
      </c>
      <c r="L69" s="190">
        <f t="shared" si="8"/>
        <v>0</v>
      </c>
      <c r="M69" s="190">
        <f t="shared" si="8"/>
        <v>48235</v>
      </c>
      <c r="N69" s="190">
        <f t="shared" si="8"/>
        <v>24117</v>
      </c>
      <c r="O69" s="190">
        <f t="shared" si="8"/>
        <v>187566</v>
      </c>
      <c r="P69" s="190">
        <f t="shared" si="8"/>
        <v>0</v>
      </c>
      <c r="Q69" s="190">
        <f t="shared" si="8"/>
        <v>259918</v>
      </c>
      <c r="R69" s="182"/>
      <c r="S69" s="182"/>
      <c r="T69" s="182"/>
      <c r="U69" s="182"/>
      <c r="V69" s="182"/>
      <c r="W69" s="182"/>
      <c r="X69" s="1"/>
    </row>
    <row r="70" spans="1:24" s="169" customFormat="1" ht="13.5" thickTop="1" x14ac:dyDescent="0.2">
      <c r="A70" s="1"/>
      <c r="B70" s="1"/>
      <c r="C70" s="1"/>
      <c r="D70" s="1"/>
      <c r="E70" s="1"/>
      <c r="F70" s="1"/>
      <c r="G70" s="1"/>
      <c r="H70" s="1"/>
      <c r="I70" s="191"/>
      <c r="J70" s="1"/>
      <c r="K70" s="1"/>
      <c r="L70" s="1"/>
      <c r="M70" s="1"/>
      <c r="N70" s="1"/>
      <c r="O70" s="192"/>
      <c r="P70" s="1"/>
      <c r="Q70" s="1"/>
      <c r="R70" s="1"/>
      <c r="S70" s="1"/>
      <c r="T70" s="1"/>
      <c r="U70" s="1"/>
      <c r="V70" s="1"/>
      <c r="W70" s="1"/>
      <c r="X70" s="1"/>
    </row>
    <row r="71" spans="1:24" x14ac:dyDescent="0.2">
      <c r="I71" s="191"/>
      <c r="K71" s="51"/>
      <c r="O71" s="192"/>
    </row>
    <row r="72" spans="1:24" x14ac:dyDescent="0.2">
      <c r="G72" s="111"/>
      <c r="H72" s="111"/>
      <c r="I72" s="111"/>
      <c r="J72" s="51"/>
      <c r="K72" s="51"/>
      <c r="O72" s="192"/>
    </row>
    <row r="73" spans="1:24" x14ac:dyDescent="0.2">
      <c r="G73" s="97"/>
      <c r="H73" s="97"/>
      <c r="I73" s="97"/>
      <c r="K73" s="51"/>
      <c r="O73" s="193"/>
    </row>
    <row r="74" spans="1:24" x14ac:dyDescent="0.2">
      <c r="G74" s="194"/>
      <c r="H74" s="194"/>
      <c r="I74" s="194"/>
      <c r="K74" s="51"/>
      <c r="O74" s="192"/>
    </row>
    <row r="75" spans="1:24" x14ac:dyDescent="0.2">
      <c r="G75" s="191"/>
      <c r="H75" s="191"/>
      <c r="I75" s="191"/>
      <c r="J75" s="51"/>
      <c r="K75" s="51"/>
      <c r="M75" s="195"/>
      <c r="N75" s="195"/>
      <c r="O75" s="196"/>
      <c r="P75" s="195"/>
      <c r="Q75" s="195"/>
      <c r="R75" s="195"/>
      <c r="S75" s="195"/>
      <c r="T75" s="195"/>
      <c r="U75" s="195"/>
    </row>
    <row r="76" spans="1:24" x14ac:dyDescent="0.2">
      <c r="G76" s="191"/>
      <c r="H76" s="191"/>
      <c r="I76" s="191"/>
      <c r="K76" s="51"/>
      <c r="M76" s="195"/>
      <c r="N76" s="195"/>
      <c r="O76" s="196"/>
      <c r="P76" s="195"/>
      <c r="Q76" s="195"/>
      <c r="R76" s="195"/>
      <c r="S76" s="195"/>
      <c r="T76" s="195"/>
      <c r="U76" s="195"/>
    </row>
    <row r="77" spans="1:24" x14ac:dyDescent="0.2">
      <c r="G77" s="197"/>
      <c r="I77" s="191"/>
      <c r="M77" s="195"/>
      <c r="N77" s="195"/>
      <c r="O77" s="196"/>
      <c r="P77" s="195"/>
      <c r="Q77" s="195"/>
      <c r="R77" s="195"/>
      <c r="S77" s="195"/>
      <c r="T77" s="195"/>
      <c r="U77" s="195"/>
    </row>
    <row r="78" spans="1:24" ht="13.5" thickBot="1" x14ac:dyDescent="0.25">
      <c r="M78" s="195"/>
      <c r="N78" s="195"/>
      <c r="O78" s="195"/>
      <c r="P78" s="195"/>
      <c r="Q78" s="195"/>
      <c r="R78" s="195"/>
      <c r="S78" s="195"/>
      <c r="T78" s="195"/>
      <c r="U78" s="195"/>
    </row>
    <row r="79" spans="1:24" x14ac:dyDescent="0.2">
      <c r="E79" s="198"/>
      <c r="F79" s="199"/>
      <c r="G79" s="200">
        <f>G69/K69</f>
        <v>0.1855777591394209</v>
      </c>
      <c r="H79" s="200">
        <f>H69/K69</f>
        <v>9.2786955886087152E-2</v>
      </c>
      <c r="I79" s="200">
        <f>I69/K69</f>
        <v>0.72163528497449192</v>
      </c>
      <c r="J79" s="199"/>
      <c r="K79" s="201"/>
      <c r="M79" s="202"/>
      <c r="N79" s="76"/>
      <c r="O79" s="76"/>
      <c r="P79" s="76"/>
      <c r="Q79" s="203"/>
      <c r="R79" s="169"/>
      <c r="S79" s="169"/>
      <c r="T79" s="169"/>
      <c r="U79" s="169"/>
    </row>
    <row r="80" spans="1:24" x14ac:dyDescent="0.2">
      <c r="E80" s="204"/>
      <c r="K80" s="205"/>
      <c r="M80" s="206"/>
      <c r="N80" s="169"/>
      <c r="O80" s="169"/>
      <c r="P80" s="169"/>
      <c r="Q80" s="169"/>
      <c r="R80" s="169"/>
      <c r="S80" s="169"/>
      <c r="T80" s="169"/>
      <c r="U80" s="169"/>
    </row>
    <row r="81" spans="5:25" x14ac:dyDescent="0.2">
      <c r="E81" s="204" t="s">
        <v>81</v>
      </c>
      <c r="K81" s="207">
        <v>250000</v>
      </c>
      <c r="M81" s="208"/>
      <c r="N81" s="203"/>
      <c r="O81" s="203"/>
      <c r="P81" s="203"/>
      <c r="Q81" s="203"/>
      <c r="R81" s="169"/>
      <c r="S81" s="169"/>
      <c r="T81" s="169"/>
      <c r="U81" s="169"/>
    </row>
    <row r="82" spans="5:25" x14ac:dyDescent="0.2">
      <c r="E82" s="204" t="s">
        <v>82</v>
      </c>
      <c r="K82" s="207">
        <v>0</v>
      </c>
      <c r="M82" s="195"/>
      <c r="N82" s="169"/>
      <c r="O82" s="169"/>
      <c r="P82" s="169"/>
      <c r="Q82" s="169"/>
      <c r="R82" s="169"/>
      <c r="S82" s="169"/>
      <c r="T82" s="169"/>
      <c r="U82" s="169"/>
    </row>
    <row r="83" spans="5:25" x14ac:dyDescent="0.2">
      <c r="E83" s="204"/>
      <c r="K83" s="207"/>
      <c r="M83" s="208"/>
      <c r="N83" s="169"/>
      <c r="O83" s="169"/>
      <c r="P83" s="169"/>
      <c r="Q83" s="169"/>
      <c r="R83" s="169"/>
      <c r="S83" s="169"/>
      <c r="T83" s="169"/>
      <c r="U83" s="169"/>
    </row>
    <row r="84" spans="5:25" x14ac:dyDescent="0.2">
      <c r="E84" s="204" t="s">
        <v>83</v>
      </c>
      <c r="K84" s="209">
        <f>SUM(K81:K83)</f>
        <v>250000</v>
      </c>
      <c r="M84" s="208"/>
      <c r="N84" s="169"/>
      <c r="O84" s="169"/>
      <c r="P84" s="169"/>
      <c r="Q84" s="169"/>
      <c r="R84" s="169"/>
      <c r="S84" s="169"/>
      <c r="T84" s="169"/>
      <c r="U84" s="169"/>
    </row>
    <row r="85" spans="5:25" x14ac:dyDescent="0.2">
      <c r="E85" s="204" t="s">
        <v>84</v>
      </c>
      <c r="K85" s="207"/>
      <c r="M85" s="208"/>
      <c r="N85" s="169"/>
      <c r="O85" s="210"/>
      <c r="P85" s="210"/>
      <c r="Q85" s="203"/>
      <c r="R85" s="169"/>
      <c r="S85" s="169"/>
      <c r="T85" s="169"/>
      <c r="U85" s="169"/>
    </row>
    <row r="86" spans="5:25" x14ac:dyDescent="0.2">
      <c r="E86" s="204" t="s">
        <v>85</v>
      </c>
      <c r="K86" s="207"/>
      <c r="M86" s="208"/>
      <c r="N86" s="169"/>
      <c r="O86" s="210"/>
      <c r="P86" s="210"/>
      <c r="Q86" s="203"/>
      <c r="R86" s="169"/>
      <c r="S86" s="169"/>
      <c r="T86" s="169"/>
      <c r="U86" s="169"/>
    </row>
    <row r="87" spans="5:25" x14ac:dyDescent="0.2">
      <c r="E87" s="204"/>
      <c r="K87" s="207"/>
      <c r="M87" s="208"/>
      <c r="N87" s="169"/>
      <c r="O87" s="210"/>
      <c r="P87" s="210"/>
      <c r="Q87" s="203"/>
      <c r="R87" s="169"/>
      <c r="S87" s="169"/>
      <c r="T87" s="169"/>
      <c r="U87" s="169"/>
    </row>
    <row r="88" spans="5:25" ht="13.5" thickBot="1" x14ac:dyDescent="0.25">
      <c r="E88" s="204" t="s">
        <v>86</v>
      </c>
      <c r="K88" s="211">
        <f>K84-K85-K86-K87</f>
        <v>250000</v>
      </c>
      <c r="M88" s="208"/>
      <c r="N88" s="169"/>
      <c r="O88" s="169"/>
      <c r="P88" s="169"/>
      <c r="Q88" s="169"/>
      <c r="R88" s="169"/>
      <c r="S88" s="169"/>
      <c r="T88" s="169"/>
      <c r="U88" s="169"/>
    </row>
    <row r="89" spans="5:25" ht="13.5" thickTop="1" x14ac:dyDescent="0.2">
      <c r="E89" s="204"/>
      <c r="J89" s="212" t="s">
        <v>87</v>
      </c>
      <c r="K89" s="207"/>
      <c r="M89" s="208"/>
      <c r="N89" s="169"/>
      <c r="O89" s="169"/>
      <c r="P89" s="169"/>
      <c r="Q89" s="203"/>
      <c r="R89" s="169"/>
      <c r="S89" s="169"/>
      <c r="T89" s="169"/>
      <c r="U89" s="169"/>
    </row>
    <row r="90" spans="5:25" x14ac:dyDescent="0.2">
      <c r="E90" s="204" t="s">
        <v>81</v>
      </c>
      <c r="G90" s="213">
        <v>173002</v>
      </c>
      <c r="H90" s="213">
        <v>1384</v>
      </c>
      <c r="I90" s="213">
        <v>10629</v>
      </c>
      <c r="J90" s="213"/>
      <c r="K90" s="207"/>
      <c r="M90" s="208"/>
      <c r="N90" s="169"/>
      <c r="O90" s="169"/>
      <c r="P90" s="169"/>
      <c r="Q90" s="169"/>
      <c r="R90" s="169"/>
      <c r="S90" s="169"/>
      <c r="T90" s="169"/>
      <c r="U90" s="169">
        <v>0</v>
      </c>
      <c r="Y90" s="169">
        <v>900323.36</v>
      </c>
    </row>
    <row r="91" spans="5:25" x14ac:dyDescent="0.2">
      <c r="E91" s="204" t="s">
        <v>88</v>
      </c>
      <c r="G91" s="213">
        <v>0</v>
      </c>
      <c r="H91" s="214">
        <v>0</v>
      </c>
      <c r="I91" s="214">
        <v>0</v>
      </c>
      <c r="K91" s="205"/>
      <c r="M91" s="195"/>
      <c r="N91" s="169"/>
      <c r="O91" s="169"/>
      <c r="P91" s="169"/>
      <c r="Q91" s="169"/>
      <c r="R91" s="169"/>
      <c r="S91" s="169"/>
      <c r="T91" s="169"/>
      <c r="U91" s="169"/>
    </row>
    <row r="92" spans="5:25" ht="13.5" thickBot="1" x14ac:dyDescent="0.25">
      <c r="E92" s="204" t="s">
        <v>89</v>
      </c>
      <c r="G92" s="215">
        <f>G90+G91</f>
        <v>173002</v>
      </c>
      <c r="H92" s="215">
        <f t="shared" ref="H92" si="9">H90+H91</f>
        <v>1384</v>
      </c>
      <c r="I92" s="215">
        <f>I90+I91</f>
        <v>10629</v>
      </c>
      <c r="J92" s="2"/>
      <c r="K92" s="207"/>
      <c r="M92" s="195"/>
      <c r="N92" s="169"/>
      <c r="O92" s="169"/>
      <c r="P92" s="177"/>
      <c r="Q92" s="169"/>
      <c r="R92" s="169"/>
      <c r="S92" s="169"/>
      <c r="T92" s="169"/>
      <c r="U92" s="169"/>
    </row>
    <row r="93" spans="5:25" ht="14.25" thickTop="1" thickBot="1" x14ac:dyDescent="0.25">
      <c r="E93" s="204" t="s">
        <v>90</v>
      </c>
      <c r="G93" s="216">
        <f>G92/$K$88</f>
        <v>0.69200799999999996</v>
      </c>
      <c r="H93" s="216">
        <f t="shared" ref="H93:I93" si="10">H92/$K$88</f>
        <v>5.5360000000000001E-3</v>
      </c>
      <c r="I93" s="216">
        <f t="shared" si="10"/>
        <v>4.2515999999999998E-2</v>
      </c>
      <c r="J93" s="213"/>
      <c r="K93" s="207"/>
      <c r="M93" s="195"/>
      <c r="N93" s="169"/>
      <c r="O93" s="169"/>
      <c r="P93" s="169"/>
      <c r="Q93" s="169"/>
      <c r="R93" s="169"/>
      <c r="S93" s="169"/>
      <c r="T93" s="169"/>
      <c r="U93" s="169"/>
    </row>
    <row r="94" spans="5:25" ht="14.25" thickTop="1" thickBot="1" x14ac:dyDescent="0.25">
      <c r="E94" s="217"/>
      <c r="F94" s="218"/>
      <c r="G94" s="219" t="s">
        <v>91</v>
      </c>
      <c r="H94" s="219" t="s">
        <v>92</v>
      </c>
      <c r="I94" s="219" t="s">
        <v>5</v>
      </c>
      <c r="J94" s="218"/>
      <c r="K94" s="220"/>
      <c r="M94" s="195"/>
      <c r="N94" s="221"/>
      <c r="O94" s="221"/>
      <c r="P94" s="221"/>
      <c r="Q94" s="169"/>
      <c r="R94" s="169"/>
      <c r="S94" s="169"/>
      <c r="T94" s="169"/>
      <c r="U94" s="169"/>
    </row>
    <row r="95" spans="5:25" x14ac:dyDescent="0.2">
      <c r="J95" s="199"/>
      <c r="K95" s="222"/>
      <c r="M95" s="195"/>
      <c r="N95" s="221"/>
      <c r="O95" s="221"/>
      <c r="P95" s="221"/>
      <c r="Q95" s="169"/>
      <c r="R95" s="169"/>
      <c r="S95" s="169"/>
      <c r="T95" s="169"/>
      <c r="U95" s="169"/>
    </row>
    <row r="96" spans="5:25" x14ac:dyDescent="0.2">
      <c r="J96" s="213"/>
      <c r="K96" s="213"/>
      <c r="M96" s="195"/>
      <c r="N96" s="169"/>
      <c r="O96" s="169"/>
      <c r="P96" s="169"/>
      <c r="Q96" s="169"/>
      <c r="R96" s="169"/>
      <c r="S96" s="169"/>
      <c r="T96" s="169"/>
      <c r="U96" s="169"/>
    </row>
    <row r="97" spans="5:21" x14ac:dyDescent="0.2">
      <c r="E97" s="223"/>
      <c r="G97" s="213"/>
      <c r="H97" s="213"/>
      <c r="I97" s="224"/>
      <c r="J97" s="225"/>
      <c r="K97" s="224"/>
      <c r="M97" s="195"/>
      <c r="N97" s="169"/>
      <c r="O97" s="169"/>
      <c r="P97" s="169"/>
      <c r="Q97" s="169"/>
      <c r="R97" s="169"/>
      <c r="S97" s="169"/>
      <c r="T97" s="169"/>
      <c r="U97" s="169"/>
    </row>
    <row r="98" spans="5:21" x14ac:dyDescent="0.2">
      <c r="I98" s="224"/>
      <c r="J98" s="225"/>
      <c r="K98" s="225"/>
      <c r="M98" s="208"/>
      <c r="N98" s="226"/>
      <c r="O98" s="226"/>
      <c r="P98" s="226"/>
      <c r="Q98" s="169"/>
      <c r="R98" s="169"/>
      <c r="S98" s="169"/>
      <c r="T98" s="169"/>
      <c r="U98" s="169"/>
    </row>
    <row r="99" spans="5:21" x14ac:dyDescent="0.2">
      <c r="H99" s="213"/>
      <c r="I99" s="213"/>
      <c r="M99" s="195"/>
      <c r="N99" s="169"/>
      <c r="O99" s="169"/>
      <c r="P99" s="169"/>
      <c r="Q99" s="169"/>
      <c r="R99" s="169"/>
      <c r="S99" s="169"/>
      <c r="T99" s="169"/>
      <c r="U99" s="169"/>
    </row>
    <row r="100" spans="5:21" x14ac:dyDescent="0.2">
      <c r="G100" s="227"/>
      <c r="H100" s="227"/>
      <c r="I100" s="227"/>
      <c r="M100" s="195"/>
      <c r="N100" s="195"/>
      <c r="O100" s="195"/>
      <c r="P100" s="195"/>
      <c r="Q100" s="195"/>
      <c r="R100" s="195"/>
      <c r="S100" s="195"/>
      <c r="T100" s="195"/>
      <c r="U100" s="195"/>
    </row>
    <row r="101" spans="5:21" x14ac:dyDescent="0.2">
      <c r="G101" s="213"/>
      <c r="H101" s="213"/>
      <c r="I101" s="213"/>
      <c r="M101" s="195"/>
      <c r="N101" s="195"/>
      <c r="O101" s="195"/>
      <c r="P101" s="195"/>
      <c r="Q101" s="195"/>
      <c r="R101" s="195"/>
      <c r="S101" s="195"/>
      <c r="T101" s="195"/>
      <c r="U101" s="195"/>
    </row>
    <row r="102" spans="5:21" x14ac:dyDescent="0.2">
      <c r="G102" s="227"/>
      <c r="H102" s="227"/>
      <c r="I102" s="227"/>
      <c r="M102" s="195"/>
      <c r="N102" s="195"/>
      <c r="O102" s="195"/>
      <c r="P102" s="195"/>
      <c r="Q102" s="195"/>
      <c r="R102" s="195"/>
      <c r="S102" s="195"/>
      <c r="T102" s="195"/>
      <c r="U102" s="195"/>
    </row>
    <row r="103" spans="5:21" x14ac:dyDescent="0.2">
      <c r="G103" s="228"/>
      <c r="H103" s="228"/>
      <c r="I103" s="228"/>
      <c r="M103" s="195"/>
      <c r="N103" s="195"/>
      <c r="O103" s="195"/>
      <c r="P103" s="195"/>
      <c r="Q103" s="195"/>
      <c r="R103" s="195"/>
      <c r="S103" s="195"/>
      <c r="T103" s="195"/>
      <c r="U103" s="195"/>
    </row>
    <row r="104" spans="5:21" x14ac:dyDescent="0.2">
      <c r="G104" s="213"/>
      <c r="H104" s="213"/>
      <c r="I104" s="213"/>
      <c r="M104" s="195"/>
      <c r="N104" s="195"/>
      <c r="O104" s="195"/>
      <c r="P104" s="195"/>
      <c r="Q104" s="195"/>
      <c r="R104" s="195"/>
      <c r="S104" s="195"/>
      <c r="T104" s="195"/>
      <c r="U104" s="195"/>
    </row>
    <row r="105" spans="5:21" x14ac:dyDescent="0.2">
      <c r="M105" s="195"/>
      <c r="N105" s="195"/>
      <c r="O105" s="195"/>
      <c r="P105" s="195"/>
      <c r="Q105" s="195"/>
      <c r="R105" s="195"/>
      <c r="S105" s="195"/>
      <c r="T105" s="195"/>
      <c r="U105" s="195"/>
    </row>
  </sheetData>
  <mergeCells count="2">
    <mergeCell ref="G2:K2"/>
    <mergeCell ref="M2:Q2"/>
  </mergeCells>
  <printOptions horizontalCentered="1"/>
  <pageMargins left="0.25" right="0.25" top="0.25" bottom="0.25" header="0.25" footer="0"/>
  <pageSetup scale="38" orientation="landscape" copies="2" r:id="rId1"/>
  <headerFooter alignWithMargins="0"/>
  <rowBreaks count="1" manualBreakCount="1">
    <brk id="59" min="1" max="16"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42190-AD2D-4AAB-8817-FAD5E362E6A0}">
  <sheetPr>
    <pageSetUpPr fitToPage="1"/>
  </sheetPr>
  <dimension ref="A1:Y109"/>
  <sheetViews>
    <sheetView zoomScale="90" zoomScaleNormal="90" workbookViewId="0">
      <selection activeCell="D14" sqref="D14"/>
    </sheetView>
  </sheetViews>
  <sheetFormatPr defaultColWidth="9.140625" defaultRowHeight="12.75" x14ac:dyDescent="0.2"/>
  <cols>
    <col min="1" max="1" width="0.85546875" style="6" customWidth="1"/>
    <col min="2" max="2" width="22.140625" style="6" customWidth="1"/>
    <col min="3" max="3" width="0.85546875" style="6" customWidth="1"/>
    <col min="4" max="4" width="36.140625" style="6" customWidth="1"/>
    <col min="5" max="5" width="22" style="6" bestFit="1" customWidth="1"/>
    <col min="6" max="6" width="1.28515625" style="6" customWidth="1"/>
    <col min="7" max="7" width="22.5703125" style="6" customWidth="1"/>
    <col min="8" max="8" width="20" style="6" customWidth="1"/>
    <col min="9" max="9" width="16.140625" style="6" customWidth="1"/>
    <col min="10" max="10" width="14.7109375" style="6" customWidth="1"/>
    <col min="11" max="11" width="16.85546875" style="6" customWidth="1"/>
    <col min="12" max="12" width="1.7109375" style="6" customWidth="1"/>
    <col min="13" max="13" width="14.7109375" style="6" customWidth="1"/>
    <col min="14" max="14" width="15.85546875" style="6" customWidth="1"/>
    <col min="15" max="15" width="16.85546875" style="6" customWidth="1"/>
    <col min="16" max="16" width="14.7109375" style="6" customWidth="1"/>
    <col min="17" max="17" width="16.140625" style="6" customWidth="1"/>
    <col min="18" max="19" width="2.5703125" style="6" customWidth="1"/>
    <col min="20" max="23" width="16.140625" style="6" customWidth="1"/>
    <col min="24" max="24" width="2.7109375" style="6" customWidth="1"/>
    <col min="25" max="25" width="47" style="3" hidden="1" customWidth="1"/>
    <col min="26" max="16384" width="9.140625" style="6"/>
  </cols>
  <sheetData>
    <row r="1" spans="2:25" ht="15" x14ac:dyDescent="0.25">
      <c r="E1" s="53"/>
      <c r="F1" s="53"/>
      <c r="I1" s="54"/>
    </row>
    <row r="2" spans="2:25" ht="20.25" thickBot="1" x14ac:dyDescent="0.3">
      <c r="B2" s="55" t="s">
        <v>6</v>
      </c>
      <c r="C2" s="53"/>
      <c r="D2" s="53"/>
      <c r="E2" s="53"/>
      <c r="F2" s="53"/>
      <c r="G2" s="272" t="s">
        <v>143</v>
      </c>
      <c r="H2" s="272"/>
      <c r="I2" s="272"/>
      <c r="J2" s="272"/>
      <c r="K2" s="272"/>
      <c r="M2" s="272" t="s">
        <v>144</v>
      </c>
      <c r="N2" s="272"/>
      <c r="O2" s="272"/>
      <c r="P2" s="272"/>
      <c r="Q2" s="272"/>
      <c r="R2" s="4"/>
      <c r="S2" s="4"/>
      <c r="T2" s="4"/>
      <c r="U2" s="4"/>
      <c r="V2" s="4"/>
      <c r="W2" s="4"/>
    </row>
    <row r="3" spans="2:25" ht="19.5" x14ac:dyDescent="0.25">
      <c r="B3" s="55" t="s">
        <v>7</v>
      </c>
      <c r="C3" s="53"/>
      <c r="D3" s="53"/>
    </row>
    <row r="4" spans="2:25" x14ac:dyDescent="0.2">
      <c r="B4" s="53" t="s">
        <v>166</v>
      </c>
      <c r="C4" s="53"/>
      <c r="D4" s="53"/>
      <c r="G4" s="7" t="s">
        <v>8</v>
      </c>
      <c r="H4" s="7" t="s">
        <v>9</v>
      </c>
      <c r="I4" s="7" t="s">
        <v>10</v>
      </c>
      <c r="J4" s="7" t="s">
        <v>11</v>
      </c>
      <c r="K4" s="7" t="s">
        <v>12</v>
      </c>
      <c r="M4" s="7" t="s">
        <v>8</v>
      </c>
      <c r="N4" s="7" t="s">
        <v>9</v>
      </c>
      <c r="O4" s="7" t="s">
        <v>10</v>
      </c>
      <c r="P4" s="7" t="s">
        <v>11</v>
      </c>
      <c r="Q4" s="7" t="s">
        <v>12</v>
      </c>
      <c r="R4" s="7"/>
      <c r="S4" s="7"/>
      <c r="T4" s="7"/>
      <c r="U4" s="7"/>
      <c r="V4" s="7"/>
      <c r="W4" s="7"/>
    </row>
    <row r="5" spans="2:25" ht="15" x14ac:dyDescent="0.2">
      <c r="B5" s="56"/>
      <c r="C5" s="53"/>
      <c r="D5" s="56" t="s">
        <v>13</v>
      </c>
      <c r="G5" s="7" t="s">
        <v>14</v>
      </c>
      <c r="H5" s="7" t="s">
        <v>15</v>
      </c>
      <c r="I5" s="7" t="s">
        <v>16</v>
      </c>
      <c r="J5" s="7" t="s">
        <v>17</v>
      </c>
      <c r="K5" s="7" t="s">
        <v>18</v>
      </c>
      <c r="M5" s="7" t="s">
        <v>14</v>
      </c>
      <c r="N5" s="7" t="s">
        <v>15</v>
      </c>
      <c r="O5" s="7" t="s">
        <v>16</v>
      </c>
      <c r="P5" s="7" t="s">
        <v>17</v>
      </c>
      <c r="Q5" s="7" t="s">
        <v>18</v>
      </c>
      <c r="R5" s="7"/>
      <c r="S5" s="7"/>
      <c r="T5" s="7"/>
      <c r="U5" s="7"/>
      <c r="V5" s="7"/>
      <c r="W5" s="7"/>
    </row>
    <row r="6" spans="2:25" x14ac:dyDescent="0.2">
      <c r="B6" s="6" t="s">
        <v>142</v>
      </c>
      <c r="D6" s="5"/>
      <c r="G6" s="7"/>
      <c r="H6" s="7" t="s">
        <v>19</v>
      </c>
      <c r="I6" s="7"/>
      <c r="J6" s="7"/>
      <c r="K6" s="7"/>
      <c r="M6" s="7"/>
      <c r="N6" s="7" t="s">
        <v>19</v>
      </c>
      <c r="O6" s="7"/>
      <c r="P6" s="7"/>
      <c r="Q6" s="7"/>
      <c r="R6" s="7"/>
      <c r="S6" s="7"/>
      <c r="T6" s="7"/>
      <c r="U6" s="7"/>
      <c r="V6" s="7"/>
      <c r="W6" s="7"/>
    </row>
    <row r="7" spans="2:25" ht="13.5" thickBot="1" x14ac:dyDescent="0.25">
      <c r="B7" s="53"/>
      <c r="G7" s="52" t="s">
        <v>20</v>
      </c>
      <c r="H7" s="52" t="s">
        <v>21</v>
      </c>
      <c r="I7" s="52" t="s">
        <v>22</v>
      </c>
      <c r="J7" s="52"/>
      <c r="K7" s="52" t="s">
        <v>23</v>
      </c>
      <c r="M7" s="52" t="s">
        <v>20</v>
      </c>
      <c r="N7" s="52" t="s">
        <v>21</v>
      </c>
      <c r="O7" s="52" t="s">
        <v>22</v>
      </c>
      <c r="P7" s="52"/>
      <c r="Q7" s="52" t="s">
        <v>23</v>
      </c>
      <c r="R7" s="4"/>
      <c r="S7" s="4"/>
      <c r="T7" s="4"/>
      <c r="U7" s="4"/>
      <c r="V7" s="4"/>
      <c r="W7" s="4"/>
    </row>
    <row r="8" spans="2:25" ht="5.0999999999999996" customHeight="1" x14ac:dyDescent="0.2">
      <c r="B8" s="53"/>
      <c r="G8" s="7"/>
      <c r="H8" s="7"/>
      <c r="I8" s="7"/>
      <c r="J8" s="7"/>
      <c r="K8" s="7"/>
      <c r="M8" s="7"/>
      <c r="N8" s="7"/>
      <c r="O8" s="7"/>
      <c r="P8" s="7"/>
      <c r="Q8" s="7"/>
      <c r="R8" s="7"/>
      <c r="S8" s="7"/>
      <c r="T8" s="7"/>
      <c r="U8" s="7"/>
      <c r="V8" s="7"/>
      <c r="W8" s="7"/>
    </row>
    <row r="9" spans="2:25" ht="15" thickBot="1" x14ac:dyDescent="0.25">
      <c r="B9" s="57" t="s">
        <v>24</v>
      </c>
      <c r="D9" s="6" t="s">
        <v>25</v>
      </c>
      <c r="E9" s="8" t="s">
        <v>26</v>
      </c>
      <c r="G9" s="9">
        <v>11353</v>
      </c>
      <c r="H9" s="9">
        <v>1135</v>
      </c>
      <c r="I9" s="9">
        <v>25354</v>
      </c>
      <c r="J9" s="9"/>
      <c r="K9" s="9">
        <f>J9+I9+H9+G9</f>
        <v>37842</v>
      </c>
      <c r="M9" s="9">
        <v>0</v>
      </c>
      <c r="N9" s="9">
        <v>0</v>
      </c>
      <c r="O9" s="9">
        <v>0</v>
      </c>
      <c r="P9" s="9">
        <v>0</v>
      </c>
      <c r="Q9" s="9">
        <f>SUM(M9:P9)</f>
        <v>0</v>
      </c>
      <c r="R9" s="9"/>
      <c r="S9" s="9"/>
      <c r="T9" s="9"/>
      <c r="U9" s="9"/>
      <c r="V9" s="9"/>
      <c r="W9" s="9"/>
    </row>
    <row r="10" spans="2:25" x14ac:dyDescent="0.2">
      <c r="B10" s="53" t="s">
        <v>27</v>
      </c>
      <c r="E10" s="8" t="s">
        <v>28</v>
      </c>
      <c r="G10" s="10">
        <v>206.5</v>
      </c>
      <c r="H10" s="10">
        <v>20.7</v>
      </c>
      <c r="I10" s="10">
        <v>461.1</v>
      </c>
      <c r="J10" s="10">
        <v>0</v>
      </c>
      <c r="K10" s="10"/>
      <c r="M10" s="10">
        <f>G10</f>
        <v>206.5</v>
      </c>
      <c r="N10" s="10">
        <f>H10</f>
        <v>20.7</v>
      </c>
      <c r="O10" s="10">
        <f>I10</f>
        <v>461.1</v>
      </c>
      <c r="P10" s="10">
        <v>0</v>
      </c>
      <c r="Q10" s="10">
        <f>SUM(M10:P10)</f>
        <v>688.3</v>
      </c>
      <c r="R10" s="20"/>
      <c r="S10" s="20"/>
      <c r="T10" s="20"/>
      <c r="U10" s="20"/>
      <c r="V10" s="20"/>
      <c r="W10" s="20"/>
    </row>
    <row r="11" spans="2:25" x14ac:dyDescent="0.2">
      <c r="E11" s="8"/>
    </row>
    <row r="12" spans="2:25" ht="13.5" thickBot="1" x14ac:dyDescent="0.25">
      <c r="D12" s="6" t="s">
        <v>29</v>
      </c>
      <c r="E12" s="8" t="s">
        <v>26</v>
      </c>
      <c r="G12" s="9">
        <v>29103</v>
      </c>
      <c r="H12" s="9">
        <v>2910</v>
      </c>
      <c r="I12" s="9">
        <v>64997</v>
      </c>
      <c r="J12" s="9"/>
      <c r="K12" s="9">
        <f>J12+I12+H12+G12</f>
        <v>97010</v>
      </c>
      <c r="M12" s="9">
        <f t="shared" ref="M12:P13" si="0">G12</f>
        <v>29103</v>
      </c>
      <c r="N12" s="9">
        <f t="shared" si="0"/>
        <v>2910</v>
      </c>
      <c r="O12" s="9">
        <f t="shared" si="0"/>
        <v>64997</v>
      </c>
      <c r="P12" s="9">
        <f t="shared" si="0"/>
        <v>0</v>
      </c>
      <c r="Q12" s="9">
        <f>SUM(M12:P12)</f>
        <v>97010</v>
      </c>
      <c r="R12" s="9"/>
      <c r="S12" s="9"/>
      <c r="T12" s="58">
        <f>223294-K12</f>
        <v>126284</v>
      </c>
      <c r="U12" s="9"/>
      <c r="V12" s="9"/>
      <c r="W12" s="9"/>
    </row>
    <row r="13" spans="2:25" x14ac:dyDescent="0.2">
      <c r="E13" s="8" t="s">
        <v>28</v>
      </c>
      <c r="G13" s="10">
        <v>432.4</v>
      </c>
      <c r="H13" s="10">
        <v>43.5</v>
      </c>
      <c r="I13" s="10">
        <v>965.1</v>
      </c>
      <c r="J13" s="10">
        <v>0</v>
      </c>
      <c r="K13" s="10">
        <f>G13+H13+I13+J13</f>
        <v>1441</v>
      </c>
      <c r="M13" s="10">
        <f t="shared" si="0"/>
        <v>432.4</v>
      </c>
      <c r="N13" s="10">
        <f t="shared" si="0"/>
        <v>43.5</v>
      </c>
      <c r="O13" s="10">
        <f t="shared" si="0"/>
        <v>965.1</v>
      </c>
      <c r="P13" s="10">
        <v>0</v>
      </c>
      <c r="Q13" s="10">
        <f>SUM(M13:P13)</f>
        <v>1441</v>
      </c>
      <c r="R13" s="20"/>
      <c r="S13" s="20"/>
      <c r="T13" s="59"/>
      <c r="U13" s="20"/>
      <c r="V13" s="20"/>
      <c r="W13" s="20"/>
    </row>
    <row r="14" spans="2:25" x14ac:dyDescent="0.2">
      <c r="T14" s="60"/>
      <c r="Y14" s="11" t="s">
        <v>30</v>
      </c>
    </row>
    <row r="15" spans="2:25" x14ac:dyDescent="0.2">
      <c r="D15" s="6" t="s">
        <v>31</v>
      </c>
      <c r="E15" s="8" t="s">
        <v>32</v>
      </c>
      <c r="G15" s="9">
        <v>4476</v>
      </c>
      <c r="H15" s="9">
        <v>448</v>
      </c>
      <c r="I15" s="9">
        <f>450+9546</f>
        <v>9996</v>
      </c>
      <c r="J15" s="9"/>
      <c r="K15" s="9">
        <f>G15+H15+I15+J15</f>
        <v>14920</v>
      </c>
      <c r="M15" s="9">
        <v>0</v>
      </c>
      <c r="N15" s="9">
        <v>0</v>
      </c>
      <c r="O15" s="9">
        <v>0</v>
      </c>
      <c r="P15" s="9">
        <v>0</v>
      </c>
      <c r="Q15" s="9">
        <f t="shared" ref="Q15:Q20" si="1">SUM(M15:P15)</f>
        <v>0</v>
      </c>
      <c r="R15" s="9"/>
      <c r="S15" s="9"/>
      <c r="T15" s="58"/>
      <c r="U15" s="9"/>
      <c r="V15" s="9"/>
      <c r="W15" s="9"/>
    </row>
    <row r="16" spans="2:25" x14ac:dyDescent="0.2">
      <c r="D16" s="6" t="s">
        <v>33</v>
      </c>
      <c r="E16" s="8" t="s">
        <v>34</v>
      </c>
      <c r="G16" s="9">
        <v>3289</v>
      </c>
      <c r="H16" s="9">
        <v>329</v>
      </c>
      <c r="I16" s="9">
        <f>171+7174</f>
        <v>7345</v>
      </c>
      <c r="J16" s="9"/>
      <c r="K16" s="9">
        <f t="shared" ref="K16:K20" si="2">G16+H16+I16+J16</f>
        <v>10963</v>
      </c>
      <c r="M16" s="9">
        <f>G16</f>
        <v>3289</v>
      </c>
      <c r="N16" s="9">
        <f>H16</f>
        <v>329</v>
      </c>
      <c r="O16" s="9">
        <f>I16</f>
        <v>7345</v>
      </c>
      <c r="P16" s="9">
        <f>J16</f>
        <v>0</v>
      </c>
      <c r="Q16" s="9">
        <f t="shared" si="1"/>
        <v>10963</v>
      </c>
      <c r="R16" s="9"/>
      <c r="S16" s="9"/>
      <c r="T16" s="58"/>
      <c r="U16" s="9"/>
      <c r="V16" s="9"/>
      <c r="W16" s="9"/>
      <c r="Y16" s="3" t="s">
        <v>35</v>
      </c>
    </row>
    <row r="17" spans="2:25" x14ac:dyDescent="0.2">
      <c r="D17" s="61"/>
      <c r="E17" s="8" t="s">
        <v>36</v>
      </c>
      <c r="G17" s="9">
        <v>207</v>
      </c>
      <c r="H17" s="9">
        <v>21</v>
      </c>
      <c r="I17" s="9">
        <f>13+448</f>
        <v>461</v>
      </c>
      <c r="J17" s="9"/>
      <c r="K17" s="9">
        <f t="shared" si="2"/>
        <v>689</v>
      </c>
      <c r="M17" s="9">
        <v>0</v>
      </c>
      <c r="N17" s="9">
        <v>0</v>
      </c>
      <c r="O17" s="9">
        <v>0</v>
      </c>
      <c r="P17" s="9">
        <v>0</v>
      </c>
      <c r="Q17" s="9">
        <f t="shared" si="1"/>
        <v>0</v>
      </c>
      <c r="R17" s="9"/>
      <c r="S17" s="9"/>
      <c r="T17" s="58"/>
      <c r="U17" s="9"/>
      <c r="V17" s="9"/>
      <c r="W17" s="9"/>
      <c r="Y17" s="12">
        <v>614800</v>
      </c>
    </row>
    <row r="18" spans="2:25" x14ac:dyDescent="0.2">
      <c r="E18" s="8" t="s">
        <v>37</v>
      </c>
      <c r="G18" s="9">
        <v>2692</v>
      </c>
      <c r="H18" s="9">
        <v>259</v>
      </c>
      <c r="I18" s="9">
        <v>6054</v>
      </c>
      <c r="J18" s="9"/>
      <c r="K18" s="9">
        <f t="shared" si="2"/>
        <v>9005</v>
      </c>
      <c r="M18" s="9">
        <v>0</v>
      </c>
      <c r="N18" s="9">
        <v>0</v>
      </c>
      <c r="O18" s="9">
        <v>0</v>
      </c>
      <c r="P18" s="9">
        <v>0</v>
      </c>
      <c r="Q18" s="9">
        <f t="shared" si="1"/>
        <v>0</v>
      </c>
      <c r="R18" s="9"/>
      <c r="S18" s="9"/>
      <c r="T18" s="58"/>
      <c r="U18" s="9"/>
      <c r="V18" s="9"/>
      <c r="W18" s="9"/>
    </row>
    <row r="19" spans="2:25" x14ac:dyDescent="0.2">
      <c r="E19" s="8" t="s">
        <v>38</v>
      </c>
      <c r="G19" s="9">
        <v>13035</v>
      </c>
      <c r="H19" s="9">
        <v>1221</v>
      </c>
      <c r="I19" s="9"/>
      <c r="J19" s="9"/>
      <c r="K19" s="9">
        <f t="shared" si="2"/>
        <v>14256</v>
      </c>
      <c r="M19" s="9">
        <f>G19</f>
        <v>13035</v>
      </c>
      <c r="N19" s="9">
        <f>H19</f>
        <v>1221</v>
      </c>
      <c r="O19" s="9">
        <f>I19</f>
        <v>0</v>
      </c>
      <c r="P19" s="9">
        <f>J19</f>
        <v>0</v>
      </c>
      <c r="Q19" s="9">
        <f t="shared" si="1"/>
        <v>14256</v>
      </c>
      <c r="R19" s="9"/>
      <c r="S19" s="9"/>
      <c r="T19" s="58"/>
      <c r="U19" s="9"/>
      <c r="V19" s="9"/>
      <c r="W19" s="9"/>
      <c r="Y19" s="3" t="s">
        <v>39</v>
      </c>
    </row>
    <row r="20" spans="2:25" x14ac:dyDescent="0.2">
      <c r="E20" s="8" t="s">
        <v>40</v>
      </c>
      <c r="G20" s="13">
        <v>1764</v>
      </c>
      <c r="H20" s="13">
        <v>158</v>
      </c>
      <c r="I20" s="13">
        <v>3536</v>
      </c>
      <c r="J20" s="13"/>
      <c r="K20" s="13">
        <f t="shared" si="2"/>
        <v>5458</v>
      </c>
      <c r="M20" s="9">
        <v>0</v>
      </c>
      <c r="N20" s="9">
        <v>0</v>
      </c>
      <c r="O20" s="9">
        <v>0</v>
      </c>
      <c r="P20" s="9">
        <v>0</v>
      </c>
      <c r="Q20" s="9">
        <f t="shared" si="1"/>
        <v>0</v>
      </c>
      <c r="R20" s="9"/>
      <c r="S20" s="9"/>
      <c r="T20" s="58"/>
      <c r="U20" s="9"/>
      <c r="V20" s="9"/>
      <c r="W20" s="9"/>
      <c r="Y20" s="12">
        <f>31030+1679</f>
        <v>32709</v>
      </c>
    </row>
    <row r="21" spans="2:25" x14ac:dyDescent="0.2">
      <c r="D21" s="53" t="s">
        <v>41</v>
      </c>
      <c r="E21" s="8"/>
      <c r="G21" s="14">
        <f>SUM(G15:G20)+G12+G9</f>
        <v>65919</v>
      </c>
      <c r="H21" s="14">
        <f t="shared" ref="H21:K21" si="3">SUM(H15:H20)+H12+H9</f>
        <v>6481</v>
      </c>
      <c r="I21" s="14">
        <f t="shared" si="3"/>
        <v>117743</v>
      </c>
      <c r="J21" s="14">
        <f t="shared" si="3"/>
        <v>0</v>
      </c>
      <c r="K21" s="14">
        <f t="shared" si="3"/>
        <v>190143</v>
      </c>
      <c r="M21" s="15">
        <f>M9+M12+SUM(M15:M20)</f>
        <v>45427</v>
      </c>
      <c r="N21" s="15">
        <f>N9+N12+SUM(N15:N20)</f>
        <v>4460</v>
      </c>
      <c r="O21" s="15">
        <f>O9+O12+SUM(O15:O20)</f>
        <v>72342</v>
      </c>
      <c r="P21" s="15">
        <f>P9+P12+SUM(P15:P20)</f>
        <v>0</v>
      </c>
      <c r="Q21" s="15">
        <f>Q9+Q12+SUM(Q15:Q20)</f>
        <v>122229</v>
      </c>
      <c r="R21" s="62"/>
      <c r="S21" s="62"/>
      <c r="T21" s="63"/>
      <c r="U21" s="62"/>
      <c r="V21" s="62"/>
      <c r="W21" s="62"/>
    </row>
    <row r="22" spans="2:25" x14ac:dyDescent="0.2">
      <c r="E22" s="8"/>
      <c r="G22" s="9"/>
      <c r="H22" s="9"/>
      <c r="I22" s="9"/>
      <c r="J22" s="9"/>
      <c r="K22" s="9"/>
      <c r="M22" s="16"/>
      <c r="N22" s="9"/>
      <c r="O22" s="9"/>
      <c r="P22" s="9"/>
      <c r="Q22" s="9"/>
      <c r="R22" s="9"/>
      <c r="S22" s="9"/>
      <c r="T22" s="58"/>
      <c r="U22" s="9"/>
      <c r="V22" s="9"/>
      <c r="W22" s="9"/>
      <c r="Y22" s="3" t="s">
        <v>42</v>
      </c>
    </row>
    <row r="23" spans="2:25" x14ac:dyDescent="0.2">
      <c r="B23" s="53" t="s">
        <v>43</v>
      </c>
      <c r="E23" s="8" t="s">
        <v>44</v>
      </c>
      <c r="G23" s="13">
        <v>8403</v>
      </c>
      <c r="H23" s="13">
        <v>696</v>
      </c>
      <c r="I23" s="13">
        <v>19057</v>
      </c>
      <c r="J23" s="13"/>
      <c r="K23" s="13">
        <f>J23+I23+H23+G23</f>
        <v>28156</v>
      </c>
      <c r="M23" s="13">
        <f>$Q$23*G$83</f>
        <v>374.49357677293426</v>
      </c>
      <c r="N23" s="13">
        <f>$Q$23*H$83</f>
        <v>29.959486141834741</v>
      </c>
      <c r="O23" s="13">
        <f>$Q$23*I$83</f>
        <v>1093.5212441769679</v>
      </c>
      <c r="P23" s="13">
        <v>0</v>
      </c>
      <c r="Q23" s="13">
        <f>K23*Y23</f>
        <v>1497.974307091737</v>
      </c>
      <c r="R23" s="17"/>
      <c r="S23" s="17"/>
      <c r="T23" s="18">
        <f>251603.59-K23</f>
        <v>223447.59</v>
      </c>
      <c r="U23" s="17"/>
      <c r="V23" s="17"/>
      <c r="W23" s="17"/>
      <c r="Y23" s="19">
        <f>Y20/Y17</f>
        <v>5.320266753415745E-2</v>
      </c>
    </row>
    <row r="24" spans="2:25" x14ac:dyDescent="0.2">
      <c r="B24" s="53"/>
      <c r="D24" s="53" t="s">
        <v>45</v>
      </c>
      <c r="E24" s="8"/>
      <c r="G24" s="14">
        <f>G23</f>
        <v>8403</v>
      </c>
      <c r="H24" s="14">
        <f t="shared" ref="H24:I24" si="4">H23</f>
        <v>696</v>
      </c>
      <c r="I24" s="14">
        <f t="shared" si="4"/>
        <v>19057</v>
      </c>
      <c r="J24" s="14"/>
      <c r="K24" s="14">
        <f>K23</f>
        <v>28156</v>
      </c>
      <c r="M24" s="14">
        <f>SUM(M23)</f>
        <v>374.49357677293426</v>
      </c>
      <c r="N24" s="14">
        <f>SUM(N23)</f>
        <v>29.959486141834741</v>
      </c>
      <c r="O24" s="14">
        <f>SUM(O23)</f>
        <v>1093.5212441769679</v>
      </c>
      <c r="P24" s="14">
        <f>SUM(P23)</f>
        <v>0</v>
      </c>
      <c r="Q24" s="14">
        <f>SUM(M24:P24)</f>
        <v>1497.974307091737</v>
      </c>
      <c r="R24" s="14"/>
      <c r="S24" s="14"/>
      <c r="T24" s="64"/>
      <c r="U24" s="14"/>
      <c r="V24" s="14"/>
      <c r="W24" s="14"/>
    </row>
    <row r="25" spans="2:25" x14ac:dyDescent="0.2">
      <c r="B25" s="53"/>
    </row>
    <row r="26" spans="2:25" x14ac:dyDescent="0.2">
      <c r="B26" s="53" t="s">
        <v>46</v>
      </c>
      <c r="E26" s="8" t="s">
        <v>47</v>
      </c>
      <c r="G26" s="9">
        <v>555</v>
      </c>
      <c r="H26" s="9">
        <v>42</v>
      </c>
      <c r="I26" s="9">
        <v>1270</v>
      </c>
      <c r="J26" s="9"/>
      <c r="K26" s="9">
        <f>G26+H26+I26+J26</f>
        <v>1867</v>
      </c>
      <c r="M26" s="17">
        <v>0</v>
      </c>
      <c r="N26" s="17">
        <v>0</v>
      </c>
      <c r="O26" s="17">
        <v>0</v>
      </c>
      <c r="P26" s="9">
        <v>0</v>
      </c>
      <c r="Q26" s="9">
        <f t="shared" ref="Q26:Q31" si="5">SUM(M26:P26)</f>
        <v>0</v>
      </c>
      <c r="R26" s="9"/>
      <c r="S26" s="9"/>
      <c r="T26" s="9"/>
      <c r="U26" s="9"/>
      <c r="V26" s="9"/>
      <c r="W26" s="9"/>
    </row>
    <row r="27" spans="2:25" x14ac:dyDescent="0.2">
      <c r="B27" s="53"/>
      <c r="E27" s="8" t="s">
        <v>48</v>
      </c>
      <c r="G27" s="9">
        <v>973</v>
      </c>
      <c r="H27" s="9">
        <v>97</v>
      </c>
      <c r="I27" s="9">
        <v>2173</v>
      </c>
      <c r="J27" s="9"/>
      <c r="K27" s="9">
        <f t="shared" ref="K27:K30" si="6">G27+H27+I27+J27</f>
        <v>3243</v>
      </c>
      <c r="M27" s="9">
        <f>G27</f>
        <v>973</v>
      </c>
      <c r="N27" s="9">
        <f>H27</f>
        <v>97</v>
      </c>
      <c r="O27" s="9">
        <f>I27</f>
        <v>2173</v>
      </c>
      <c r="P27" s="9">
        <f>J27</f>
        <v>0</v>
      </c>
      <c r="Q27" s="9">
        <f>SUM(M27:P27)</f>
        <v>3243</v>
      </c>
      <c r="R27" s="9"/>
      <c r="S27" s="9"/>
      <c r="T27" s="9"/>
      <c r="U27" s="9"/>
      <c r="V27" s="9"/>
      <c r="W27" s="9"/>
    </row>
    <row r="28" spans="2:25" x14ac:dyDescent="0.2">
      <c r="B28" s="53"/>
      <c r="E28" s="6" t="s">
        <v>49</v>
      </c>
      <c r="G28" s="9"/>
      <c r="H28" s="9"/>
      <c r="I28" s="9"/>
      <c r="J28" s="9"/>
      <c r="K28" s="9">
        <f t="shared" si="6"/>
        <v>0</v>
      </c>
      <c r="M28" s="9">
        <v>0</v>
      </c>
      <c r="N28" s="9">
        <v>0</v>
      </c>
      <c r="O28" s="9">
        <v>0</v>
      </c>
      <c r="P28" s="9">
        <v>0</v>
      </c>
      <c r="Q28" s="9">
        <f t="shared" si="5"/>
        <v>0</v>
      </c>
      <c r="R28" s="9"/>
      <c r="S28" s="9"/>
      <c r="T28" s="9"/>
      <c r="U28" s="9"/>
      <c r="V28" s="9"/>
      <c r="W28" s="9"/>
    </row>
    <row r="29" spans="2:25" x14ac:dyDescent="0.2">
      <c r="B29" s="53"/>
      <c r="E29" s="8" t="s">
        <v>50</v>
      </c>
      <c r="G29" s="9">
        <v>2012</v>
      </c>
      <c r="H29" s="9">
        <v>201</v>
      </c>
      <c r="I29" s="9">
        <v>4493</v>
      </c>
      <c r="J29" s="9"/>
      <c r="K29" s="9">
        <f t="shared" si="6"/>
        <v>6706</v>
      </c>
      <c r="M29" s="9">
        <f t="shared" ref="M29:P30" si="7">G29</f>
        <v>2012</v>
      </c>
      <c r="N29" s="9">
        <f t="shared" si="7"/>
        <v>201</v>
      </c>
      <c r="O29" s="9">
        <f t="shared" si="7"/>
        <v>4493</v>
      </c>
      <c r="P29" s="9">
        <f t="shared" si="7"/>
        <v>0</v>
      </c>
      <c r="Q29" s="9">
        <f t="shared" si="5"/>
        <v>6706</v>
      </c>
      <c r="R29" s="9"/>
      <c r="S29" s="9"/>
      <c r="T29" s="9"/>
      <c r="U29" s="9"/>
      <c r="V29" s="9"/>
      <c r="W29" s="9"/>
    </row>
    <row r="30" spans="2:25" x14ac:dyDescent="0.2">
      <c r="B30" s="53"/>
      <c r="E30" s="8" t="s">
        <v>51</v>
      </c>
      <c r="G30" s="13">
        <v>279</v>
      </c>
      <c r="H30" s="13">
        <v>22</v>
      </c>
      <c r="I30" s="13">
        <v>635</v>
      </c>
      <c r="J30" s="13"/>
      <c r="K30" s="13">
        <f t="shared" si="6"/>
        <v>936</v>
      </c>
      <c r="M30" s="13">
        <f t="shared" si="7"/>
        <v>279</v>
      </c>
      <c r="N30" s="13">
        <f t="shared" si="7"/>
        <v>22</v>
      </c>
      <c r="O30" s="13">
        <f t="shared" si="7"/>
        <v>635</v>
      </c>
      <c r="P30" s="13">
        <f>J30</f>
        <v>0</v>
      </c>
      <c r="Q30" s="13">
        <f t="shared" si="5"/>
        <v>936</v>
      </c>
      <c r="R30" s="17"/>
      <c r="S30" s="17"/>
      <c r="T30" s="17"/>
      <c r="U30" s="17"/>
      <c r="V30" s="17"/>
      <c r="W30" s="17"/>
    </row>
    <row r="31" spans="2:25" x14ac:dyDescent="0.2">
      <c r="B31" s="53"/>
      <c r="D31" s="53" t="s">
        <v>52</v>
      </c>
      <c r="G31" s="14">
        <f>SUM(G26:G30)</f>
        <v>3819</v>
      </c>
      <c r="H31" s="14">
        <f t="shared" ref="H31:I31" si="8">SUM(H26:H30)</f>
        <v>362</v>
      </c>
      <c r="I31" s="14">
        <f t="shared" si="8"/>
        <v>8571</v>
      </c>
      <c r="J31" s="14"/>
      <c r="K31" s="14">
        <f>SUM(K26:K30)</f>
        <v>12752</v>
      </c>
      <c r="M31" s="14">
        <f>SUM(M26:M30)</f>
        <v>3264</v>
      </c>
      <c r="N31" s="14">
        <f>SUM(N26:N30)</f>
        <v>320</v>
      </c>
      <c r="O31" s="14">
        <f>SUM(O26:O30)</f>
        <v>7301</v>
      </c>
      <c r="P31" s="14">
        <f>SUM(P26:P30)</f>
        <v>0</v>
      </c>
      <c r="Q31" s="14">
        <f t="shared" si="5"/>
        <v>10885</v>
      </c>
      <c r="R31" s="14"/>
      <c r="S31" s="14"/>
      <c r="T31" s="14"/>
      <c r="U31" s="14"/>
      <c r="V31" s="14"/>
      <c r="W31" s="14"/>
    </row>
    <row r="32" spans="2:25" x14ac:dyDescent="0.2">
      <c r="B32" s="53"/>
    </row>
    <row r="33" spans="2:23" x14ac:dyDescent="0.2">
      <c r="B33" s="53" t="s">
        <v>53</v>
      </c>
      <c r="D33" s="53" t="s">
        <v>54</v>
      </c>
      <c r="E33" s="6" t="s">
        <v>55</v>
      </c>
      <c r="G33" s="9"/>
      <c r="H33" s="9"/>
      <c r="I33" s="9"/>
      <c r="J33" s="9"/>
      <c r="K33" s="9">
        <f>G33+H33+I33+J33</f>
        <v>0</v>
      </c>
      <c r="M33" s="9">
        <f t="shared" ref="M33:P34" si="9">G33</f>
        <v>0</v>
      </c>
      <c r="N33" s="9">
        <f t="shared" si="9"/>
        <v>0</v>
      </c>
      <c r="O33" s="9">
        <f t="shared" si="9"/>
        <v>0</v>
      </c>
      <c r="P33" s="9">
        <f t="shared" si="9"/>
        <v>0</v>
      </c>
      <c r="Q33" s="9">
        <f>SUM(M33:P33)</f>
        <v>0</v>
      </c>
      <c r="R33" s="9"/>
      <c r="S33" s="9"/>
      <c r="T33" s="9"/>
      <c r="U33" s="9"/>
      <c r="V33" s="9"/>
      <c r="W33" s="9"/>
    </row>
    <row r="34" spans="2:23" x14ac:dyDescent="0.2">
      <c r="B34" s="53" t="s">
        <v>56</v>
      </c>
      <c r="D34" s="53" t="s">
        <v>57</v>
      </c>
      <c r="E34" s="6" t="s">
        <v>58</v>
      </c>
      <c r="G34" s="9"/>
      <c r="H34" s="9"/>
      <c r="I34" s="9"/>
      <c r="J34" s="9"/>
      <c r="K34" s="9">
        <f t="shared" ref="K34:K42" si="10">G34+H34+I34+J34</f>
        <v>0</v>
      </c>
      <c r="M34" s="9">
        <f t="shared" si="9"/>
        <v>0</v>
      </c>
      <c r="N34" s="9">
        <f t="shared" si="9"/>
        <v>0</v>
      </c>
      <c r="O34" s="9">
        <f t="shared" si="9"/>
        <v>0</v>
      </c>
      <c r="P34" s="9">
        <f t="shared" si="9"/>
        <v>0</v>
      </c>
      <c r="Q34" s="9">
        <f>SUM(M34:P34)</f>
        <v>0</v>
      </c>
      <c r="R34" s="9"/>
      <c r="S34" s="9"/>
      <c r="T34" s="9"/>
      <c r="U34" s="9"/>
      <c r="V34" s="9"/>
      <c r="W34" s="9"/>
    </row>
    <row r="35" spans="2:23" x14ac:dyDescent="0.2">
      <c r="D35" s="53"/>
      <c r="K35" s="9">
        <f t="shared" si="10"/>
        <v>0</v>
      </c>
      <c r="Q35" s="9"/>
      <c r="R35" s="9"/>
      <c r="S35" s="9"/>
      <c r="T35" s="9"/>
      <c r="U35" s="9"/>
      <c r="V35" s="9"/>
      <c r="W35" s="9"/>
    </row>
    <row r="36" spans="2:23" x14ac:dyDescent="0.2">
      <c r="D36" s="53" t="s">
        <v>59</v>
      </c>
      <c r="E36" s="6" t="s">
        <v>60</v>
      </c>
      <c r="G36" s="9"/>
      <c r="H36" s="9"/>
      <c r="I36" s="9"/>
      <c r="J36" s="9"/>
      <c r="K36" s="9">
        <f t="shared" si="10"/>
        <v>0</v>
      </c>
      <c r="M36" s="9">
        <f t="shared" ref="M36:P41" si="11">G36</f>
        <v>0</v>
      </c>
      <c r="N36" s="9">
        <f t="shared" si="11"/>
        <v>0</v>
      </c>
      <c r="O36" s="9">
        <f t="shared" si="11"/>
        <v>0</v>
      </c>
      <c r="P36" s="9">
        <f t="shared" si="11"/>
        <v>0</v>
      </c>
      <c r="Q36" s="9">
        <f t="shared" ref="Q36:Q41" si="12">SUM(M36:P36)</f>
        <v>0</v>
      </c>
      <c r="R36" s="9"/>
      <c r="S36" s="9"/>
      <c r="T36" s="9"/>
      <c r="U36" s="9"/>
      <c r="V36" s="9"/>
      <c r="W36" s="9"/>
    </row>
    <row r="37" spans="2:23" x14ac:dyDescent="0.2">
      <c r="D37" s="53" t="s">
        <v>61</v>
      </c>
      <c r="E37" s="6" t="s">
        <v>62</v>
      </c>
      <c r="G37" s="9"/>
      <c r="H37" s="9"/>
      <c r="I37" s="9"/>
      <c r="J37" s="9"/>
      <c r="K37" s="9">
        <f t="shared" si="10"/>
        <v>0</v>
      </c>
      <c r="M37" s="9">
        <f t="shared" si="11"/>
        <v>0</v>
      </c>
      <c r="N37" s="9">
        <f t="shared" si="11"/>
        <v>0</v>
      </c>
      <c r="O37" s="9">
        <f t="shared" si="11"/>
        <v>0</v>
      </c>
      <c r="P37" s="9">
        <f t="shared" si="11"/>
        <v>0</v>
      </c>
      <c r="Q37" s="9">
        <f t="shared" si="12"/>
        <v>0</v>
      </c>
      <c r="R37" s="9"/>
      <c r="S37" s="9"/>
      <c r="T37" s="9"/>
      <c r="U37" s="9"/>
      <c r="V37" s="9"/>
      <c r="W37" s="9"/>
    </row>
    <row r="38" spans="2:23" x14ac:dyDescent="0.2">
      <c r="D38" s="53"/>
      <c r="E38" s="6" t="s">
        <v>63</v>
      </c>
      <c r="G38" s="9"/>
      <c r="H38" s="9"/>
      <c r="I38" s="9"/>
      <c r="J38" s="9"/>
      <c r="K38" s="9">
        <f t="shared" si="10"/>
        <v>0</v>
      </c>
      <c r="M38" s="9">
        <f t="shared" si="11"/>
        <v>0</v>
      </c>
      <c r="N38" s="9">
        <f t="shared" si="11"/>
        <v>0</v>
      </c>
      <c r="O38" s="9">
        <f t="shared" si="11"/>
        <v>0</v>
      </c>
      <c r="P38" s="9">
        <f t="shared" si="11"/>
        <v>0</v>
      </c>
      <c r="Q38" s="9">
        <f t="shared" si="12"/>
        <v>0</v>
      </c>
      <c r="R38" s="9"/>
      <c r="S38" s="9"/>
      <c r="T38" s="9"/>
      <c r="U38" s="9"/>
      <c r="V38" s="9"/>
      <c r="W38" s="9"/>
    </row>
    <row r="39" spans="2:23" x14ac:dyDescent="0.2">
      <c r="D39" s="53"/>
      <c r="E39" s="6" t="s">
        <v>64</v>
      </c>
      <c r="G39" s="9"/>
      <c r="H39" s="9"/>
      <c r="I39" s="9"/>
      <c r="J39" s="9"/>
      <c r="K39" s="9">
        <f t="shared" si="10"/>
        <v>0</v>
      </c>
      <c r="M39" s="9">
        <f t="shared" si="11"/>
        <v>0</v>
      </c>
      <c r="N39" s="9">
        <f t="shared" si="11"/>
        <v>0</v>
      </c>
      <c r="O39" s="9">
        <f t="shared" si="11"/>
        <v>0</v>
      </c>
      <c r="P39" s="9">
        <f t="shared" si="11"/>
        <v>0</v>
      </c>
      <c r="Q39" s="9">
        <f t="shared" si="12"/>
        <v>0</v>
      </c>
      <c r="R39" s="9"/>
      <c r="S39" s="9"/>
      <c r="T39" s="9"/>
      <c r="U39" s="9"/>
      <c r="V39" s="9"/>
      <c r="W39" s="9"/>
    </row>
    <row r="40" spans="2:23" x14ac:dyDescent="0.2">
      <c r="D40" s="53"/>
      <c r="E40" s="6" t="s">
        <v>65</v>
      </c>
      <c r="G40" s="9">
        <v>23942</v>
      </c>
      <c r="H40" s="9"/>
      <c r="I40" s="9"/>
      <c r="J40" s="9"/>
      <c r="K40" s="9">
        <f t="shared" si="10"/>
        <v>23942</v>
      </c>
      <c r="M40" s="9">
        <f t="shared" si="11"/>
        <v>23942</v>
      </c>
      <c r="N40" s="9">
        <f t="shared" si="11"/>
        <v>0</v>
      </c>
      <c r="O40" s="9">
        <f t="shared" si="11"/>
        <v>0</v>
      </c>
      <c r="P40" s="9">
        <f t="shared" si="11"/>
        <v>0</v>
      </c>
      <c r="Q40" s="9">
        <f t="shared" si="12"/>
        <v>23942</v>
      </c>
      <c r="R40" s="9"/>
      <c r="S40" s="9"/>
      <c r="T40" s="9"/>
      <c r="U40" s="9"/>
      <c r="V40" s="9"/>
      <c r="W40" s="9"/>
    </row>
    <row r="41" spans="2:23" x14ac:dyDescent="0.2">
      <c r="D41" s="53"/>
      <c r="E41" s="6" t="s">
        <v>66</v>
      </c>
      <c r="G41" s="9"/>
      <c r="H41" s="9"/>
      <c r="I41" s="9"/>
      <c r="J41" s="9"/>
      <c r="K41" s="9">
        <f t="shared" si="10"/>
        <v>0</v>
      </c>
      <c r="M41" s="9">
        <f t="shared" si="11"/>
        <v>0</v>
      </c>
      <c r="N41" s="9">
        <f t="shared" si="11"/>
        <v>0</v>
      </c>
      <c r="O41" s="9">
        <f t="shared" si="11"/>
        <v>0</v>
      </c>
      <c r="P41" s="9">
        <f t="shared" si="11"/>
        <v>0</v>
      </c>
      <c r="Q41" s="9">
        <f t="shared" si="12"/>
        <v>0</v>
      </c>
      <c r="R41" s="9"/>
      <c r="S41" s="9"/>
      <c r="T41" s="9"/>
      <c r="U41" s="9"/>
      <c r="V41" s="9"/>
      <c r="W41" s="9"/>
    </row>
    <row r="42" spans="2:23" x14ac:dyDescent="0.2">
      <c r="D42" s="53"/>
      <c r="K42" s="9">
        <f t="shared" si="10"/>
        <v>0</v>
      </c>
      <c r="Q42" s="9"/>
      <c r="R42" s="9"/>
      <c r="S42" s="9"/>
      <c r="T42" s="9"/>
      <c r="U42" s="9"/>
      <c r="V42" s="9"/>
      <c r="W42" s="9"/>
    </row>
    <row r="43" spans="2:23" x14ac:dyDescent="0.2">
      <c r="D43" s="53" t="s">
        <v>67</v>
      </c>
      <c r="G43" s="9"/>
      <c r="H43" s="9">
        <f>H11</f>
        <v>0</v>
      </c>
      <c r="I43" s="9">
        <v>0</v>
      </c>
      <c r="J43" s="9">
        <v>0</v>
      </c>
      <c r="K43" s="9">
        <f>SUM(G43:J43)</f>
        <v>0</v>
      </c>
      <c r="M43" s="9">
        <f>G43</f>
        <v>0</v>
      </c>
      <c r="N43" s="9">
        <f>H43</f>
        <v>0</v>
      </c>
      <c r="O43" s="9">
        <f>I43</f>
        <v>0</v>
      </c>
      <c r="P43" s="9">
        <f>J43</f>
        <v>0</v>
      </c>
      <c r="Q43" s="9">
        <f>SUM(M43:P43)</f>
        <v>0</v>
      </c>
      <c r="R43" s="9"/>
      <c r="S43" s="9"/>
      <c r="T43" s="9"/>
      <c r="U43" s="9"/>
      <c r="V43" s="9"/>
      <c r="W43" s="9"/>
    </row>
    <row r="44" spans="2:23" x14ac:dyDescent="0.2">
      <c r="D44" s="53"/>
    </row>
    <row r="45" spans="2:23" x14ac:dyDescent="0.2">
      <c r="D45" s="53" t="s">
        <v>68</v>
      </c>
      <c r="G45" s="9"/>
      <c r="H45" s="9"/>
      <c r="I45" s="9">
        <v>0</v>
      </c>
      <c r="J45" s="9">
        <v>0</v>
      </c>
      <c r="K45" s="9">
        <f>SUM(G45:J45)</f>
        <v>0</v>
      </c>
      <c r="M45" s="9">
        <f>G45</f>
        <v>0</v>
      </c>
      <c r="N45" s="9">
        <f>H45</f>
        <v>0</v>
      </c>
      <c r="O45" s="9">
        <f>I45</f>
        <v>0</v>
      </c>
      <c r="P45" s="9">
        <f>J45</f>
        <v>0</v>
      </c>
      <c r="Q45" s="9">
        <f>SUM(M45:P45)</f>
        <v>0</v>
      </c>
      <c r="R45" s="9"/>
      <c r="S45" s="9"/>
      <c r="T45" s="9"/>
      <c r="U45" s="9"/>
      <c r="V45" s="9"/>
      <c r="W45" s="9"/>
    </row>
    <row r="46" spans="2:23" x14ac:dyDescent="0.2">
      <c r="D46" s="53"/>
    </row>
    <row r="47" spans="2:23" x14ac:dyDescent="0.2">
      <c r="D47" s="53" t="s">
        <v>69</v>
      </c>
      <c r="G47" s="9"/>
      <c r="H47" s="9"/>
      <c r="I47" s="9">
        <v>0</v>
      </c>
      <c r="J47" s="9">
        <v>0</v>
      </c>
      <c r="K47" s="9">
        <f>SUM(G47:J47)</f>
        <v>0</v>
      </c>
      <c r="M47" s="9">
        <f>G47</f>
        <v>0</v>
      </c>
      <c r="N47" s="9">
        <f>H47</f>
        <v>0</v>
      </c>
      <c r="O47" s="9">
        <f>I47</f>
        <v>0</v>
      </c>
      <c r="P47" s="9">
        <f>J47</f>
        <v>0</v>
      </c>
      <c r="Q47" s="9">
        <f>SUM(M47:P47)</f>
        <v>0</v>
      </c>
      <c r="R47" s="9"/>
      <c r="S47" s="9"/>
      <c r="T47" s="9"/>
      <c r="U47" s="9"/>
      <c r="V47" s="9"/>
      <c r="W47" s="9"/>
    </row>
    <row r="48" spans="2:23" x14ac:dyDescent="0.2">
      <c r="D48" s="53"/>
    </row>
    <row r="49" spans="2:23" x14ac:dyDescent="0.2">
      <c r="D49" s="53" t="s">
        <v>70</v>
      </c>
      <c r="G49" s="9"/>
      <c r="H49" s="9">
        <v>0</v>
      </c>
      <c r="I49" s="9">
        <v>0</v>
      </c>
      <c r="J49" s="9">
        <v>0</v>
      </c>
      <c r="K49" s="9">
        <f>SUM(G49:J49)</f>
        <v>0</v>
      </c>
      <c r="M49" s="9">
        <f>G49</f>
        <v>0</v>
      </c>
      <c r="N49" s="9">
        <f>H49</f>
        <v>0</v>
      </c>
      <c r="O49" s="9">
        <f>I49</f>
        <v>0</v>
      </c>
      <c r="P49" s="9">
        <f>J49</f>
        <v>0</v>
      </c>
      <c r="Q49" s="9">
        <f>SUM(M49:P49)</f>
        <v>0</v>
      </c>
      <c r="R49" s="9"/>
      <c r="S49" s="9"/>
      <c r="T49" s="9"/>
      <c r="U49" s="9"/>
      <c r="V49" s="9"/>
      <c r="W49" s="9"/>
    </row>
    <row r="50" spans="2:23" x14ac:dyDescent="0.2">
      <c r="D50" s="53" t="s">
        <v>71</v>
      </c>
    </row>
    <row r="51" spans="2:23" x14ac:dyDescent="0.2">
      <c r="D51" s="53"/>
    </row>
    <row r="52" spans="2:23" x14ac:dyDescent="0.2">
      <c r="B52" s="53"/>
      <c r="D52" s="53" t="s">
        <v>66</v>
      </c>
      <c r="G52" s="13"/>
      <c r="H52" s="13">
        <v>0</v>
      </c>
      <c r="I52" s="13">
        <v>0</v>
      </c>
      <c r="J52" s="13">
        <v>0</v>
      </c>
      <c r="K52" s="13">
        <f>SUM(G52:J52)</f>
        <v>0</v>
      </c>
      <c r="M52" s="13">
        <f>G52</f>
        <v>0</v>
      </c>
      <c r="N52" s="13">
        <f>H52</f>
        <v>0</v>
      </c>
      <c r="O52" s="13">
        <f>I52</f>
        <v>0</v>
      </c>
      <c r="P52" s="13">
        <f>J52</f>
        <v>0</v>
      </c>
      <c r="Q52" s="13">
        <f>SUM(M52:P52)</f>
        <v>0</v>
      </c>
      <c r="R52" s="17"/>
      <c r="S52" s="17"/>
      <c r="T52" s="17"/>
      <c r="U52" s="17"/>
      <c r="V52" s="17"/>
      <c r="W52" s="17"/>
    </row>
    <row r="53" spans="2:23" x14ac:dyDescent="0.2">
      <c r="D53" s="53" t="s">
        <v>72</v>
      </c>
      <c r="G53" s="14">
        <f>SUM(G33:G52)</f>
        <v>23942</v>
      </c>
      <c r="H53" s="14">
        <f>SUM(H33:H52)</f>
        <v>0</v>
      </c>
      <c r="I53" s="14">
        <f>SUM(I33:I52)</f>
        <v>0</v>
      </c>
      <c r="J53" s="14">
        <f>SUM(J33:J52)</f>
        <v>0</v>
      </c>
      <c r="K53" s="14">
        <f>SUM(G53:J53)</f>
        <v>23942</v>
      </c>
      <c r="M53" s="14">
        <f>SUM(M33:M52)</f>
        <v>23942</v>
      </c>
      <c r="N53" s="14">
        <f>SUM(N33:N52)</f>
        <v>0</v>
      </c>
      <c r="O53" s="14">
        <f>SUM(O33:O52)</f>
        <v>0</v>
      </c>
      <c r="P53" s="14">
        <f>SUM(P33:P52)</f>
        <v>0</v>
      </c>
      <c r="Q53" s="14">
        <f>SUM(M53:P53)</f>
        <v>23942</v>
      </c>
      <c r="R53" s="14"/>
      <c r="S53" s="14"/>
      <c r="T53" s="14"/>
      <c r="U53" s="14"/>
      <c r="V53" s="14"/>
      <c r="W53" s="14"/>
    </row>
    <row r="54" spans="2:23" x14ac:dyDescent="0.2">
      <c r="B54" s="53"/>
      <c r="G54" s="9"/>
    </row>
    <row r="55" spans="2:23" x14ac:dyDescent="0.2">
      <c r="B55" s="53" t="s">
        <v>73</v>
      </c>
      <c r="G55" s="9">
        <v>0</v>
      </c>
      <c r="H55" s="9">
        <v>0</v>
      </c>
      <c r="I55" s="9">
        <v>0</v>
      </c>
      <c r="J55" s="9">
        <v>0</v>
      </c>
      <c r="K55" s="9">
        <f>SUM(G55:J55)</f>
        <v>0</v>
      </c>
      <c r="M55" s="9">
        <v>0</v>
      </c>
      <c r="N55" s="9">
        <v>0</v>
      </c>
      <c r="O55" s="9">
        <v>0</v>
      </c>
      <c r="P55" s="9">
        <v>0</v>
      </c>
      <c r="Q55" s="9">
        <f>SUM(M55:P55)</f>
        <v>0</v>
      </c>
      <c r="R55" s="9"/>
      <c r="S55" s="9"/>
      <c r="T55" s="9"/>
      <c r="U55" s="9"/>
      <c r="V55" s="9"/>
      <c r="W55" s="9"/>
    </row>
    <row r="56" spans="2:23" x14ac:dyDescent="0.2">
      <c r="B56" s="53" t="s">
        <v>74</v>
      </c>
      <c r="D56" s="9"/>
    </row>
    <row r="57" spans="2:23" ht="13.5" thickBot="1" x14ac:dyDescent="0.25">
      <c r="K57" s="9"/>
      <c r="Q57" s="65"/>
      <c r="R57" s="66"/>
      <c r="S57" s="66"/>
      <c r="T57" s="66"/>
      <c r="U57" s="66"/>
      <c r="V57" s="66"/>
      <c r="W57" s="66"/>
    </row>
    <row r="58" spans="2:23" x14ac:dyDescent="0.2">
      <c r="B58" s="53" t="s">
        <v>75</v>
      </c>
      <c r="E58" s="9"/>
      <c r="G58" s="67">
        <f>G21+G24+G31+G53+G55</f>
        <v>102083</v>
      </c>
      <c r="H58" s="67">
        <f>H21+H24+H31+H53+H55</f>
        <v>7539</v>
      </c>
      <c r="I58" s="67">
        <f>I21+I24+I31+I53+I55</f>
        <v>145371</v>
      </c>
      <c r="J58" s="67">
        <f>J21+J24+J31+J53+J55</f>
        <v>0</v>
      </c>
      <c r="K58" s="67">
        <f>SUM(G58:J58)</f>
        <v>254993</v>
      </c>
      <c r="L58" s="68"/>
      <c r="M58" s="67">
        <f>M21+M24+M31+M53+M55</f>
        <v>73007.493576772933</v>
      </c>
      <c r="N58" s="67">
        <f>N21+N24+N31+N53+N55</f>
        <v>4809.9594861418345</v>
      </c>
      <c r="O58" s="67">
        <f>O21+O24+O31+O53+O55</f>
        <v>80736.521244176969</v>
      </c>
      <c r="P58" s="67">
        <f>P21+P24+P31+P53+P55</f>
        <v>0</v>
      </c>
      <c r="Q58" s="67">
        <f>SUM(M58:P58)</f>
        <v>158553.97430709173</v>
      </c>
      <c r="R58" s="62"/>
      <c r="S58" s="62"/>
      <c r="T58" s="62"/>
      <c r="U58" s="62"/>
      <c r="V58" s="62"/>
      <c r="W58" s="62"/>
    </row>
    <row r="61" spans="2:23" ht="14.25" x14ac:dyDescent="0.2">
      <c r="B61" s="57" t="s">
        <v>76</v>
      </c>
    </row>
    <row r="62" spans="2:23" x14ac:dyDescent="0.2">
      <c r="E62" s="8"/>
    </row>
    <row r="63" spans="2:23" x14ac:dyDescent="0.2">
      <c r="D63" s="6" t="s">
        <v>77</v>
      </c>
      <c r="E63" s="8" t="s">
        <v>26</v>
      </c>
      <c r="G63" s="9">
        <v>164750</v>
      </c>
      <c r="H63" s="9">
        <v>13180</v>
      </c>
      <c r="I63" s="9">
        <v>481070</v>
      </c>
      <c r="J63" s="9"/>
      <c r="K63" s="9">
        <f>I63+H63+G63</f>
        <v>659000</v>
      </c>
      <c r="M63" s="9">
        <f>Q63*G83</f>
        <v>133128.68</v>
      </c>
      <c r="N63" s="9">
        <f>Q63*H83</f>
        <v>10650.294399999999</v>
      </c>
      <c r="O63" s="9">
        <f>Q63*I83</f>
        <v>388735.74559999997</v>
      </c>
      <c r="P63" s="9">
        <f t="shared" ref="P63" si="13">J63</f>
        <v>0</v>
      </c>
      <c r="Q63" s="9">
        <f>K63-((((69*114.57)*8)*2))</f>
        <v>532514.72</v>
      </c>
    </row>
    <row r="64" spans="2:23" x14ac:dyDescent="0.2">
      <c r="E64" s="8"/>
      <c r="G64" s="9"/>
      <c r="H64" s="9"/>
      <c r="I64" s="9"/>
      <c r="J64" s="9"/>
      <c r="K64" s="9"/>
      <c r="M64" s="9"/>
      <c r="N64" s="9"/>
      <c r="O64" s="9"/>
      <c r="P64" s="9"/>
      <c r="Q64" s="9"/>
    </row>
    <row r="65" spans="1:24" x14ac:dyDescent="0.2">
      <c r="D65" s="6" t="s">
        <v>94</v>
      </c>
      <c r="E65" s="8" t="s">
        <v>26</v>
      </c>
      <c r="G65" s="9">
        <v>0</v>
      </c>
      <c r="H65" s="9">
        <v>0</v>
      </c>
      <c r="I65" s="9">
        <v>113165</v>
      </c>
      <c r="J65" s="9">
        <v>0</v>
      </c>
      <c r="K65" s="9">
        <f>I65+H65+G65</f>
        <v>113165</v>
      </c>
      <c r="M65" s="9">
        <f>G65</f>
        <v>0</v>
      </c>
      <c r="N65" s="9">
        <f>H65</f>
        <v>0</v>
      </c>
      <c r="O65" s="9">
        <f>I65</f>
        <v>113165</v>
      </c>
      <c r="P65" s="9">
        <f>J65</f>
        <v>0</v>
      </c>
      <c r="Q65" s="9">
        <f>K65</f>
        <v>113165</v>
      </c>
    </row>
    <row r="66" spans="1:24" x14ac:dyDescent="0.2">
      <c r="E66" s="8"/>
    </row>
    <row r="67" spans="1:24" s="3" customFormat="1" x14ac:dyDescent="0.2">
      <c r="A67" s="6"/>
      <c r="B67" s="6"/>
      <c r="C67" s="6"/>
      <c r="D67" s="6" t="s">
        <v>78</v>
      </c>
      <c r="E67" s="8" t="s">
        <v>26</v>
      </c>
      <c r="F67" s="6"/>
      <c r="G67" s="9">
        <v>155131.75</v>
      </c>
      <c r="H67" s="9">
        <v>12410.54</v>
      </c>
      <c r="I67" s="9">
        <v>452984.70999999996</v>
      </c>
      <c r="J67" s="9">
        <v>0</v>
      </c>
      <c r="K67" s="9">
        <f>I67+H67+G67</f>
        <v>620527</v>
      </c>
      <c r="L67" s="6"/>
      <c r="M67" s="9">
        <f>G67</f>
        <v>155131.75</v>
      </c>
      <c r="N67" s="9">
        <f>H67</f>
        <v>12410.54</v>
      </c>
      <c r="O67" s="9">
        <f>I67</f>
        <v>452984.70999999996</v>
      </c>
      <c r="P67" s="9">
        <f>J67</f>
        <v>0</v>
      </c>
      <c r="Q67" s="9">
        <f>K67</f>
        <v>620527</v>
      </c>
      <c r="R67" s="9"/>
      <c r="S67" s="9"/>
      <c r="T67" s="9"/>
      <c r="U67" s="9"/>
      <c r="V67" s="9"/>
      <c r="W67" s="9"/>
      <c r="X67" s="6"/>
    </row>
    <row r="68" spans="1:24" s="3" customFormat="1" ht="13.5" thickBot="1" x14ac:dyDescent="0.25">
      <c r="A68" s="6"/>
      <c r="B68" s="6"/>
      <c r="C68" s="6"/>
      <c r="D68" s="6"/>
      <c r="E68" s="6"/>
      <c r="F68" s="6"/>
      <c r="G68" s="6"/>
      <c r="H68" s="6"/>
      <c r="I68" s="6"/>
      <c r="J68" s="6"/>
      <c r="K68" s="6"/>
      <c r="L68" s="6"/>
      <c r="M68" s="6"/>
      <c r="N68" s="6"/>
      <c r="O68" s="6"/>
      <c r="P68" s="6"/>
      <c r="Q68" s="6"/>
      <c r="R68" s="6"/>
      <c r="S68" s="6"/>
      <c r="T68" s="6"/>
      <c r="U68" s="6"/>
      <c r="V68" s="6"/>
      <c r="W68" s="6"/>
      <c r="X68" s="31"/>
    </row>
    <row r="69" spans="1:24" s="3" customFormat="1" ht="13.5" thickBot="1" x14ac:dyDescent="0.25">
      <c r="A69" s="6"/>
      <c r="B69" s="53" t="s">
        <v>79</v>
      </c>
      <c r="C69" s="6"/>
      <c r="D69" s="6"/>
      <c r="E69" s="8" t="s">
        <v>26</v>
      </c>
      <c r="F69" s="6"/>
      <c r="G69" s="67">
        <f>G67+G63</f>
        <v>319881.75</v>
      </c>
      <c r="H69" s="67">
        <f>H67+H63</f>
        <v>25590.54</v>
      </c>
      <c r="I69" s="67">
        <f>I67+I63+I65</f>
        <v>1047219.71</v>
      </c>
      <c r="J69" s="67">
        <f t="shared" ref="H69:Q70" si="14">J67</f>
        <v>0</v>
      </c>
      <c r="K69" s="67">
        <f>K67+K63+K65</f>
        <v>1392692</v>
      </c>
      <c r="L69" s="67">
        <f t="shared" ref="L69:Q69" si="15">L67+L63+L65</f>
        <v>0</v>
      </c>
      <c r="M69" s="67">
        <f t="shared" si="15"/>
        <v>288260.43</v>
      </c>
      <c r="N69" s="67">
        <f t="shared" si="15"/>
        <v>23060.8344</v>
      </c>
      <c r="O69" s="67">
        <f>O67+O63+O65</f>
        <v>954885.45559999999</v>
      </c>
      <c r="P69" s="67">
        <f t="shared" si="15"/>
        <v>0</v>
      </c>
      <c r="Q69" s="67">
        <f t="shared" si="15"/>
        <v>1266206.72</v>
      </c>
      <c r="R69" s="62"/>
      <c r="S69" s="62"/>
      <c r="T69" s="62"/>
      <c r="U69" s="62"/>
      <c r="V69" s="62"/>
      <c r="W69" s="62"/>
      <c r="X69" s="66"/>
    </row>
    <row r="70" spans="1:24" s="3" customFormat="1" x14ac:dyDescent="0.2">
      <c r="A70" s="6"/>
      <c r="B70" s="53"/>
      <c r="C70" s="6"/>
      <c r="D70" s="6"/>
      <c r="E70" s="8" t="s">
        <v>28</v>
      </c>
      <c r="F70" s="6"/>
      <c r="G70" s="67">
        <f>G68</f>
        <v>0</v>
      </c>
      <c r="H70" s="67">
        <f t="shared" si="14"/>
        <v>0</v>
      </c>
      <c r="I70" s="67">
        <f t="shared" si="14"/>
        <v>0</v>
      </c>
      <c r="J70" s="67">
        <f t="shared" si="14"/>
        <v>0</v>
      </c>
      <c r="K70" s="67">
        <f t="shared" si="14"/>
        <v>0</v>
      </c>
      <c r="L70" s="6"/>
      <c r="M70" s="67">
        <f t="shared" si="14"/>
        <v>0</v>
      </c>
      <c r="N70" s="67">
        <f t="shared" si="14"/>
        <v>0</v>
      </c>
      <c r="O70" s="67">
        <f t="shared" si="14"/>
        <v>0</v>
      </c>
      <c r="P70" s="67">
        <f t="shared" si="14"/>
        <v>0</v>
      </c>
      <c r="Q70" s="67">
        <f t="shared" si="14"/>
        <v>0</v>
      </c>
      <c r="R70" s="69"/>
      <c r="S70" s="69"/>
      <c r="T70" s="69"/>
      <c r="U70" s="69"/>
      <c r="V70" s="69"/>
      <c r="W70" s="69"/>
      <c r="X70" s="6"/>
    </row>
    <row r="71" spans="1:24" s="3" customFormat="1" x14ac:dyDescent="0.2">
      <c r="A71" s="6"/>
      <c r="B71" s="6"/>
      <c r="C71" s="6"/>
      <c r="D71" s="6"/>
      <c r="E71" s="6"/>
      <c r="F71" s="6"/>
      <c r="G71" s="6"/>
      <c r="H71" s="6"/>
      <c r="I71" s="6"/>
      <c r="J71" s="6"/>
      <c r="K71" s="9"/>
      <c r="L71" s="6"/>
      <c r="M71" s="6"/>
      <c r="N71" s="6"/>
      <c r="O71" s="6"/>
      <c r="P71" s="6"/>
      <c r="Q71" s="6"/>
      <c r="R71" s="6"/>
      <c r="S71" s="6"/>
      <c r="T71" s="6"/>
      <c r="U71" s="6"/>
      <c r="V71" s="6"/>
      <c r="W71" s="6"/>
      <c r="X71" s="9"/>
    </row>
    <row r="72" spans="1:24" s="3" customFormat="1" ht="13.5" thickBot="1" x14ac:dyDescent="0.25">
      <c r="A72" s="6"/>
      <c r="B72" s="6"/>
      <c r="C72" s="6"/>
      <c r="D72" s="6"/>
      <c r="E72" s="6"/>
      <c r="F72" s="6"/>
      <c r="G72" s="6"/>
      <c r="H72" s="6"/>
      <c r="I72" s="6"/>
      <c r="J72" s="6"/>
      <c r="K72" s="6"/>
      <c r="L72" s="6"/>
      <c r="M72" s="6"/>
      <c r="N72" s="6"/>
      <c r="O72" s="6"/>
      <c r="P72" s="6"/>
      <c r="Q72" s="6"/>
      <c r="R72" s="6"/>
      <c r="S72" s="6"/>
      <c r="T72" s="6"/>
      <c r="U72" s="6"/>
      <c r="V72" s="6"/>
      <c r="W72" s="6"/>
      <c r="X72" s="6"/>
    </row>
    <row r="73" spans="1:24" s="3" customFormat="1" ht="15" thickBot="1" x14ac:dyDescent="0.25">
      <c r="A73" s="6"/>
      <c r="B73" s="57" t="s">
        <v>80</v>
      </c>
      <c r="C73" s="6"/>
      <c r="D73" s="6"/>
      <c r="E73" s="6"/>
      <c r="F73" s="6"/>
      <c r="G73" s="21">
        <f>G58+G69</f>
        <v>421964.75</v>
      </c>
      <c r="H73" s="21">
        <f t="shared" ref="H73:K73" si="16">H58+H69</f>
        <v>33129.54</v>
      </c>
      <c r="I73" s="21">
        <f t="shared" si="16"/>
        <v>1192590.71</v>
      </c>
      <c r="J73" s="21">
        <f t="shared" si="16"/>
        <v>0</v>
      </c>
      <c r="K73" s="21">
        <f t="shared" si="16"/>
        <v>1647685</v>
      </c>
      <c r="L73" s="21">
        <f t="shared" ref="L73:P73" si="17">L58+L69</f>
        <v>0</v>
      </c>
      <c r="M73" s="21">
        <f>M58+M69</f>
        <v>361267.92357677291</v>
      </c>
      <c r="N73" s="21">
        <f>N58+N69</f>
        <v>27870.793886141833</v>
      </c>
      <c r="O73" s="21">
        <f>O58+O69</f>
        <v>1035621.976844177</v>
      </c>
      <c r="P73" s="21">
        <f t="shared" si="17"/>
        <v>0</v>
      </c>
      <c r="Q73" s="21">
        <f>Q58+Q69</f>
        <v>1424760.6943070916</v>
      </c>
      <c r="R73" s="62"/>
      <c r="S73" s="62"/>
      <c r="T73" s="62"/>
      <c r="U73" s="62"/>
      <c r="V73" s="62"/>
      <c r="W73" s="62"/>
      <c r="X73" s="6"/>
    </row>
    <row r="74" spans="1:24" s="3" customFormat="1" ht="13.5" thickTop="1" x14ac:dyDescent="0.2">
      <c r="A74" s="6"/>
      <c r="B74" s="6"/>
      <c r="C74" s="6"/>
      <c r="D74" s="6"/>
      <c r="E74" s="6"/>
      <c r="F74" s="6"/>
      <c r="G74" s="6"/>
      <c r="H74" s="6"/>
      <c r="I74" s="22"/>
      <c r="J74" s="6"/>
      <c r="K74" s="6"/>
      <c r="L74" s="6"/>
      <c r="M74" s="6"/>
      <c r="N74" s="6"/>
      <c r="O74" s="23"/>
      <c r="P74" s="6"/>
      <c r="Q74" s="6"/>
      <c r="R74" s="6"/>
      <c r="S74" s="6"/>
      <c r="T74" s="6"/>
      <c r="U74" s="6"/>
      <c r="V74" s="6"/>
      <c r="W74" s="6"/>
      <c r="X74" s="6"/>
    </row>
    <row r="75" spans="1:24" x14ac:dyDescent="0.2">
      <c r="I75" s="22"/>
      <c r="K75" s="9"/>
      <c r="O75" s="23"/>
    </row>
    <row r="76" spans="1:24" x14ac:dyDescent="0.2">
      <c r="G76" s="61"/>
      <c r="H76" s="61"/>
      <c r="I76" s="61"/>
      <c r="J76" s="9"/>
      <c r="K76" s="9"/>
      <c r="O76" s="23"/>
    </row>
    <row r="77" spans="1:24" x14ac:dyDescent="0.2">
      <c r="G77" s="22"/>
      <c r="H77" s="22"/>
      <c r="I77" s="9"/>
      <c r="J77" s="9"/>
      <c r="K77" s="9"/>
      <c r="O77" s="35"/>
    </row>
    <row r="78" spans="1:24" x14ac:dyDescent="0.2">
      <c r="G78" s="24"/>
      <c r="H78" s="24"/>
      <c r="I78" s="24"/>
      <c r="J78" s="61"/>
      <c r="K78" s="9"/>
      <c r="O78" s="23"/>
    </row>
    <row r="79" spans="1:24" x14ac:dyDescent="0.2">
      <c r="G79" s="22"/>
      <c r="H79" s="9"/>
      <c r="I79" s="9"/>
      <c r="J79" s="9"/>
      <c r="K79" s="9"/>
      <c r="M79" s="70"/>
      <c r="N79" s="70"/>
      <c r="O79" s="25"/>
      <c r="P79" s="70"/>
      <c r="Q79" s="70"/>
      <c r="R79" s="70"/>
      <c r="S79" s="70"/>
      <c r="T79" s="70"/>
      <c r="U79" s="70"/>
    </row>
    <row r="80" spans="1:24" x14ac:dyDescent="0.2">
      <c r="G80" s="22"/>
      <c r="H80" s="22"/>
      <c r="I80" s="22"/>
      <c r="J80" s="22"/>
      <c r="K80" s="22"/>
      <c r="M80" s="70"/>
      <c r="N80" s="70"/>
      <c r="O80" s="25"/>
      <c r="P80" s="70"/>
      <c r="Q80" s="70"/>
      <c r="R80" s="70"/>
      <c r="S80" s="70"/>
      <c r="T80" s="70"/>
      <c r="U80" s="70"/>
    </row>
    <row r="81" spans="5:25" x14ac:dyDescent="0.2">
      <c r="G81" s="71"/>
      <c r="I81" s="22"/>
      <c r="M81" s="70"/>
      <c r="N81" s="70"/>
      <c r="O81" s="25"/>
      <c r="P81" s="70"/>
      <c r="Q81" s="70"/>
      <c r="R81" s="70"/>
      <c r="S81" s="70"/>
      <c r="T81" s="70"/>
      <c r="U81" s="70"/>
    </row>
    <row r="82" spans="5:25" ht="13.5" thickBot="1" x14ac:dyDescent="0.25">
      <c r="M82" s="70"/>
      <c r="N82" s="70"/>
      <c r="O82" s="70"/>
      <c r="P82" s="70"/>
      <c r="Q82" s="70"/>
      <c r="R82" s="70"/>
      <c r="S82" s="70"/>
      <c r="T82" s="70"/>
      <c r="U82" s="70"/>
    </row>
    <row r="83" spans="5:25" x14ac:dyDescent="0.2">
      <c r="E83" s="72"/>
      <c r="F83" s="73"/>
      <c r="G83" s="74">
        <v>0.25</v>
      </c>
      <c r="H83" s="74">
        <v>0.02</v>
      </c>
      <c r="I83" s="74">
        <v>0.73</v>
      </c>
      <c r="J83" s="73"/>
      <c r="K83" s="96"/>
      <c r="M83" s="75"/>
      <c r="N83" s="76"/>
      <c r="O83" s="76"/>
      <c r="P83" s="76"/>
      <c r="Q83" s="77"/>
      <c r="R83" s="60"/>
      <c r="S83" s="60"/>
      <c r="T83" s="60"/>
      <c r="U83" s="60"/>
    </row>
    <row r="84" spans="5:25" x14ac:dyDescent="0.2">
      <c r="E84" s="50"/>
      <c r="F84" s="31"/>
      <c r="G84" s="31"/>
      <c r="H84" s="31"/>
      <c r="I84" s="31"/>
      <c r="J84" s="31"/>
      <c r="K84" s="78"/>
      <c r="M84" s="26"/>
      <c r="N84" s="60"/>
      <c r="O84" s="60"/>
      <c r="P84" s="60"/>
      <c r="Q84" s="60"/>
      <c r="R84" s="60"/>
      <c r="S84" s="60"/>
      <c r="T84" s="60"/>
      <c r="U84" s="60"/>
    </row>
    <row r="85" spans="5:25" x14ac:dyDescent="0.2">
      <c r="E85" s="50" t="s">
        <v>81</v>
      </c>
      <c r="F85" s="31"/>
      <c r="G85" s="31"/>
      <c r="H85" s="31"/>
      <c r="I85" s="31"/>
      <c r="J85" s="31"/>
      <c r="K85" s="79">
        <f>K73</f>
        <v>1647685</v>
      </c>
      <c r="M85" s="27"/>
      <c r="N85" s="77"/>
      <c r="O85" s="77"/>
      <c r="P85" s="77"/>
      <c r="Q85" s="77"/>
      <c r="R85" s="60"/>
      <c r="S85" s="60"/>
      <c r="T85" s="60"/>
      <c r="U85" s="60"/>
    </row>
    <row r="86" spans="5:25" x14ac:dyDescent="0.2">
      <c r="E86" s="50" t="s">
        <v>82</v>
      </c>
      <c r="F86" s="31"/>
      <c r="G86" s="31"/>
      <c r="H86" s="31"/>
      <c r="I86" s="31"/>
      <c r="J86" s="31"/>
      <c r="K86" s="79">
        <v>0</v>
      </c>
      <c r="M86" s="70"/>
      <c r="N86" s="60"/>
      <c r="O86" s="60"/>
      <c r="P86" s="60"/>
      <c r="Q86" s="60"/>
      <c r="R86" s="60"/>
      <c r="S86" s="60"/>
      <c r="T86" s="60"/>
      <c r="U86" s="60"/>
    </row>
    <row r="87" spans="5:25" x14ac:dyDescent="0.2">
      <c r="E87" s="50"/>
      <c r="F87" s="31"/>
      <c r="G87" s="31"/>
      <c r="H87" s="31"/>
      <c r="I87" s="31"/>
      <c r="J87" s="31"/>
      <c r="K87" s="79"/>
      <c r="M87" s="27"/>
      <c r="N87" s="60"/>
      <c r="O87" s="60"/>
      <c r="P87" s="60"/>
      <c r="Q87" s="60"/>
      <c r="R87" s="60"/>
      <c r="S87" s="60"/>
      <c r="T87" s="60"/>
      <c r="U87" s="60"/>
    </row>
    <row r="88" spans="5:25" x14ac:dyDescent="0.2">
      <c r="E88" s="50" t="s">
        <v>83</v>
      </c>
      <c r="F88" s="31"/>
      <c r="G88" s="31"/>
      <c r="H88" s="31"/>
      <c r="I88" s="31"/>
      <c r="J88" s="31"/>
      <c r="K88" s="80">
        <f>SUM(K85:K87)</f>
        <v>1647685</v>
      </c>
      <c r="M88" s="27"/>
      <c r="N88" s="60"/>
      <c r="O88" s="60"/>
      <c r="P88" s="60"/>
      <c r="Q88" s="60"/>
      <c r="R88" s="60"/>
      <c r="S88" s="60"/>
      <c r="T88" s="60"/>
      <c r="U88" s="60"/>
    </row>
    <row r="89" spans="5:25" x14ac:dyDescent="0.2">
      <c r="E89" s="50" t="s">
        <v>84</v>
      </c>
      <c r="F89" s="31"/>
      <c r="G89" s="31"/>
      <c r="H89" s="31"/>
      <c r="I89" s="31"/>
      <c r="J89" s="31"/>
      <c r="K89" s="79">
        <f>I65</f>
        <v>113165</v>
      </c>
      <c r="M89" s="27"/>
      <c r="N89" s="60"/>
      <c r="O89" s="81"/>
      <c r="P89" s="81"/>
      <c r="Q89" s="77"/>
      <c r="R89" s="60"/>
      <c r="S89" s="60"/>
      <c r="T89" s="60"/>
      <c r="U89" s="60"/>
    </row>
    <row r="90" spans="5:25" x14ac:dyDescent="0.2">
      <c r="E90" s="50" t="s">
        <v>85</v>
      </c>
      <c r="F90" s="31"/>
      <c r="G90" s="31"/>
      <c r="H90" s="31"/>
      <c r="I90" s="31"/>
      <c r="J90" s="31"/>
      <c r="K90" s="79">
        <f>G53</f>
        <v>23942</v>
      </c>
      <c r="M90" s="27"/>
      <c r="N90" s="60"/>
      <c r="O90" s="81"/>
      <c r="P90" s="81"/>
      <c r="Q90" s="77"/>
      <c r="R90" s="60"/>
      <c r="S90" s="60"/>
      <c r="T90" s="60"/>
      <c r="U90" s="60"/>
    </row>
    <row r="91" spans="5:25" x14ac:dyDescent="0.2">
      <c r="E91" s="50"/>
      <c r="F91" s="31"/>
      <c r="G91" s="31"/>
      <c r="H91" s="31"/>
      <c r="I91" s="31"/>
      <c r="J91" s="31"/>
      <c r="K91" s="79"/>
      <c r="M91" s="27"/>
      <c r="N91" s="60"/>
      <c r="O91" s="81"/>
      <c r="P91" s="81"/>
      <c r="Q91" s="77"/>
      <c r="R91" s="60"/>
      <c r="S91" s="60"/>
      <c r="T91" s="60"/>
      <c r="U91" s="60"/>
    </row>
    <row r="92" spans="5:25" ht="13.5" thickBot="1" x14ac:dyDescent="0.25">
      <c r="E92" s="50" t="s">
        <v>86</v>
      </c>
      <c r="F92" s="31"/>
      <c r="G92" s="31"/>
      <c r="H92" s="31"/>
      <c r="I92" s="31"/>
      <c r="J92" s="31"/>
      <c r="K92" s="82">
        <f>K88-K89-K90-K91</f>
        <v>1510578</v>
      </c>
      <c r="M92" s="27"/>
      <c r="N92" s="60"/>
      <c r="O92" s="60"/>
      <c r="P92" s="60"/>
      <c r="Q92" s="60"/>
      <c r="R92" s="60"/>
      <c r="S92" s="60"/>
      <c r="T92" s="60"/>
      <c r="U92" s="60"/>
    </row>
    <row r="93" spans="5:25" ht="13.5" thickTop="1" x14ac:dyDescent="0.2">
      <c r="E93" s="50"/>
      <c r="F93" s="31"/>
      <c r="G93" s="31"/>
      <c r="H93" s="31"/>
      <c r="I93" s="31"/>
      <c r="J93" s="83" t="s">
        <v>87</v>
      </c>
      <c r="K93" s="79"/>
      <c r="M93" s="27"/>
      <c r="N93" s="60"/>
      <c r="O93" s="60"/>
      <c r="P93" s="60"/>
      <c r="Q93" s="77"/>
      <c r="R93" s="60"/>
      <c r="S93" s="60"/>
      <c r="T93" s="60"/>
      <c r="U93" s="60"/>
    </row>
    <row r="94" spans="5:25" x14ac:dyDescent="0.2">
      <c r="E94" s="50" t="s">
        <v>81</v>
      </c>
      <c r="F94" s="31"/>
      <c r="G94" s="29">
        <f>G73</f>
        <v>421964.75</v>
      </c>
      <c r="H94" s="29">
        <f>H73</f>
        <v>33129.54</v>
      </c>
      <c r="I94" s="29">
        <f>I73</f>
        <v>1192590.71</v>
      </c>
      <c r="J94" s="29"/>
      <c r="K94" s="79"/>
      <c r="M94" s="27"/>
      <c r="N94" s="60"/>
      <c r="O94" s="60"/>
      <c r="P94" s="60"/>
      <c r="Q94" s="60"/>
      <c r="R94" s="60"/>
      <c r="S94" s="60"/>
      <c r="T94" s="60"/>
      <c r="U94" s="60">
        <v>0</v>
      </c>
      <c r="Y94" s="3">
        <v>900323.36</v>
      </c>
    </row>
    <row r="95" spans="5:25" x14ac:dyDescent="0.2">
      <c r="E95" s="50" t="s">
        <v>88</v>
      </c>
      <c r="F95" s="31"/>
      <c r="G95" s="29">
        <f>K90</f>
        <v>23942</v>
      </c>
      <c r="H95" s="84">
        <v>0</v>
      </c>
      <c r="I95" s="84">
        <f>K89</f>
        <v>113165</v>
      </c>
      <c r="K95" s="78"/>
      <c r="M95" s="70"/>
      <c r="N95" s="60"/>
      <c r="O95" s="60"/>
      <c r="P95" s="60"/>
      <c r="Q95" s="60"/>
      <c r="R95" s="60"/>
      <c r="S95" s="60"/>
      <c r="T95" s="60"/>
      <c r="U95" s="60"/>
    </row>
    <row r="96" spans="5:25" ht="13.5" thickBot="1" x14ac:dyDescent="0.25">
      <c r="E96" s="50" t="s">
        <v>89</v>
      </c>
      <c r="F96" s="31"/>
      <c r="G96" s="85">
        <f>G94-G95</f>
        <v>398022.75</v>
      </c>
      <c r="H96" s="85">
        <f>H94-H95</f>
        <v>33129.54</v>
      </c>
      <c r="I96" s="85">
        <f>I94-I95</f>
        <v>1079425.71</v>
      </c>
      <c r="J96" s="28"/>
      <c r="K96" s="79"/>
      <c r="M96" s="70"/>
      <c r="N96" s="60"/>
      <c r="O96" s="60"/>
      <c r="P96" s="58"/>
      <c r="Q96" s="60"/>
      <c r="R96" s="60"/>
      <c r="S96" s="60"/>
      <c r="T96" s="60"/>
      <c r="U96" s="60"/>
    </row>
    <row r="97" spans="5:21" ht="14.25" thickTop="1" thickBot="1" x14ac:dyDescent="0.25">
      <c r="E97" s="50" t="s">
        <v>90</v>
      </c>
      <c r="F97" s="31"/>
      <c r="G97" s="86">
        <f>G96/$K$92</f>
        <v>0.2634903659393954</v>
      </c>
      <c r="H97" s="86">
        <f t="shared" ref="H97:I97" si="18">H96/$K$92</f>
        <v>2.1931697668044949E-2</v>
      </c>
      <c r="I97" s="86">
        <f t="shared" si="18"/>
        <v>0.71457793639255962</v>
      </c>
      <c r="J97" s="29"/>
      <c r="K97" s="79"/>
      <c r="M97" s="70"/>
      <c r="N97" s="60"/>
      <c r="O97" s="60"/>
      <c r="P97" s="60"/>
      <c r="Q97" s="60"/>
      <c r="R97" s="60"/>
      <c r="S97" s="60"/>
      <c r="T97" s="60"/>
      <c r="U97" s="60"/>
    </row>
    <row r="98" spans="5:21" ht="14.25" thickTop="1" thickBot="1" x14ac:dyDescent="0.25">
      <c r="E98" s="87"/>
      <c r="F98" s="88"/>
      <c r="G98" s="89" t="s">
        <v>91</v>
      </c>
      <c r="H98" s="89" t="s">
        <v>92</v>
      </c>
      <c r="I98" s="89" t="s">
        <v>5</v>
      </c>
      <c r="J98" s="88"/>
      <c r="K98" s="90"/>
      <c r="M98" s="70"/>
      <c r="N98" s="91"/>
      <c r="O98" s="91"/>
      <c r="P98" s="91"/>
      <c r="Q98" s="60"/>
      <c r="R98" s="60"/>
      <c r="S98" s="60"/>
      <c r="T98" s="60"/>
      <c r="U98" s="60"/>
    </row>
    <row r="99" spans="5:21" x14ac:dyDescent="0.2">
      <c r="J99" s="73"/>
      <c r="K99" s="92"/>
      <c r="M99" s="70"/>
      <c r="N99" s="91"/>
      <c r="O99" s="91"/>
      <c r="P99" s="91"/>
      <c r="Q99" s="60"/>
      <c r="R99" s="60"/>
      <c r="S99" s="60"/>
      <c r="T99" s="60"/>
      <c r="U99" s="60"/>
    </row>
    <row r="100" spans="5:21" x14ac:dyDescent="0.2">
      <c r="J100" s="29"/>
      <c r="K100" s="29"/>
      <c r="M100" s="70"/>
      <c r="N100" s="60"/>
      <c r="O100" s="60"/>
      <c r="P100" s="60"/>
      <c r="Q100" s="60"/>
      <c r="R100" s="60"/>
      <c r="S100" s="60"/>
      <c r="T100" s="60"/>
      <c r="U100" s="60"/>
    </row>
    <row r="101" spans="5:21" x14ac:dyDescent="0.2">
      <c r="E101" s="30"/>
      <c r="F101" s="31"/>
      <c r="G101" s="29"/>
      <c r="H101" s="29"/>
      <c r="I101" s="32"/>
      <c r="J101" s="93"/>
      <c r="K101" s="32"/>
      <c r="M101" s="70"/>
      <c r="N101" s="60"/>
      <c r="O101" s="60"/>
      <c r="P101" s="60"/>
      <c r="Q101" s="60"/>
      <c r="R101" s="60"/>
      <c r="S101" s="60"/>
      <c r="T101" s="60"/>
      <c r="U101" s="60"/>
    </row>
    <row r="102" spans="5:21" x14ac:dyDescent="0.2">
      <c r="E102" s="31"/>
      <c r="F102" s="31"/>
      <c r="G102" s="31"/>
      <c r="H102" s="31"/>
      <c r="I102" s="32"/>
      <c r="J102" s="93"/>
      <c r="K102" s="93"/>
      <c r="M102" s="94"/>
      <c r="N102" s="95"/>
      <c r="O102" s="95"/>
      <c r="P102" s="95"/>
      <c r="Q102" s="60"/>
      <c r="R102" s="60"/>
      <c r="S102" s="60"/>
      <c r="T102" s="60"/>
      <c r="U102" s="60"/>
    </row>
    <row r="103" spans="5:21" x14ac:dyDescent="0.2">
      <c r="E103" s="31"/>
      <c r="F103" s="31"/>
      <c r="G103" s="31"/>
      <c r="H103" s="29"/>
      <c r="I103" s="29"/>
      <c r="J103" s="31"/>
      <c r="K103" s="31"/>
      <c r="M103" s="70"/>
      <c r="N103" s="60"/>
      <c r="O103" s="60"/>
      <c r="P103" s="60"/>
      <c r="Q103" s="60"/>
      <c r="R103" s="60"/>
      <c r="S103" s="60"/>
      <c r="T103" s="60"/>
      <c r="U103" s="60"/>
    </row>
    <row r="104" spans="5:21" x14ac:dyDescent="0.2">
      <c r="E104" s="31"/>
      <c r="F104" s="31"/>
      <c r="G104" s="33"/>
      <c r="H104" s="33"/>
      <c r="I104" s="33"/>
      <c r="M104" s="70"/>
      <c r="N104" s="70"/>
      <c r="O104" s="70"/>
      <c r="P104" s="70"/>
      <c r="Q104" s="70"/>
      <c r="R104" s="70"/>
      <c r="S104" s="70"/>
      <c r="T104" s="70"/>
      <c r="U104" s="70"/>
    </row>
    <row r="105" spans="5:21" x14ac:dyDescent="0.2">
      <c r="E105" s="31"/>
      <c r="F105" s="31"/>
      <c r="G105" s="29"/>
      <c r="H105" s="29"/>
      <c r="I105" s="29"/>
      <c r="M105" s="70"/>
      <c r="N105" s="70"/>
      <c r="O105" s="70"/>
      <c r="P105" s="70"/>
      <c r="Q105" s="70"/>
      <c r="R105" s="70"/>
      <c r="S105" s="70"/>
      <c r="T105" s="70"/>
      <c r="U105" s="70"/>
    </row>
    <row r="106" spans="5:21" x14ac:dyDescent="0.2">
      <c r="E106" s="31"/>
      <c r="F106" s="31"/>
      <c r="G106" s="33"/>
      <c r="H106" s="33"/>
      <c r="I106" s="33"/>
      <c r="M106" s="70"/>
      <c r="N106" s="70"/>
      <c r="O106" s="70"/>
      <c r="P106" s="70"/>
      <c r="Q106" s="70"/>
      <c r="R106" s="70"/>
      <c r="S106" s="70"/>
      <c r="T106" s="70"/>
      <c r="U106" s="70"/>
    </row>
    <row r="107" spans="5:21" x14ac:dyDescent="0.2">
      <c r="E107" s="31"/>
      <c r="F107" s="31"/>
      <c r="G107" s="34"/>
      <c r="H107" s="34"/>
      <c r="I107" s="34"/>
      <c r="J107" s="31"/>
      <c r="M107" s="70"/>
      <c r="N107" s="70"/>
      <c r="O107" s="70"/>
      <c r="P107" s="70"/>
      <c r="Q107" s="70"/>
      <c r="R107" s="70"/>
      <c r="S107" s="70"/>
      <c r="T107" s="70"/>
      <c r="U107" s="70"/>
    </row>
    <row r="108" spans="5:21" x14ac:dyDescent="0.2">
      <c r="G108" s="29"/>
      <c r="H108" s="29"/>
      <c r="I108" s="29"/>
      <c r="J108" s="31"/>
      <c r="M108" s="70"/>
      <c r="N108" s="70"/>
      <c r="O108" s="70"/>
      <c r="P108" s="70"/>
      <c r="Q108" s="70"/>
      <c r="R108" s="70"/>
      <c r="S108" s="70"/>
      <c r="T108" s="70"/>
      <c r="U108" s="70"/>
    </row>
    <row r="109" spans="5:21" x14ac:dyDescent="0.2">
      <c r="G109" s="31"/>
      <c r="H109" s="31"/>
      <c r="I109" s="31"/>
      <c r="J109" s="31"/>
      <c r="M109" s="70"/>
      <c r="N109" s="70"/>
      <c r="O109" s="70"/>
      <c r="P109" s="70"/>
      <c r="Q109" s="70"/>
      <c r="R109" s="70"/>
      <c r="S109" s="70"/>
      <c r="T109" s="70"/>
      <c r="U109" s="7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02267-04D4-492F-820B-834AB93B5786}">
  <sheetPr>
    <pageSetUpPr fitToPage="1"/>
  </sheetPr>
  <dimension ref="A1:Y108"/>
  <sheetViews>
    <sheetView zoomScale="90" zoomScaleNormal="90" workbookViewId="0">
      <selection activeCell="G67" sqref="G67"/>
    </sheetView>
  </sheetViews>
  <sheetFormatPr defaultColWidth="9.140625" defaultRowHeight="12.75" x14ac:dyDescent="0.2"/>
  <cols>
    <col min="1" max="1" width="0.85546875" style="6" customWidth="1"/>
    <col min="2" max="2" width="22.140625" style="6" customWidth="1"/>
    <col min="3" max="3" width="0.85546875" style="6" customWidth="1"/>
    <col min="4" max="4" width="36.140625" style="6" customWidth="1"/>
    <col min="5" max="5" width="22" style="6" bestFit="1" customWidth="1"/>
    <col min="6" max="6" width="1.28515625" style="6" customWidth="1"/>
    <col min="7" max="7" width="22.5703125" style="6" customWidth="1"/>
    <col min="8" max="8" width="20" style="6" customWidth="1"/>
    <col min="9" max="9" width="16.140625" style="6" customWidth="1"/>
    <col min="10" max="10" width="14.7109375" style="6" customWidth="1"/>
    <col min="11" max="11" width="16.85546875" style="6" customWidth="1"/>
    <col min="12" max="12" width="1.7109375" style="6" customWidth="1"/>
    <col min="13" max="13" width="14.7109375" style="6" customWidth="1"/>
    <col min="14" max="14" width="15.85546875" style="6" customWidth="1"/>
    <col min="15" max="15" width="16.85546875" style="6" customWidth="1"/>
    <col min="16" max="16" width="14.7109375" style="6" customWidth="1"/>
    <col min="17" max="17" width="16.140625" style="6" customWidth="1"/>
    <col min="18" max="19" width="2.5703125" style="6" customWidth="1"/>
    <col min="20" max="23" width="16.140625" style="6" customWidth="1"/>
    <col min="24" max="24" width="2.7109375" style="6" customWidth="1"/>
    <col min="25" max="25" width="47" style="3" hidden="1" customWidth="1"/>
    <col min="26" max="16384" width="9.140625" style="6"/>
  </cols>
  <sheetData>
    <row r="1" spans="2:25" ht="15" x14ac:dyDescent="0.25">
      <c r="E1" s="53"/>
      <c r="F1" s="53"/>
      <c r="I1" s="54"/>
    </row>
    <row r="2" spans="2:25" ht="20.25" thickBot="1" x14ac:dyDescent="0.3">
      <c r="B2" s="55" t="s">
        <v>6</v>
      </c>
      <c r="C2" s="53"/>
      <c r="D2" s="53"/>
      <c r="E2" s="53"/>
      <c r="F2" s="53"/>
      <c r="G2" s="272" t="s">
        <v>146</v>
      </c>
      <c r="H2" s="272"/>
      <c r="I2" s="272"/>
      <c r="J2" s="272"/>
      <c r="K2" s="272"/>
      <c r="M2" s="272" t="s">
        <v>147</v>
      </c>
      <c r="N2" s="272"/>
      <c r="O2" s="272"/>
      <c r="P2" s="272"/>
      <c r="Q2" s="272"/>
      <c r="R2" s="4"/>
      <c r="S2" s="4"/>
      <c r="T2" s="4"/>
      <c r="U2" s="4"/>
      <c r="V2" s="4"/>
      <c r="W2" s="4"/>
    </row>
    <row r="3" spans="2:25" ht="19.5" x14ac:dyDescent="0.25">
      <c r="B3" s="55" t="s">
        <v>7</v>
      </c>
      <c r="C3" s="53"/>
      <c r="D3" s="53"/>
    </row>
    <row r="4" spans="2:25" x14ac:dyDescent="0.2">
      <c r="B4" s="53" t="s">
        <v>148</v>
      </c>
      <c r="C4" s="53"/>
      <c r="D4" s="53"/>
      <c r="G4" s="7" t="s">
        <v>8</v>
      </c>
      <c r="H4" s="7" t="s">
        <v>9</v>
      </c>
      <c r="I4" s="7" t="s">
        <v>10</v>
      </c>
      <c r="J4" s="7" t="s">
        <v>11</v>
      </c>
      <c r="K4" s="7" t="s">
        <v>12</v>
      </c>
      <c r="M4" s="7" t="s">
        <v>8</v>
      </c>
      <c r="N4" s="7" t="s">
        <v>9</v>
      </c>
      <c r="O4" s="7" t="s">
        <v>10</v>
      </c>
      <c r="P4" s="7" t="s">
        <v>11</v>
      </c>
      <c r="Q4" s="7" t="s">
        <v>12</v>
      </c>
      <c r="R4" s="7"/>
      <c r="S4" s="7"/>
      <c r="T4" s="7"/>
      <c r="U4" s="7"/>
      <c r="V4" s="7"/>
      <c r="W4" s="7"/>
    </row>
    <row r="5" spans="2:25" ht="15" x14ac:dyDescent="0.2">
      <c r="B5" s="56"/>
      <c r="C5" s="53"/>
      <c r="D5" s="56" t="s">
        <v>13</v>
      </c>
      <c r="G5" s="7" t="s">
        <v>14</v>
      </c>
      <c r="H5" s="7" t="s">
        <v>15</v>
      </c>
      <c r="I5" s="7" t="s">
        <v>16</v>
      </c>
      <c r="J5" s="7" t="s">
        <v>17</v>
      </c>
      <c r="K5" s="7" t="s">
        <v>18</v>
      </c>
      <c r="M5" s="7" t="s">
        <v>14</v>
      </c>
      <c r="N5" s="7" t="s">
        <v>15</v>
      </c>
      <c r="O5" s="7" t="s">
        <v>16</v>
      </c>
      <c r="P5" s="7" t="s">
        <v>17</v>
      </c>
      <c r="Q5" s="7" t="s">
        <v>18</v>
      </c>
      <c r="R5" s="7"/>
      <c r="S5" s="7"/>
      <c r="T5" s="7"/>
      <c r="U5" s="7"/>
      <c r="V5" s="7"/>
      <c r="W5" s="7"/>
    </row>
    <row r="6" spans="2:25" x14ac:dyDescent="0.2">
      <c r="B6" s="53" t="s">
        <v>149</v>
      </c>
      <c r="D6" s="5"/>
      <c r="G6" s="7"/>
      <c r="H6" s="7" t="s">
        <v>19</v>
      </c>
      <c r="I6" s="7"/>
      <c r="J6" s="7"/>
      <c r="K6" s="7"/>
      <c r="M6" s="7"/>
      <c r="N6" s="7" t="s">
        <v>19</v>
      </c>
      <c r="O6" s="7"/>
      <c r="P6" s="7"/>
      <c r="Q6" s="7"/>
      <c r="R6" s="7"/>
      <c r="S6" s="7"/>
      <c r="T6" s="7"/>
      <c r="U6" s="7"/>
      <c r="V6" s="7"/>
      <c r="W6" s="7"/>
    </row>
    <row r="7" spans="2:25" ht="13.5" thickBot="1" x14ac:dyDescent="0.25">
      <c r="B7" s="53"/>
      <c r="G7" s="98" t="s">
        <v>20</v>
      </c>
      <c r="H7" s="98" t="s">
        <v>21</v>
      </c>
      <c r="I7" s="98" t="s">
        <v>22</v>
      </c>
      <c r="J7" s="98"/>
      <c r="K7" s="98" t="s">
        <v>23</v>
      </c>
      <c r="M7" s="98" t="s">
        <v>20</v>
      </c>
      <c r="N7" s="98" t="s">
        <v>21</v>
      </c>
      <c r="O7" s="98" t="s">
        <v>22</v>
      </c>
      <c r="P7" s="98"/>
      <c r="Q7" s="98" t="s">
        <v>23</v>
      </c>
      <c r="R7" s="4"/>
      <c r="S7" s="4"/>
      <c r="T7" s="4"/>
      <c r="U7" s="4"/>
      <c r="V7" s="4"/>
      <c r="W7" s="4"/>
    </row>
    <row r="8" spans="2:25" ht="5.0999999999999996" customHeight="1" x14ac:dyDescent="0.2">
      <c r="B8" s="53"/>
      <c r="G8" s="7"/>
      <c r="H8" s="7"/>
      <c r="I8" s="7"/>
      <c r="J8" s="7"/>
      <c r="K8" s="7"/>
      <c r="M8" s="7"/>
      <c r="N8" s="7"/>
      <c r="O8" s="7"/>
      <c r="P8" s="7"/>
      <c r="Q8" s="7"/>
      <c r="R8" s="7"/>
      <c r="S8" s="7"/>
      <c r="T8" s="7"/>
      <c r="U8" s="7"/>
      <c r="V8" s="7"/>
      <c r="W8" s="7"/>
    </row>
    <row r="9" spans="2:25" ht="15" thickBot="1" x14ac:dyDescent="0.25">
      <c r="B9" s="57" t="s">
        <v>24</v>
      </c>
      <c r="D9" s="6" t="s">
        <v>25</v>
      </c>
      <c r="E9" s="8" t="s">
        <v>26</v>
      </c>
      <c r="G9" s="9">
        <v>13758</v>
      </c>
      <c r="H9" s="9">
        <v>1376</v>
      </c>
      <c r="I9" s="9">
        <v>30726</v>
      </c>
      <c r="J9" s="9"/>
      <c r="K9" s="9">
        <f>J9+I9+H9+G9</f>
        <v>45860</v>
      </c>
      <c r="M9" s="9">
        <v>0</v>
      </c>
      <c r="N9" s="9">
        <v>0</v>
      </c>
      <c r="O9" s="9">
        <v>0</v>
      </c>
      <c r="P9" s="9">
        <v>0</v>
      </c>
      <c r="Q9" s="9">
        <f>SUM(M9:P9)</f>
        <v>0</v>
      </c>
      <c r="R9" s="9"/>
      <c r="S9" s="9"/>
      <c r="T9" s="9"/>
      <c r="U9" s="9"/>
      <c r="V9" s="9"/>
      <c r="W9" s="9"/>
    </row>
    <row r="10" spans="2:25" x14ac:dyDescent="0.2">
      <c r="B10" s="53" t="s">
        <v>27</v>
      </c>
      <c r="E10" s="8" t="s">
        <v>28</v>
      </c>
      <c r="G10" s="10">
        <v>230.1</v>
      </c>
      <c r="H10" s="10">
        <v>23</v>
      </c>
      <c r="I10" s="10">
        <v>513.4</v>
      </c>
      <c r="J10" s="10"/>
      <c r="K10" s="10"/>
      <c r="M10" s="10">
        <f>G10</f>
        <v>230.1</v>
      </c>
      <c r="N10" s="10">
        <f>H10</f>
        <v>23</v>
      </c>
      <c r="O10" s="10">
        <f>I10</f>
        <v>513.4</v>
      </c>
      <c r="P10" s="10">
        <v>0</v>
      </c>
      <c r="Q10" s="10">
        <f>SUM(M10:P10)</f>
        <v>766.5</v>
      </c>
      <c r="R10" s="20"/>
      <c r="S10" s="20"/>
      <c r="T10" s="20"/>
      <c r="U10" s="20"/>
      <c r="V10" s="20"/>
      <c r="W10" s="20"/>
    </row>
    <row r="11" spans="2:25" x14ac:dyDescent="0.2">
      <c r="E11" s="8"/>
    </row>
    <row r="12" spans="2:25" ht="13.5" thickBot="1" x14ac:dyDescent="0.25">
      <c r="D12" s="6" t="s">
        <v>29</v>
      </c>
      <c r="E12" s="8" t="s">
        <v>26</v>
      </c>
      <c r="G12" s="9">
        <v>35677</v>
      </c>
      <c r="H12" s="9">
        <v>3568</v>
      </c>
      <c r="I12" s="9">
        <v>79680</v>
      </c>
      <c r="J12" s="9"/>
      <c r="K12" s="9">
        <f>J12+I12+H12+G12</f>
        <v>118925</v>
      </c>
      <c r="M12" s="9">
        <f t="shared" ref="M12:P13" si="0">G12</f>
        <v>35677</v>
      </c>
      <c r="N12" s="9">
        <f t="shared" si="0"/>
        <v>3568</v>
      </c>
      <c r="O12" s="9">
        <f t="shared" si="0"/>
        <v>79680</v>
      </c>
      <c r="P12" s="9">
        <f t="shared" si="0"/>
        <v>0</v>
      </c>
      <c r="Q12" s="9">
        <f>SUM(M12:P12)</f>
        <v>118925</v>
      </c>
      <c r="R12" s="9"/>
      <c r="S12" s="9"/>
      <c r="T12" s="58">
        <f>223294-K12</f>
        <v>104369</v>
      </c>
      <c r="U12" s="9"/>
      <c r="V12" s="9"/>
      <c r="W12" s="9"/>
    </row>
    <row r="13" spans="2:25" x14ac:dyDescent="0.2">
      <c r="E13" s="8" t="s">
        <v>28</v>
      </c>
      <c r="G13" s="10">
        <v>484.5</v>
      </c>
      <c r="H13" s="10">
        <v>48.6</v>
      </c>
      <c r="I13" s="10">
        <v>1082.0999999999999</v>
      </c>
      <c r="J13" s="10"/>
      <c r="K13" s="10">
        <f>G13+H13+I13+J13</f>
        <v>1615.1999999999998</v>
      </c>
      <c r="M13" s="10">
        <f t="shared" si="0"/>
        <v>484.5</v>
      </c>
      <c r="N13" s="10">
        <f t="shared" si="0"/>
        <v>48.6</v>
      </c>
      <c r="O13" s="10">
        <f t="shared" si="0"/>
        <v>1082.0999999999999</v>
      </c>
      <c r="P13" s="10">
        <v>0</v>
      </c>
      <c r="Q13" s="10">
        <f>SUM(M13:P13)</f>
        <v>1615.1999999999998</v>
      </c>
      <c r="R13" s="20"/>
      <c r="S13" s="20"/>
      <c r="T13" s="59"/>
      <c r="U13" s="20"/>
      <c r="V13" s="20"/>
      <c r="W13" s="20"/>
    </row>
    <row r="14" spans="2:25" x14ac:dyDescent="0.2">
      <c r="T14" s="60"/>
      <c r="Y14" s="11" t="s">
        <v>30</v>
      </c>
    </row>
    <row r="15" spans="2:25" x14ac:dyDescent="0.2">
      <c r="D15" s="6" t="s">
        <v>31</v>
      </c>
      <c r="E15" s="8" t="s">
        <v>32</v>
      </c>
      <c r="G15" s="9">
        <v>5414</v>
      </c>
      <c r="H15" s="9">
        <v>541</v>
      </c>
      <c r="I15" s="9">
        <v>12091</v>
      </c>
      <c r="J15" s="9"/>
      <c r="K15" s="9">
        <f>G15+H15+I15+J15</f>
        <v>18046</v>
      </c>
      <c r="M15" s="9">
        <v>0</v>
      </c>
      <c r="N15" s="9">
        <v>0</v>
      </c>
      <c r="O15" s="9">
        <v>0</v>
      </c>
      <c r="P15" s="9">
        <v>0</v>
      </c>
      <c r="Q15" s="9">
        <f t="shared" ref="Q15:Q20" si="1">SUM(M15:P15)</f>
        <v>0</v>
      </c>
      <c r="R15" s="9"/>
      <c r="S15" s="9"/>
      <c r="T15" s="58"/>
      <c r="U15" s="9"/>
      <c r="V15" s="9"/>
      <c r="W15" s="9"/>
    </row>
    <row r="16" spans="2:25" x14ac:dyDescent="0.2">
      <c r="D16" s="6" t="s">
        <v>33</v>
      </c>
      <c r="E16" s="8" t="s">
        <v>34</v>
      </c>
      <c r="G16" s="9">
        <v>4032</v>
      </c>
      <c r="H16" s="9">
        <v>403</v>
      </c>
      <c r="I16" s="9">
        <v>9004</v>
      </c>
      <c r="J16" s="9"/>
      <c r="K16" s="9">
        <f t="shared" ref="K16:K20" si="2">G16+H16+I16+J16</f>
        <v>13439</v>
      </c>
      <c r="M16" s="9">
        <f>G16</f>
        <v>4032</v>
      </c>
      <c r="N16" s="9">
        <f>H16</f>
        <v>403</v>
      </c>
      <c r="O16" s="9">
        <f>I16</f>
        <v>9004</v>
      </c>
      <c r="P16" s="9">
        <f>J16</f>
        <v>0</v>
      </c>
      <c r="Q16" s="9">
        <f t="shared" si="1"/>
        <v>13439</v>
      </c>
      <c r="R16" s="9"/>
      <c r="S16" s="9"/>
      <c r="T16" s="58"/>
      <c r="U16" s="9"/>
      <c r="V16" s="9"/>
      <c r="W16" s="9"/>
      <c r="Y16" s="3" t="s">
        <v>35</v>
      </c>
    </row>
    <row r="17" spans="2:25" x14ac:dyDescent="0.2">
      <c r="D17" s="61"/>
      <c r="E17" s="8" t="s">
        <v>36</v>
      </c>
      <c r="G17" s="9">
        <v>253</v>
      </c>
      <c r="H17" s="9">
        <v>25</v>
      </c>
      <c r="I17" s="9">
        <v>565</v>
      </c>
      <c r="J17" s="9"/>
      <c r="K17" s="9">
        <f t="shared" si="2"/>
        <v>843</v>
      </c>
      <c r="M17" s="9">
        <v>0</v>
      </c>
      <c r="N17" s="9">
        <v>0</v>
      </c>
      <c r="O17" s="9">
        <v>0</v>
      </c>
      <c r="P17" s="9">
        <v>0</v>
      </c>
      <c r="Q17" s="9">
        <f t="shared" si="1"/>
        <v>0</v>
      </c>
      <c r="R17" s="9"/>
      <c r="S17" s="9"/>
      <c r="T17" s="58"/>
      <c r="U17" s="9"/>
      <c r="V17" s="9"/>
      <c r="W17" s="9"/>
      <c r="Y17" s="12">
        <v>614800</v>
      </c>
    </row>
    <row r="18" spans="2:25" x14ac:dyDescent="0.2">
      <c r="E18" s="8" t="s">
        <v>37</v>
      </c>
      <c r="G18" s="9">
        <v>3400</v>
      </c>
      <c r="H18" s="9">
        <v>335</v>
      </c>
      <c r="I18" s="9">
        <v>7611</v>
      </c>
      <c r="J18" s="9"/>
      <c r="K18" s="9">
        <f t="shared" si="2"/>
        <v>11346</v>
      </c>
      <c r="M18" s="9">
        <v>0</v>
      </c>
      <c r="N18" s="9">
        <v>0</v>
      </c>
      <c r="O18" s="9">
        <v>0</v>
      </c>
      <c r="P18" s="9">
        <v>0</v>
      </c>
      <c r="Q18" s="9">
        <f t="shared" si="1"/>
        <v>0</v>
      </c>
      <c r="R18" s="9"/>
      <c r="S18" s="9"/>
      <c r="T18" s="58"/>
      <c r="U18" s="9"/>
      <c r="V18" s="9"/>
      <c r="W18" s="9"/>
    </row>
    <row r="19" spans="2:25" x14ac:dyDescent="0.2">
      <c r="E19" s="8" t="s">
        <v>38</v>
      </c>
      <c r="G19" s="9">
        <v>18946</v>
      </c>
      <c r="H19" s="9">
        <v>1545</v>
      </c>
      <c r="I19" s="9"/>
      <c r="J19" s="9"/>
      <c r="K19" s="9">
        <f t="shared" si="2"/>
        <v>20491</v>
      </c>
      <c r="M19" s="9">
        <f>G19</f>
        <v>18946</v>
      </c>
      <c r="N19" s="9">
        <f>H19</f>
        <v>1545</v>
      </c>
      <c r="O19" s="9">
        <f>I19</f>
        <v>0</v>
      </c>
      <c r="P19" s="9">
        <f>J19</f>
        <v>0</v>
      </c>
      <c r="Q19" s="9">
        <f t="shared" si="1"/>
        <v>20491</v>
      </c>
      <c r="R19" s="9"/>
      <c r="S19" s="9"/>
      <c r="T19" s="58"/>
      <c r="U19" s="9"/>
      <c r="V19" s="9"/>
      <c r="W19" s="9"/>
      <c r="Y19" s="3" t="s">
        <v>39</v>
      </c>
    </row>
    <row r="20" spans="2:25" x14ac:dyDescent="0.2">
      <c r="E20" s="8" t="s">
        <v>40</v>
      </c>
      <c r="G20" s="13">
        <v>2201</v>
      </c>
      <c r="H20" s="13">
        <v>204</v>
      </c>
      <c r="I20" s="13">
        <v>4547</v>
      </c>
      <c r="J20" s="13"/>
      <c r="K20" s="13">
        <f t="shared" si="2"/>
        <v>6952</v>
      </c>
      <c r="M20" s="9">
        <v>0</v>
      </c>
      <c r="N20" s="9">
        <v>0</v>
      </c>
      <c r="O20" s="9">
        <v>0</v>
      </c>
      <c r="P20" s="9">
        <v>0</v>
      </c>
      <c r="Q20" s="9">
        <f t="shared" si="1"/>
        <v>0</v>
      </c>
      <c r="R20" s="9"/>
      <c r="S20" s="9"/>
      <c r="T20" s="58"/>
      <c r="U20" s="9"/>
      <c r="V20" s="9"/>
      <c r="W20" s="9"/>
      <c r="Y20" s="12">
        <f>31030+1679</f>
        <v>32709</v>
      </c>
    </row>
    <row r="21" spans="2:25" x14ac:dyDescent="0.2">
      <c r="D21" s="53" t="s">
        <v>41</v>
      </c>
      <c r="E21" s="8"/>
      <c r="G21" s="14"/>
      <c r="H21" s="14"/>
      <c r="I21" s="14"/>
      <c r="J21" s="14"/>
      <c r="K21" s="14">
        <f t="shared" ref="K21" si="3">SUM(K15:K20)+K12+K9</f>
        <v>235902</v>
      </c>
      <c r="M21" s="15">
        <f>M9+M12+SUM(M15:M20)</f>
        <v>58655</v>
      </c>
      <c r="N21" s="15">
        <f>N9+N12+SUM(N15:N20)</f>
        <v>5516</v>
      </c>
      <c r="O21" s="15">
        <f>O9+O12+SUM(O15:O20)</f>
        <v>88684</v>
      </c>
      <c r="P21" s="15">
        <f>P9+P12+SUM(P15:P20)</f>
        <v>0</v>
      </c>
      <c r="Q21" s="15">
        <f>Q9+Q12+SUM(Q15:Q20)</f>
        <v>152855</v>
      </c>
      <c r="R21" s="62"/>
      <c r="S21" s="62"/>
      <c r="T21" s="63"/>
      <c r="U21" s="62"/>
      <c r="V21" s="62"/>
      <c r="W21" s="62"/>
    </row>
    <row r="22" spans="2:25" x14ac:dyDescent="0.2">
      <c r="E22" s="8"/>
      <c r="G22" s="9"/>
      <c r="H22" s="9"/>
      <c r="I22" s="9"/>
      <c r="J22" s="9"/>
      <c r="K22" s="9"/>
      <c r="M22" s="16"/>
      <c r="N22" s="9"/>
      <c r="O22" s="9"/>
      <c r="P22" s="9"/>
      <c r="Q22" s="9"/>
      <c r="R22" s="9"/>
      <c r="S22" s="9"/>
      <c r="T22" s="58"/>
      <c r="U22" s="9"/>
      <c r="V22" s="9"/>
      <c r="W22" s="9"/>
      <c r="Y22" s="3" t="s">
        <v>42</v>
      </c>
    </row>
    <row r="23" spans="2:25" x14ac:dyDescent="0.2">
      <c r="B23" s="53" t="s">
        <v>43</v>
      </c>
      <c r="E23" s="8" t="s">
        <v>44</v>
      </c>
      <c r="G23" s="13">
        <v>10160</v>
      </c>
      <c r="H23" s="13">
        <v>934</v>
      </c>
      <c r="I23" s="13">
        <v>22749</v>
      </c>
      <c r="J23" s="13"/>
      <c r="K23" s="13">
        <f>J23+I23+H23+G23</f>
        <v>33843</v>
      </c>
      <c r="M23" s="13">
        <f>$Q$23*G$82</f>
        <v>450.13446933962263</v>
      </c>
      <c r="N23" s="13">
        <f>$Q$23*H$82</f>
        <v>36.01075754716981</v>
      </c>
      <c r="O23" s="13">
        <f>$Q$23*I$82</f>
        <v>1314.3926504716981</v>
      </c>
      <c r="P23" s="13">
        <v>0</v>
      </c>
      <c r="Q23" s="13">
        <f>K23*Y23</f>
        <v>1800.5378773584905</v>
      </c>
      <c r="R23" s="17"/>
      <c r="S23" s="17"/>
      <c r="T23" s="18">
        <f>251603.59-K23</f>
        <v>217760.59</v>
      </c>
      <c r="U23" s="17"/>
      <c r="V23" s="17"/>
      <c r="W23" s="17"/>
      <c r="Y23" s="19">
        <f>Y20/Y17</f>
        <v>5.320266753415745E-2</v>
      </c>
    </row>
    <row r="24" spans="2:25" x14ac:dyDescent="0.2">
      <c r="B24" s="53"/>
      <c r="D24" s="53" t="s">
        <v>45</v>
      </c>
      <c r="E24" s="8"/>
      <c r="G24" s="14"/>
      <c r="H24" s="14"/>
      <c r="I24" s="14"/>
      <c r="J24" s="14"/>
      <c r="K24" s="14">
        <f>K23</f>
        <v>33843</v>
      </c>
      <c r="M24" s="14">
        <f>SUM(M23)</f>
        <v>450.13446933962263</v>
      </c>
      <c r="N24" s="14">
        <f>SUM(N23)</f>
        <v>36.01075754716981</v>
      </c>
      <c r="O24" s="14">
        <f>SUM(O23)</f>
        <v>1314.3926504716981</v>
      </c>
      <c r="P24" s="14">
        <f>SUM(P23)</f>
        <v>0</v>
      </c>
      <c r="Q24" s="14">
        <f>SUM(M24:P24)</f>
        <v>1800.5378773584905</v>
      </c>
      <c r="R24" s="14"/>
      <c r="S24" s="14"/>
      <c r="T24" s="64"/>
      <c r="U24" s="14"/>
      <c r="V24" s="14"/>
      <c r="W24" s="14"/>
    </row>
    <row r="25" spans="2:25" x14ac:dyDescent="0.2">
      <c r="B25" s="53"/>
    </row>
    <row r="26" spans="2:25" x14ac:dyDescent="0.2">
      <c r="B26" s="53" t="s">
        <v>46</v>
      </c>
      <c r="E26" s="8" t="s">
        <v>47</v>
      </c>
      <c r="G26" s="9">
        <v>586</v>
      </c>
      <c r="H26" s="9">
        <v>48</v>
      </c>
      <c r="I26" s="9">
        <v>1319</v>
      </c>
      <c r="J26" s="9"/>
      <c r="K26" s="9">
        <f>G26+H26+I26+J26</f>
        <v>1953</v>
      </c>
      <c r="M26" s="17">
        <v>0</v>
      </c>
      <c r="N26" s="17">
        <v>0</v>
      </c>
      <c r="O26" s="17">
        <v>0</v>
      </c>
      <c r="P26" s="9">
        <v>0</v>
      </c>
      <c r="Q26" s="9">
        <f t="shared" ref="Q26:Q31" si="4">SUM(M26:P26)</f>
        <v>0</v>
      </c>
      <c r="R26" s="9"/>
      <c r="S26" s="9"/>
      <c r="T26" s="9"/>
      <c r="U26" s="9"/>
      <c r="V26" s="9"/>
      <c r="W26" s="9"/>
    </row>
    <row r="27" spans="2:25" x14ac:dyDescent="0.2">
      <c r="B27" s="53"/>
      <c r="E27" s="8" t="s">
        <v>48</v>
      </c>
      <c r="G27" s="9">
        <v>1201</v>
      </c>
      <c r="H27" s="9">
        <v>120</v>
      </c>
      <c r="I27" s="9">
        <v>2683</v>
      </c>
      <c r="J27" s="9"/>
      <c r="K27" s="9">
        <f t="shared" ref="K27:K30" si="5">G27+H27+I27+J27</f>
        <v>4004</v>
      </c>
      <c r="M27" s="9">
        <f>G27</f>
        <v>1201</v>
      </c>
      <c r="N27" s="9">
        <f>H27</f>
        <v>120</v>
      </c>
      <c r="O27" s="9">
        <f>I27</f>
        <v>2683</v>
      </c>
      <c r="P27" s="9">
        <f>J27</f>
        <v>0</v>
      </c>
      <c r="Q27" s="9">
        <f>SUM(M27:P27)</f>
        <v>4004</v>
      </c>
      <c r="R27" s="9"/>
      <c r="S27" s="9"/>
      <c r="T27" s="9"/>
      <c r="U27" s="9"/>
      <c r="V27" s="9"/>
      <c r="W27" s="9"/>
    </row>
    <row r="28" spans="2:25" x14ac:dyDescent="0.2">
      <c r="B28" s="53"/>
      <c r="E28" s="6" t="s">
        <v>49</v>
      </c>
      <c r="G28" s="9"/>
      <c r="H28" s="9"/>
      <c r="I28" s="9"/>
      <c r="J28" s="9"/>
      <c r="K28" s="9">
        <f t="shared" si="5"/>
        <v>0</v>
      </c>
      <c r="M28" s="9">
        <v>0</v>
      </c>
      <c r="N28" s="9">
        <v>0</v>
      </c>
      <c r="O28" s="9">
        <v>0</v>
      </c>
      <c r="P28" s="9">
        <v>0</v>
      </c>
      <c r="Q28" s="9">
        <f t="shared" si="4"/>
        <v>0</v>
      </c>
      <c r="R28" s="9"/>
      <c r="S28" s="9"/>
      <c r="T28" s="9"/>
      <c r="U28" s="9"/>
      <c r="V28" s="9"/>
      <c r="W28" s="9"/>
    </row>
    <row r="29" spans="2:25" x14ac:dyDescent="0.2">
      <c r="B29" s="53"/>
      <c r="E29" s="8" t="s">
        <v>50</v>
      </c>
      <c r="G29" s="9">
        <v>177</v>
      </c>
      <c r="H29" s="9">
        <v>18</v>
      </c>
      <c r="I29" s="9">
        <v>395</v>
      </c>
      <c r="J29" s="9"/>
      <c r="K29" s="9">
        <f t="shared" si="5"/>
        <v>590</v>
      </c>
      <c r="M29" s="9">
        <f t="shared" ref="M29:P30" si="6">G29</f>
        <v>177</v>
      </c>
      <c r="N29" s="9">
        <f t="shared" si="6"/>
        <v>18</v>
      </c>
      <c r="O29" s="9">
        <f t="shared" si="6"/>
        <v>395</v>
      </c>
      <c r="P29" s="9">
        <f t="shared" si="6"/>
        <v>0</v>
      </c>
      <c r="Q29" s="9">
        <f t="shared" si="4"/>
        <v>590</v>
      </c>
      <c r="R29" s="9"/>
      <c r="S29" s="9"/>
      <c r="T29" s="9"/>
      <c r="U29" s="9"/>
      <c r="V29" s="9"/>
      <c r="W29" s="9"/>
    </row>
    <row r="30" spans="2:25" x14ac:dyDescent="0.2">
      <c r="B30" s="53"/>
      <c r="E30" s="8" t="s">
        <v>51</v>
      </c>
      <c r="G30" s="13">
        <v>668</v>
      </c>
      <c r="H30" s="13">
        <v>58</v>
      </c>
      <c r="I30" s="13">
        <v>1494</v>
      </c>
      <c r="J30" s="13"/>
      <c r="K30" s="13">
        <f t="shared" si="5"/>
        <v>2220</v>
      </c>
      <c r="M30" s="13">
        <f t="shared" si="6"/>
        <v>668</v>
      </c>
      <c r="N30" s="13">
        <f t="shared" si="6"/>
        <v>58</v>
      </c>
      <c r="O30" s="13">
        <f t="shared" si="6"/>
        <v>1494</v>
      </c>
      <c r="P30" s="13">
        <f>J30</f>
        <v>0</v>
      </c>
      <c r="Q30" s="13">
        <f t="shared" si="4"/>
        <v>2220</v>
      </c>
      <c r="R30" s="17"/>
      <c r="S30" s="17"/>
      <c r="T30" s="17"/>
      <c r="U30" s="17"/>
      <c r="V30" s="17"/>
      <c r="W30" s="17"/>
    </row>
    <row r="31" spans="2:25" x14ac:dyDescent="0.2">
      <c r="B31" s="53"/>
      <c r="D31" s="53" t="s">
        <v>52</v>
      </c>
      <c r="G31" s="14"/>
      <c r="H31" s="14"/>
      <c r="I31" s="14"/>
      <c r="J31" s="14"/>
      <c r="K31" s="14">
        <f>SUM(K26:K30)</f>
        <v>8767</v>
      </c>
      <c r="M31" s="14">
        <f>SUM(M26:M30)</f>
        <v>2046</v>
      </c>
      <c r="N31" s="14">
        <f>SUM(N26:N30)</f>
        <v>196</v>
      </c>
      <c r="O31" s="14">
        <f>SUM(O26:O30)</f>
        <v>4572</v>
      </c>
      <c r="P31" s="14">
        <f>SUM(P26:P30)</f>
        <v>0</v>
      </c>
      <c r="Q31" s="14">
        <f t="shared" si="4"/>
        <v>6814</v>
      </c>
      <c r="R31" s="14"/>
      <c r="S31" s="14"/>
      <c r="T31" s="14"/>
      <c r="U31" s="14"/>
      <c r="V31" s="14"/>
      <c r="W31" s="14"/>
    </row>
    <row r="32" spans="2:25" x14ac:dyDescent="0.2">
      <c r="B32" s="53"/>
    </row>
    <row r="33" spans="2:23" x14ac:dyDescent="0.2">
      <c r="B33" s="53" t="s">
        <v>53</v>
      </c>
      <c r="D33" s="53" t="s">
        <v>54</v>
      </c>
      <c r="E33" s="6" t="s">
        <v>55</v>
      </c>
      <c r="G33" s="9"/>
      <c r="H33" s="9"/>
      <c r="I33" s="9"/>
      <c r="J33" s="9"/>
      <c r="K33" s="9">
        <f>G33+H33+I33+J33</f>
        <v>0</v>
      </c>
      <c r="M33" s="9">
        <f t="shared" ref="M33:P34" si="7">G33</f>
        <v>0</v>
      </c>
      <c r="N33" s="9">
        <f t="shared" si="7"/>
        <v>0</v>
      </c>
      <c r="O33" s="9">
        <f t="shared" si="7"/>
        <v>0</v>
      </c>
      <c r="P33" s="9">
        <f t="shared" si="7"/>
        <v>0</v>
      </c>
      <c r="Q33" s="9">
        <f>SUM(M33:P33)</f>
        <v>0</v>
      </c>
      <c r="R33" s="9"/>
      <c r="S33" s="9"/>
      <c r="T33" s="9"/>
      <c r="U33" s="9"/>
      <c r="V33" s="9"/>
      <c r="W33" s="9"/>
    </row>
    <row r="34" spans="2:23" x14ac:dyDescent="0.2">
      <c r="B34" s="53" t="s">
        <v>56</v>
      </c>
      <c r="D34" s="53" t="s">
        <v>57</v>
      </c>
      <c r="E34" s="6" t="s">
        <v>58</v>
      </c>
      <c r="G34" s="9"/>
      <c r="H34" s="9"/>
      <c r="I34" s="9"/>
      <c r="J34" s="9"/>
      <c r="K34" s="9">
        <f t="shared" ref="K34:K42" si="8">G34+H34+I34+J34</f>
        <v>0</v>
      </c>
      <c r="M34" s="9">
        <f t="shared" si="7"/>
        <v>0</v>
      </c>
      <c r="N34" s="9">
        <f t="shared" si="7"/>
        <v>0</v>
      </c>
      <c r="O34" s="9">
        <f t="shared" si="7"/>
        <v>0</v>
      </c>
      <c r="P34" s="9">
        <f t="shared" si="7"/>
        <v>0</v>
      </c>
      <c r="Q34" s="9">
        <f>SUM(M34:P34)</f>
        <v>0</v>
      </c>
      <c r="R34" s="9"/>
      <c r="S34" s="9"/>
      <c r="T34" s="9"/>
      <c r="U34" s="9"/>
      <c r="V34" s="9"/>
      <c r="W34" s="9"/>
    </row>
    <row r="35" spans="2:23" x14ac:dyDescent="0.2">
      <c r="D35" s="53"/>
      <c r="K35" s="9">
        <f t="shared" si="8"/>
        <v>0</v>
      </c>
      <c r="Q35" s="9"/>
      <c r="R35" s="9"/>
      <c r="S35" s="9"/>
      <c r="T35" s="9"/>
      <c r="U35" s="9"/>
      <c r="V35" s="9"/>
      <c r="W35" s="9"/>
    </row>
    <row r="36" spans="2:23" x14ac:dyDescent="0.2">
      <c r="D36" s="53" t="s">
        <v>59</v>
      </c>
      <c r="E36" s="6" t="s">
        <v>60</v>
      </c>
      <c r="G36" s="9"/>
      <c r="H36" s="9"/>
      <c r="I36" s="9"/>
      <c r="J36" s="9"/>
      <c r="K36" s="9">
        <f t="shared" si="8"/>
        <v>0</v>
      </c>
      <c r="M36" s="9">
        <f t="shared" ref="M36:P41" si="9">G36</f>
        <v>0</v>
      </c>
      <c r="N36" s="9">
        <f t="shared" si="9"/>
        <v>0</v>
      </c>
      <c r="O36" s="9">
        <f t="shared" si="9"/>
        <v>0</v>
      </c>
      <c r="P36" s="9">
        <f t="shared" si="9"/>
        <v>0</v>
      </c>
      <c r="Q36" s="9">
        <f t="shared" ref="Q36:Q41" si="10">SUM(M36:P36)</f>
        <v>0</v>
      </c>
      <c r="R36" s="9"/>
      <c r="S36" s="9"/>
      <c r="T36" s="9"/>
      <c r="U36" s="9"/>
      <c r="V36" s="9"/>
      <c r="W36" s="9"/>
    </row>
    <row r="37" spans="2:23" x14ac:dyDescent="0.2">
      <c r="D37" s="53" t="s">
        <v>61</v>
      </c>
      <c r="E37" s="6" t="s">
        <v>62</v>
      </c>
      <c r="G37" s="9"/>
      <c r="H37" s="9"/>
      <c r="I37" s="9"/>
      <c r="J37" s="9"/>
      <c r="K37" s="9">
        <f t="shared" si="8"/>
        <v>0</v>
      </c>
      <c r="M37" s="9">
        <f t="shared" si="9"/>
        <v>0</v>
      </c>
      <c r="N37" s="9">
        <f t="shared" si="9"/>
        <v>0</v>
      </c>
      <c r="O37" s="9">
        <f t="shared" si="9"/>
        <v>0</v>
      </c>
      <c r="P37" s="9">
        <f t="shared" si="9"/>
        <v>0</v>
      </c>
      <c r="Q37" s="9">
        <f t="shared" si="10"/>
        <v>0</v>
      </c>
      <c r="R37" s="9"/>
      <c r="S37" s="9"/>
      <c r="T37" s="9"/>
      <c r="U37" s="9"/>
      <c r="V37" s="9"/>
      <c r="W37" s="9"/>
    </row>
    <row r="38" spans="2:23" x14ac:dyDescent="0.2">
      <c r="D38" s="53"/>
      <c r="E38" s="6" t="s">
        <v>63</v>
      </c>
      <c r="G38" s="9"/>
      <c r="H38" s="9"/>
      <c r="I38" s="9"/>
      <c r="J38" s="9"/>
      <c r="K38" s="9">
        <f t="shared" si="8"/>
        <v>0</v>
      </c>
      <c r="M38" s="9">
        <f t="shared" si="9"/>
        <v>0</v>
      </c>
      <c r="N38" s="9">
        <f t="shared" si="9"/>
        <v>0</v>
      </c>
      <c r="O38" s="9">
        <f t="shared" si="9"/>
        <v>0</v>
      </c>
      <c r="P38" s="9">
        <f t="shared" si="9"/>
        <v>0</v>
      </c>
      <c r="Q38" s="9">
        <f t="shared" si="10"/>
        <v>0</v>
      </c>
      <c r="R38" s="9"/>
      <c r="S38" s="9"/>
      <c r="T38" s="9"/>
      <c r="U38" s="9"/>
      <c r="V38" s="9"/>
      <c r="W38" s="9"/>
    </row>
    <row r="39" spans="2:23" x14ac:dyDescent="0.2">
      <c r="D39" s="53"/>
      <c r="E39" s="6" t="s">
        <v>64</v>
      </c>
      <c r="G39" s="9"/>
      <c r="H39" s="9"/>
      <c r="I39" s="9"/>
      <c r="J39" s="9"/>
      <c r="K39" s="9">
        <f t="shared" si="8"/>
        <v>0</v>
      </c>
      <c r="M39" s="9">
        <f t="shared" si="9"/>
        <v>0</v>
      </c>
      <c r="N39" s="9">
        <f t="shared" si="9"/>
        <v>0</v>
      </c>
      <c r="O39" s="9">
        <f t="shared" si="9"/>
        <v>0</v>
      </c>
      <c r="P39" s="9">
        <f t="shared" si="9"/>
        <v>0</v>
      </c>
      <c r="Q39" s="9">
        <f t="shared" si="10"/>
        <v>0</v>
      </c>
      <c r="R39" s="9"/>
      <c r="S39" s="9"/>
      <c r="T39" s="9"/>
      <c r="U39" s="9"/>
      <c r="V39" s="9"/>
      <c r="W39" s="9"/>
    </row>
    <row r="40" spans="2:23" x14ac:dyDescent="0.2">
      <c r="D40" s="53"/>
      <c r="E40" s="6" t="s">
        <v>65</v>
      </c>
      <c r="G40" s="9"/>
      <c r="H40" s="9"/>
      <c r="I40" s="9"/>
      <c r="J40" s="9"/>
      <c r="K40" s="9">
        <f t="shared" si="8"/>
        <v>0</v>
      </c>
      <c r="M40" s="9">
        <f t="shared" si="9"/>
        <v>0</v>
      </c>
      <c r="N40" s="9">
        <f t="shared" si="9"/>
        <v>0</v>
      </c>
      <c r="O40" s="9">
        <f t="shared" si="9"/>
        <v>0</v>
      </c>
      <c r="P40" s="9">
        <f t="shared" si="9"/>
        <v>0</v>
      </c>
      <c r="Q40" s="9">
        <f t="shared" si="10"/>
        <v>0</v>
      </c>
      <c r="R40" s="9"/>
      <c r="S40" s="9"/>
      <c r="T40" s="9"/>
      <c r="U40" s="9"/>
      <c r="V40" s="9"/>
      <c r="W40" s="9"/>
    </row>
    <row r="41" spans="2:23" x14ac:dyDescent="0.2">
      <c r="D41" s="53"/>
      <c r="E41" s="6" t="s">
        <v>66</v>
      </c>
      <c r="G41" s="9">
        <v>40116</v>
      </c>
      <c r="H41" s="9"/>
      <c r="I41" s="9"/>
      <c r="J41" s="9"/>
      <c r="K41" s="9">
        <f t="shared" si="8"/>
        <v>40116</v>
      </c>
      <c r="M41" s="9">
        <f t="shared" si="9"/>
        <v>40116</v>
      </c>
      <c r="N41" s="9">
        <f t="shared" si="9"/>
        <v>0</v>
      </c>
      <c r="O41" s="9">
        <f t="shared" si="9"/>
        <v>0</v>
      </c>
      <c r="P41" s="9">
        <f t="shared" si="9"/>
        <v>0</v>
      </c>
      <c r="Q41" s="9">
        <f t="shared" si="10"/>
        <v>40116</v>
      </c>
      <c r="R41" s="9"/>
      <c r="S41" s="9"/>
      <c r="T41" s="9"/>
      <c r="U41" s="9"/>
      <c r="V41" s="9"/>
      <c r="W41" s="9"/>
    </row>
    <row r="42" spans="2:23" x14ac:dyDescent="0.2">
      <c r="D42" s="53"/>
      <c r="K42" s="9">
        <f t="shared" si="8"/>
        <v>0</v>
      </c>
      <c r="Q42" s="9"/>
      <c r="R42" s="9"/>
      <c r="S42" s="9"/>
      <c r="T42" s="9"/>
      <c r="U42" s="9"/>
      <c r="V42" s="9"/>
      <c r="W42" s="9"/>
    </row>
    <row r="43" spans="2:23" x14ac:dyDescent="0.2">
      <c r="D43" s="53" t="s">
        <v>67</v>
      </c>
      <c r="G43" s="9"/>
      <c r="H43" s="9">
        <f>H11</f>
        <v>0</v>
      </c>
      <c r="I43" s="9">
        <v>0</v>
      </c>
      <c r="J43" s="9">
        <v>0</v>
      </c>
      <c r="K43" s="9">
        <f>SUM(G43:J43)</f>
        <v>0</v>
      </c>
      <c r="M43" s="9">
        <f>G43</f>
        <v>0</v>
      </c>
      <c r="N43" s="9">
        <f>H43</f>
        <v>0</v>
      </c>
      <c r="O43" s="9">
        <f>I43</f>
        <v>0</v>
      </c>
      <c r="P43" s="9">
        <f>J43</f>
        <v>0</v>
      </c>
      <c r="Q43" s="9">
        <f>SUM(M43:P43)</f>
        <v>0</v>
      </c>
      <c r="R43" s="9"/>
      <c r="S43" s="9"/>
      <c r="T43" s="9"/>
      <c r="U43" s="9"/>
      <c r="V43" s="9"/>
      <c r="W43" s="9"/>
    </row>
    <row r="44" spans="2:23" x14ac:dyDescent="0.2">
      <c r="D44" s="53"/>
    </row>
    <row r="45" spans="2:23" x14ac:dyDescent="0.2">
      <c r="D45" s="53" t="s">
        <v>68</v>
      </c>
      <c r="G45" s="9"/>
      <c r="H45" s="9"/>
      <c r="I45" s="9">
        <v>0</v>
      </c>
      <c r="J45" s="9">
        <v>0</v>
      </c>
      <c r="K45" s="9">
        <f>SUM(G45:J45)</f>
        <v>0</v>
      </c>
      <c r="M45" s="9">
        <f>G45</f>
        <v>0</v>
      </c>
      <c r="N45" s="9">
        <f>H45</f>
        <v>0</v>
      </c>
      <c r="O45" s="9">
        <f>I45</f>
        <v>0</v>
      </c>
      <c r="P45" s="9">
        <f>J45</f>
        <v>0</v>
      </c>
      <c r="Q45" s="9">
        <f>SUM(M45:P45)</f>
        <v>0</v>
      </c>
      <c r="R45" s="9"/>
      <c r="S45" s="9"/>
      <c r="T45" s="9"/>
      <c r="U45" s="9"/>
      <c r="V45" s="9"/>
      <c r="W45" s="9"/>
    </row>
    <row r="46" spans="2:23" x14ac:dyDescent="0.2">
      <c r="D46" s="53"/>
    </row>
    <row r="47" spans="2:23" x14ac:dyDescent="0.2">
      <c r="D47" s="53" t="s">
        <v>69</v>
      </c>
      <c r="G47" s="9"/>
      <c r="H47" s="9"/>
      <c r="I47" s="9">
        <v>0</v>
      </c>
      <c r="J47" s="9">
        <v>0</v>
      </c>
      <c r="K47" s="9">
        <f>SUM(G47:J47)</f>
        <v>0</v>
      </c>
      <c r="M47" s="9">
        <f>G47</f>
        <v>0</v>
      </c>
      <c r="N47" s="9">
        <f>H47</f>
        <v>0</v>
      </c>
      <c r="O47" s="9">
        <f>I47</f>
        <v>0</v>
      </c>
      <c r="P47" s="9">
        <f>J47</f>
        <v>0</v>
      </c>
      <c r="Q47" s="9">
        <f>SUM(M47:P47)</f>
        <v>0</v>
      </c>
      <c r="R47" s="9"/>
      <c r="S47" s="9"/>
      <c r="T47" s="9"/>
      <c r="U47" s="9"/>
      <c r="V47" s="9"/>
      <c r="W47" s="9"/>
    </row>
    <row r="48" spans="2:23" x14ac:dyDescent="0.2">
      <c r="D48" s="53"/>
    </row>
    <row r="49" spans="2:23" x14ac:dyDescent="0.2">
      <c r="D49" s="53" t="s">
        <v>70</v>
      </c>
      <c r="G49" s="9"/>
      <c r="H49" s="9">
        <v>0</v>
      </c>
      <c r="I49" s="9">
        <v>0</v>
      </c>
      <c r="J49" s="9">
        <v>0</v>
      </c>
      <c r="K49" s="9">
        <f>SUM(G49:J49)</f>
        <v>0</v>
      </c>
      <c r="M49" s="9">
        <f>G49</f>
        <v>0</v>
      </c>
      <c r="N49" s="9">
        <f>H49</f>
        <v>0</v>
      </c>
      <c r="O49" s="9">
        <f>I49</f>
        <v>0</v>
      </c>
      <c r="P49" s="9">
        <f>J49</f>
        <v>0</v>
      </c>
      <c r="Q49" s="9">
        <f>SUM(M49:P49)</f>
        <v>0</v>
      </c>
      <c r="R49" s="9"/>
      <c r="S49" s="9"/>
      <c r="T49" s="9"/>
      <c r="U49" s="9"/>
      <c r="V49" s="9"/>
      <c r="W49" s="9"/>
    </row>
    <row r="50" spans="2:23" x14ac:dyDescent="0.2">
      <c r="D50" s="53" t="s">
        <v>71</v>
      </c>
    </row>
    <row r="51" spans="2:23" x14ac:dyDescent="0.2">
      <c r="D51" s="53"/>
    </row>
    <row r="52" spans="2:23" x14ac:dyDescent="0.2">
      <c r="B52" s="53"/>
      <c r="D52" s="53" t="s">
        <v>66</v>
      </c>
      <c r="G52" s="13"/>
      <c r="H52" s="13">
        <v>0</v>
      </c>
      <c r="I52" s="13">
        <v>0</v>
      </c>
      <c r="J52" s="13">
        <v>0</v>
      </c>
      <c r="K52" s="13">
        <f>SUM(G52:J52)</f>
        <v>0</v>
      </c>
      <c r="M52" s="13">
        <f>G52</f>
        <v>0</v>
      </c>
      <c r="N52" s="13">
        <f>H52</f>
        <v>0</v>
      </c>
      <c r="O52" s="13">
        <f>I52</f>
        <v>0</v>
      </c>
      <c r="P52" s="13">
        <f>J52</f>
        <v>0</v>
      </c>
      <c r="Q52" s="13">
        <f>SUM(M52:P52)</f>
        <v>0</v>
      </c>
      <c r="R52" s="17"/>
      <c r="S52" s="17"/>
      <c r="T52" s="17"/>
      <c r="U52" s="17"/>
      <c r="V52" s="17"/>
      <c r="W52" s="17"/>
    </row>
    <row r="53" spans="2:23" x14ac:dyDescent="0.2">
      <c r="D53" s="53" t="s">
        <v>72</v>
      </c>
      <c r="G53" s="14">
        <f>SUM(G33:G52)</f>
        <v>40116</v>
      </c>
      <c r="H53" s="14">
        <f>SUM(H33:H52)</f>
        <v>0</v>
      </c>
      <c r="I53" s="14">
        <f>SUM(I33:I52)</f>
        <v>0</v>
      </c>
      <c r="J53" s="14">
        <f>SUM(J33:J52)</f>
        <v>0</v>
      </c>
      <c r="K53" s="14">
        <f>SUM(G53:J53)</f>
        <v>40116</v>
      </c>
      <c r="M53" s="14">
        <f>SUM(M33:M52)</f>
        <v>40116</v>
      </c>
      <c r="N53" s="14">
        <f>SUM(N33:N52)</f>
        <v>0</v>
      </c>
      <c r="O53" s="14">
        <f>SUM(O33:O52)</f>
        <v>0</v>
      </c>
      <c r="P53" s="14">
        <f>SUM(P33:P52)</f>
        <v>0</v>
      </c>
      <c r="Q53" s="14">
        <f>SUM(M53:P53)</f>
        <v>40116</v>
      </c>
      <c r="R53" s="14"/>
      <c r="S53" s="14"/>
      <c r="T53" s="14"/>
      <c r="U53" s="14"/>
      <c r="V53" s="14"/>
      <c r="W53" s="14"/>
    </row>
    <row r="54" spans="2:23" x14ac:dyDescent="0.2">
      <c r="B54" s="53"/>
      <c r="G54" s="9"/>
    </row>
    <row r="55" spans="2:23" x14ac:dyDescent="0.2">
      <c r="B55" s="53" t="s">
        <v>73</v>
      </c>
      <c r="G55" s="9">
        <v>0</v>
      </c>
      <c r="H55" s="9">
        <v>0</v>
      </c>
      <c r="I55" s="9">
        <v>0</v>
      </c>
      <c r="J55" s="9">
        <v>0</v>
      </c>
      <c r="K55" s="9">
        <f>SUM(G55:J55)</f>
        <v>0</v>
      </c>
      <c r="M55" s="9">
        <v>0</v>
      </c>
      <c r="N55" s="9">
        <v>0</v>
      </c>
      <c r="O55" s="9">
        <v>0</v>
      </c>
      <c r="P55" s="9">
        <v>0</v>
      </c>
      <c r="Q55" s="9">
        <f>SUM(M55:P55)</f>
        <v>0</v>
      </c>
      <c r="R55" s="9"/>
      <c r="S55" s="9"/>
      <c r="T55" s="9"/>
      <c r="U55" s="9"/>
      <c r="V55" s="9"/>
      <c r="W55" s="9"/>
    </row>
    <row r="56" spans="2:23" x14ac:dyDescent="0.2">
      <c r="B56" s="53" t="s">
        <v>74</v>
      </c>
      <c r="D56" s="9"/>
    </row>
    <row r="57" spans="2:23" ht="13.5" thickBot="1" x14ac:dyDescent="0.25">
      <c r="K57" s="9"/>
      <c r="Q57" s="65"/>
      <c r="R57" s="66"/>
      <c r="S57" s="66"/>
      <c r="T57" s="66"/>
      <c r="U57" s="66"/>
      <c r="V57" s="66"/>
      <c r="W57" s="66"/>
    </row>
    <row r="58" spans="2:23" x14ac:dyDescent="0.2">
      <c r="B58" s="53" t="s">
        <v>75</v>
      </c>
      <c r="E58" s="9"/>
      <c r="G58" s="67">
        <f>G21+G24+G31+G53+G55</f>
        <v>40116</v>
      </c>
      <c r="H58" s="67">
        <f>H21+H24+H31+H53+H55</f>
        <v>0</v>
      </c>
      <c r="I58" s="67">
        <f>I21+I24+I31+I53+I55</f>
        <v>0</v>
      </c>
      <c r="J58" s="67">
        <f>J21+J24+J31+J53+J55</f>
        <v>0</v>
      </c>
      <c r="K58" s="67">
        <f>SUM(G58:J58)+K31+K24+K21</f>
        <v>318628</v>
      </c>
      <c r="L58" s="68"/>
      <c r="M58" s="67">
        <f>M21+M24+M31+M53+M55</f>
        <v>101267.13446933962</v>
      </c>
      <c r="N58" s="67">
        <f>N21+N24+N31+N53+N55</f>
        <v>5748.0107575471702</v>
      </c>
      <c r="O58" s="67">
        <f>O21+O24+O31+O53+O55</f>
        <v>94570.392650471695</v>
      </c>
      <c r="P58" s="67">
        <f>P21+P24+P31+P53+P55</f>
        <v>0</v>
      </c>
      <c r="Q58" s="67">
        <f>SUM(M58:P58)</f>
        <v>201585.5378773585</v>
      </c>
      <c r="R58" s="62"/>
      <c r="S58" s="62"/>
      <c r="T58" s="62"/>
      <c r="U58" s="62"/>
      <c r="V58" s="62"/>
      <c r="W58" s="62"/>
    </row>
    <row r="61" spans="2:23" ht="14.25" x14ac:dyDescent="0.2">
      <c r="B61" s="57" t="s">
        <v>76</v>
      </c>
    </row>
    <row r="62" spans="2:23" x14ac:dyDescent="0.2">
      <c r="D62" s="6" t="s">
        <v>77</v>
      </c>
      <c r="E62" s="8" t="s">
        <v>26</v>
      </c>
      <c r="G62" s="9">
        <v>0</v>
      </c>
      <c r="H62" s="9">
        <v>0</v>
      </c>
      <c r="I62" s="9">
        <v>0</v>
      </c>
      <c r="J62" s="9"/>
      <c r="K62" s="9">
        <f>I62+H62+G62</f>
        <v>0</v>
      </c>
      <c r="M62" s="9">
        <f>Q62*G82</f>
        <v>0</v>
      </c>
      <c r="N62" s="9">
        <f>Q62*H82</f>
        <v>0</v>
      </c>
      <c r="O62" s="9">
        <f>Q62*I82</f>
        <v>0</v>
      </c>
      <c r="P62" s="9">
        <f t="shared" ref="P62" si="11">J62</f>
        <v>0</v>
      </c>
      <c r="Q62" s="9">
        <f>K62-((((0*114.57)*8)*1))</f>
        <v>0</v>
      </c>
    </row>
    <row r="63" spans="2:23" x14ac:dyDescent="0.2">
      <c r="E63" s="8"/>
    </row>
    <row r="64" spans="2:23" x14ac:dyDescent="0.2">
      <c r="D64" s="6" t="s">
        <v>150</v>
      </c>
      <c r="E64" s="8"/>
      <c r="G64" s="22"/>
      <c r="H64" s="22"/>
      <c r="I64" s="22">
        <v>77647</v>
      </c>
      <c r="J64" s="9"/>
      <c r="K64" s="9">
        <f>I64+H64+G64</f>
        <v>77647</v>
      </c>
      <c r="M64" s="9">
        <f>G64</f>
        <v>0</v>
      </c>
      <c r="N64" s="9">
        <f>H64</f>
        <v>0</v>
      </c>
      <c r="O64" s="9">
        <f>I64</f>
        <v>77647</v>
      </c>
      <c r="P64" s="9">
        <f>J64</f>
        <v>0</v>
      </c>
      <c r="Q64" s="9">
        <f>K64</f>
        <v>77647</v>
      </c>
    </row>
    <row r="65" spans="1:24" x14ac:dyDescent="0.2">
      <c r="E65" s="8"/>
    </row>
    <row r="66" spans="1:24" s="3" customFormat="1" x14ac:dyDescent="0.2">
      <c r="A66" s="6"/>
      <c r="B66" s="6"/>
      <c r="C66" s="6"/>
      <c r="D66" s="6" t="s">
        <v>78</v>
      </c>
      <c r="E66" s="8" t="s">
        <v>26</v>
      </c>
      <c r="F66" s="6"/>
      <c r="G66" s="22">
        <v>114979.75</v>
      </c>
      <c r="H66" s="22">
        <v>9798.3799999999992</v>
      </c>
      <c r="I66" s="22">
        <f>248140.87+67000</f>
        <v>315140.87</v>
      </c>
      <c r="J66" s="9">
        <v>0</v>
      </c>
      <c r="K66" s="9">
        <f>I66+H66+G66</f>
        <v>439919</v>
      </c>
      <c r="L66" s="6"/>
      <c r="M66" s="9">
        <f>G66</f>
        <v>114979.75</v>
      </c>
      <c r="N66" s="9">
        <f>H66</f>
        <v>9798.3799999999992</v>
      </c>
      <c r="O66" s="9">
        <f>I66</f>
        <v>315140.87</v>
      </c>
      <c r="P66" s="9">
        <f>J66</f>
        <v>0</v>
      </c>
      <c r="Q66" s="9">
        <f>K66</f>
        <v>439919</v>
      </c>
      <c r="R66" s="9"/>
      <c r="S66" s="9"/>
      <c r="T66" s="9"/>
      <c r="U66" s="9"/>
      <c r="V66" s="9"/>
      <c r="W66" s="9"/>
      <c r="X66" s="6"/>
    </row>
    <row r="67" spans="1:24" s="3" customFormat="1" ht="13.5" thickBot="1" x14ac:dyDescent="0.25">
      <c r="A67" s="6"/>
      <c r="B67" s="6"/>
      <c r="C67" s="6"/>
      <c r="D67" s="6"/>
      <c r="E67" s="6"/>
      <c r="F67" s="6"/>
      <c r="G67" s="6"/>
      <c r="H67" s="6"/>
      <c r="I67" s="6"/>
      <c r="J67" s="6"/>
      <c r="K67" s="6"/>
      <c r="L67" s="6"/>
      <c r="M67" s="6"/>
      <c r="N67" s="6"/>
      <c r="O67" s="6"/>
      <c r="P67" s="6"/>
      <c r="Q67" s="6"/>
      <c r="R67" s="6"/>
      <c r="S67" s="6"/>
      <c r="T67" s="6"/>
      <c r="U67" s="6"/>
      <c r="V67" s="6"/>
      <c r="W67" s="6"/>
      <c r="X67" s="31"/>
    </row>
    <row r="68" spans="1:24" s="3" customFormat="1" ht="13.5" thickBot="1" x14ac:dyDescent="0.25">
      <c r="A68" s="6"/>
      <c r="B68" s="53" t="s">
        <v>79</v>
      </c>
      <c r="C68" s="6"/>
      <c r="D68" s="6"/>
      <c r="E68" s="8" t="s">
        <v>26</v>
      </c>
      <c r="F68" s="6"/>
      <c r="G68" s="67">
        <f>G66</f>
        <v>114979.75</v>
      </c>
      <c r="H68" s="67">
        <f t="shared" ref="H68:Q69" si="12">H66</f>
        <v>9798.3799999999992</v>
      </c>
      <c r="I68" s="67">
        <f t="shared" si="12"/>
        <v>315140.87</v>
      </c>
      <c r="J68" s="67">
        <f t="shared" si="12"/>
        <v>0</v>
      </c>
      <c r="K68" s="67">
        <f t="shared" si="12"/>
        <v>439919</v>
      </c>
      <c r="L68" s="6"/>
      <c r="M68" s="67">
        <f t="shared" si="12"/>
        <v>114979.75</v>
      </c>
      <c r="N68" s="67">
        <f t="shared" si="12"/>
        <v>9798.3799999999992</v>
      </c>
      <c r="O68" s="67">
        <f t="shared" si="12"/>
        <v>315140.87</v>
      </c>
      <c r="P68" s="67">
        <f t="shared" si="12"/>
        <v>0</v>
      </c>
      <c r="Q68" s="67">
        <f t="shared" si="12"/>
        <v>439919</v>
      </c>
      <c r="R68" s="62"/>
      <c r="S68" s="62"/>
      <c r="T68" s="62"/>
      <c r="U68" s="62"/>
      <c r="V68" s="62"/>
      <c r="W68" s="62"/>
      <c r="X68" s="66"/>
    </row>
    <row r="69" spans="1:24" s="3" customFormat="1" x14ac:dyDescent="0.2">
      <c r="A69" s="6"/>
      <c r="B69" s="53"/>
      <c r="C69" s="6"/>
      <c r="D69" s="6"/>
      <c r="E69" s="8" t="s">
        <v>28</v>
      </c>
      <c r="F69" s="6"/>
      <c r="G69" s="67">
        <f>G67</f>
        <v>0</v>
      </c>
      <c r="H69" s="67">
        <f t="shared" si="12"/>
        <v>0</v>
      </c>
      <c r="I69" s="67">
        <f t="shared" si="12"/>
        <v>0</v>
      </c>
      <c r="J69" s="67">
        <f t="shared" si="12"/>
        <v>0</v>
      </c>
      <c r="K69" s="67">
        <f t="shared" si="12"/>
        <v>0</v>
      </c>
      <c r="L69" s="6"/>
      <c r="M69" s="67">
        <f t="shared" si="12"/>
        <v>0</v>
      </c>
      <c r="N69" s="67">
        <f t="shared" si="12"/>
        <v>0</v>
      </c>
      <c r="O69" s="67">
        <f t="shared" si="12"/>
        <v>0</v>
      </c>
      <c r="P69" s="67">
        <f t="shared" si="12"/>
        <v>0</v>
      </c>
      <c r="Q69" s="67">
        <f t="shared" si="12"/>
        <v>0</v>
      </c>
      <c r="R69" s="69"/>
      <c r="S69" s="69"/>
      <c r="T69" s="69"/>
      <c r="U69" s="69"/>
      <c r="V69" s="69"/>
      <c r="W69" s="69"/>
      <c r="X69" s="6"/>
    </row>
    <row r="70" spans="1:24" s="3" customFormat="1" x14ac:dyDescent="0.2">
      <c r="A70" s="6"/>
      <c r="B70" s="6"/>
      <c r="C70" s="6"/>
      <c r="D70" s="6"/>
      <c r="E70" s="6"/>
      <c r="F70" s="6"/>
      <c r="G70" s="6"/>
      <c r="H70" s="6"/>
      <c r="I70" s="6"/>
      <c r="J70" s="6"/>
      <c r="K70" s="9"/>
      <c r="L70" s="6"/>
      <c r="M70" s="6"/>
      <c r="N70" s="6"/>
      <c r="O70" s="6"/>
      <c r="P70" s="6"/>
      <c r="Q70" s="6"/>
      <c r="R70" s="6"/>
      <c r="S70" s="6"/>
      <c r="T70" s="6"/>
      <c r="U70" s="6"/>
      <c r="V70" s="6"/>
      <c r="W70" s="6"/>
      <c r="X70" s="9"/>
    </row>
    <row r="71" spans="1:24" s="3" customFormat="1" ht="13.5" thickBot="1" x14ac:dyDescent="0.25">
      <c r="A71" s="6"/>
      <c r="B71" s="6"/>
      <c r="C71" s="6"/>
      <c r="D71" s="6"/>
      <c r="E71" s="6"/>
      <c r="F71" s="6"/>
      <c r="G71" s="6"/>
      <c r="H71" s="6"/>
      <c r="I71" s="6"/>
      <c r="J71" s="6"/>
      <c r="K71" s="6"/>
      <c r="L71" s="6"/>
      <c r="M71" s="6"/>
      <c r="N71" s="6"/>
      <c r="O71" s="6"/>
      <c r="P71" s="6"/>
      <c r="Q71" s="6"/>
      <c r="R71" s="6"/>
      <c r="S71" s="6"/>
      <c r="T71" s="6"/>
      <c r="U71" s="6"/>
      <c r="V71" s="6"/>
      <c r="W71" s="6"/>
      <c r="X71" s="6"/>
    </row>
    <row r="72" spans="1:24" s="3" customFormat="1" ht="15" thickBot="1" x14ac:dyDescent="0.25">
      <c r="A72" s="6"/>
      <c r="B72" s="57" t="s">
        <v>80</v>
      </c>
      <c r="C72" s="6"/>
      <c r="D72" s="6"/>
      <c r="E72" s="6"/>
      <c r="F72" s="6"/>
      <c r="G72" s="21">
        <f t="shared" ref="G72:Q72" si="13">G58+G68</f>
        <v>155095.75</v>
      </c>
      <c r="H72" s="21">
        <f t="shared" si="13"/>
        <v>9798.3799999999992</v>
      </c>
      <c r="I72" s="21">
        <f t="shared" si="13"/>
        <v>315140.87</v>
      </c>
      <c r="J72" s="21">
        <f t="shared" si="13"/>
        <v>0</v>
      </c>
      <c r="K72" s="21">
        <f>K58+K68</f>
        <v>758547</v>
      </c>
      <c r="L72" s="21">
        <f t="shared" si="13"/>
        <v>0</v>
      </c>
      <c r="M72" s="21">
        <f t="shared" si="13"/>
        <v>216246.88446933962</v>
      </c>
      <c r="N72" s="21">
        <f t="shared" si="13"/>
        <v>15546.390757547169</v>
      </c>
      <c r="O72" s="21">
        <f t="shared" si="13"/>
        <v>409711.2626504717</v>
      </c>
      <c r="P72" s="21">
        <f t="shared" si="13"/>
        <v>0</v>
      </c>
      <c r="Q72" s="21">
        <f t="shared" si="13"/>
        <v>641504.5378773585</v>
      </c>
      <c r="R72" s="62"/>
      <c r="S72" s="62"/>
      <c r="T72" s="62"/>
      <c r="U72" s="62"/>
      <c r="V72" s="62"/>
      <c r="W72" s="62"/>
      <c r="X72" s="6"/>
    </row>
    <row r="73" spans="1:24" s="3" customFormat="1" ht="13.5" thickTop="1" x14ac:dyDescent="0.2">
      <c r="A73" s="6"/>
      <c r="B73" s="6"/>
      <c r="C73" s="6"/>
      <c r="D73" s="6"/>
      <c r="E73" s="6"/>
      <c r="F73" s="6"/>
      <c r="G73" s="6"/>
      <c r="H73" s="6"/>
      <c r="I73" s="22"/>
      <c r="J73" s="6"/>
      <c r="K73" s="6"/>
      <c r="L73" s="6"/>
      <c r="M73" s="6"/>
      <c r="N73" s="6"/>
      <c r="O73" s="23"/>
      <c r="P73" s="6"/>
      <c r="Q73" s="6"/>
      <c r="R73" s="6"/>
      <c r="S73" s="6"/>
      <c r="T73" s="6"/>
      <c r="U73" s="6"/>
      <c r="V73" s="6"/>
      <c r="W73" s="6"/>
      <c r="X73" s="6"/>
    </row>
    <row r="74" spans="1:24" x14ac:dyDescent="0.2">
      <c r="I74" s="22"/>
      <c r="K74" s="9"/>
      <c r="O74" s="23"/>
    </row>
    <row r="75" spans="1:24" x14ac:dyDescent="0.2">
      <c r="G75" s="61"/>
      <c r="H75" s="61"/>
      <c r="I75" s="61"/>
      <c r="J75" s="9"/>
      <c r="K75" s="9"/>
      <c r="O75" s="23"/>
    </row>
    <row r="76" spans="1:24" x14ac:dyDescent="0.2">
      <c r="G76" s="97"/>
      <c r="H76" s="97"/>
      <c r="I76" s="97"/>
      <c r="K76" s="9"/>
      <c r="O76" s="35"/>
    </row>
    <row r="77" spans="1:24" x14ac:dyDescent="0.2">
      <c r="G77" s="24"/>
      <c r="H77" s="24"/>
      <c r="I77" s="24"/>
      <c r="K77" s="9"/>
      <c r="O77" s="23"/>
    </row>
    <row r="78" spans="1:24" x14ac:dyDescent="0.2">
      <c r="G78" s="22"/>
      <c r="H78" s="22"/>
      <c r="I78" s="22"/>
      <c r="J78" s="9"/>
      <c r="K78" s="9"/>
      <c r="M78" s="70"/>
      <c r="N78" s="70"/>
      <c r="O78" s="25"/>
      <c r="P78" s="70"/>
      <c r="Q78" s="70"/>
      <c r="R78" s="70"/>
      <c r="S78" s="70"/>
      <c r="T78" s="70"/>
      <c r="U78" s="70"/>
    </row>
    <row r="79" spans="1:24" x14ac:dyDescent="0.2">
      <c r="G79" s="22"/>
      <c r="H79" s="22"/>
      <c r="I79" s="22"/>
      <c r="K79" s="9"/>
      <c r="M79" s="70"/>
      <c r="N79" s="70"/>
      <c r="O79" s="25"/>
      <c r="P79" s="70"/>
      <c r="Q79" s="70"/>
      <c r="R79" s="70"/>
      <c r="S79" s="70"/>
      <c r="T79" s="70"/>
      <c r="U79" s="70"/>
    </row>
    <row r="80" spans="1:24" x14ac:dyDescent="0.2">
      <c r="G80" s="71"/>
      <c r="I80" s="22"/>
      <c r="M80" s="70"/>
      <c r="N80" s="70"/>
      <c r="O80" s="25"/>
      <c r="P80" s="70"/>
      <c r="Q80" s="70"/>
      <c r="R80" s="70"/>
      <c r="S80" s="70"/>
      <c r="T80" s="70"/>
      <c r="U80" s="70"/>
    </row>
    <row r="81" spans="5:25" ht="13.5" thickBot="1" x14ac:dyDescent="0.25">
      <c r="M81" s="70"/>
      <c r="N81" s="70"/>
      <c r="O81" s="70"/>
      <c r="P81" s="70"/>
      <c r="Q81" s="70"/>
      <c r="R81" s="70"/>
      <c r="S81" s="70"/>
      <c r="T81" s="70"/>
      <c r="U81" s="70"/>
    </row>
    <row r="82" spans="5:25" x14ac:dyDescent="0.2">
      <c r="E82" s="72"/>
      <c r="F82" s="73"/>
      <c r="G82" s="74">
        <v>0.25</v>
      </c>
      <c r="H82" s="74">
        <v>0.02</v>
      </c>
      <c r="I82" s="74">
        <v>0.73</v>
      </c>
      <c r="J82" s="73"/>
      <c r="K82" s="96"/>
      <c r="M82" s="75"/>
      <c r="N82" s="76"/>
      <c r="O82" s="76"/>
      <c r="P82" s="76"/>
      <c r="Q82" s="77"/>
      <c r="R82" s="60"/>
      <c r="S82" s="60"/>
      <c r="T82" s="60"/>
      <c r="U82" s="60"/>
    </row>
    <row r="83" spans="5:25" x14ac:dyDescent="0.2">
      <c r="E83" s="50"/>
      <c r="F83" s="31"/>
      <c r="G83" s="31"/>
      <c r="H83" s="31"/>
      <c r="I83" s="31"/>
      <c r="J83" s="31"/>
      <c r="K83" s="78"/>
      <c r="M83" s="26"/>
      <c r="N83" s="60"/>
      <c r="O83" s="60"/>
      <c r="P83" s="60"/>
      <c r="Q83" s="60"/>
      <c r="R83" s="60"/>
      <c r="S83" s="60"/>
      <c r="T83" s="60"/>
      <c r="U83" s="60"/>
    </row>
    <row r="84" spans="5:25" x14ac:dyDescent="0.2">
      <c r="E84" s="50" t="s">
        <v>81</v>
      </c>
      <c r="F84" s="31"/>
      <c r="G84" s="31"/>
      <c r="H84" s="31"/>
      <c r="I84" s="31"/>
      <c r="J84" s="31"/>
      <c r="K84" s="79">
        <v>250000</v>
      </c>
      <c r="M84" s="27"/>
      <c r="N84" s="77"/>
      <c r="O84" s="77"/>
      <c r="P84" s="77"/>
      <c r="Q84" s="77"/>
      <c r="R84" s="60"/>
      <c r="S84" s="60"/>
      <c r="T84" s="60"/>
      <c r="U84" s="60"/>
    </row>
    <row r="85" spans="5:25" x14ac:dyDescent="0.2">
      <c r="E85" s="50" t="s">
        <v>82</v>
      </c>
      <c r="F85" s="31"/>
      <c r="G85" s="31"/>
      <c r="H85" s="31"/>
      <c r="I85" s="31"/>
      <c r="J85" s="31"/>
      <c r="K85" s="79">
        <v>0</v>
      </c>
      <c r="M85" s="70"/>
      <c r="N85" s="60"/>
      <c r="O85" s="60"/>
      <c r="P85" s="60"/>
      <c r="Q85" s="60"/>
      <c r="R85" s="60"/>
      <c r="S85" s="60"/>
      <c r="T85" s="60"/>
      <c r="U85" s="60"/>
    </row>
    <row r="86" spans="5:25" x14ac:dyDescent="0.2">
      <c r="E86" s="50"/>
      <c r="F86" s="31"/>
      <c r="G86" s="31"/>
      <c r="H86" s="31"/>
      <c r="I86" s="31"/>
      <c r="J86" s="31"/>
      <c r="K86" s="79"/>
      <c r="M86" s="27"/>
      <c r="N86" s="60"/>
      <c r="O86" s="60"/>
      <c r="P86" s="60"/>
      <c r="Q86" s="60"/>
      <c r="R86" s="60"/>
      <c r="S86" s="60"/>
      <c r="T86" s="60"/>
      <c r="U86" s="60"/>
    </row>
    <row r="87" spans="5:25" x14ac:dyDescent="0.2">
      <c r="E87" s="50" t="s">
        <v>83</v>
      </c>
      <c r="F87" s="31"/>
      <c r="G87" s="31"/>
      <c r="H87" s="31"/>
      <c r="I87" s="31"/>
      <c r="J87" s="31"/>
      <c r="K87" s="80">
        <f>SUM(K84:K86)</f>
        <v>250000</v>
      </c>
      <c r="M87" s="27"/>
      <c r="N87" s="60"/>
      <c r="O87" s="60"/>
      <c r="P87" s="60"/>
      <c r="Q87" s="60"/>
      <c r="R87" s="60"/>
      <c r="S87" s="60"/>
      <c r="T87" s="60"/>
      <c r="U87" s="60"/>
    </row>
    <row r="88" spans="5:25" x14ac:dyDescent="0.2">
      <c r="E88" s="50" t="s">
        <v>84</v>
      </c>
      <c r="F88" s="31"/>
      <c r="G88" s="31"/>
      <c r="H88" s="31"/>
      <c r="I88" s="31"/>
      <c r="J88" s="31"/>
      <c r="K88" s="79"/>
      <c r="M88" s="27"/>
      <c r="N88" s="60"/>
      <c r="O88" s="81"/>
      <c r="P88" s="81"/>
      <c r="Q88" s="77"/>
      <c r="R88" s="60"/>
      <c r="S88" s="60"/>
      <c r="T88" s="60"/>
      <c r="U88" s="60"/>
    </row>
    <row r="89" spans="5:25" x14ac:dyDescent="0.2">
      <c r="E89" s="50" t="s">
        <v>85</v>
      </c>
      <c r="F89" s="31"/>
      <c r="G89" s="31"/>
      <c r="H89" s="31"/>
      <c r="I89" s="31"/>
      <c r="J89" s="31"/>
      <c r="K89" s="79"/>
      <c r="M89" s="27"/>
      <c r="N89" s="60"/>
      <c r="O89" s="81"/>
      <c r="P89" s="81"/>
      <c r="Q89" s="77"/>
      <c r="R89" s="60"/>
      <c r="S89" s="60"/>
      <c r="T89" s="60"/>
      <c r="U89" s="60"/>
    </row>
    <row r="90" spans="5:25" x14ac:dyDescent="0.2">
      <c r="E90" s="50"/>
      <c r="F90" s="31"/>
      <c r="G90" s="31"/>
      <c r="H90" s="31"/>
      <c r="I90" s="31"/>
      <c r="J90" s="31"/>
      <c r="K90" s="79"/>
      <c r="M90" s="27"/>
      <c r="N90" s="60"/>
      <c r="O90" s="81"/>
      <c r="P90" s="81"/>
      <c r="Q90" s="77"/>
      <c r="R90" s="60"/>
      <c r="S90" s="60"/>
      <c r="T90" s="60"/>
      <c r="U90" s="60"/>
    </row>
    <row r="91" spans="5:25" ht="13.5" thickBot="1" x14ac:dyDescent="0.25">
      <c r="E91" s="50" t="s">
        <v>86</v>
      </c>
      <c r="F91" s="31"/>
      <c r="G91" s="31"/>
      <c r="H91" s="31"/>
      <c r="I91" s="31"/>
      <c r="J91" s="31"/>
      <c r="K91" s="82">
        <f>K87-K88-K89-K90</f>
        <v>250000</v>
      </c>
      <c r="M91" s="27"/>
      <c r="N91" s="60"/>
      <c r="O91" s="60"/>
      <c r="P91" s="60"/>
      <c r="Q91" s="60"/>
      <c r="R91" s="60"/>
      <c r="S91" s="60"/>
      <c r="T91" s="60"/>
      <c r="U91" s="60"/>
    </row>
    <row r="92" spans="5:25" ht="13.5" thickTop="1" x14ac:dyDescent="0.2">
      <c r="E92" s="50"/>
      <c r="F92" s="31"/>
      <c r="G92" s="31"/>
      <c r="H92" s="31"/>
      <c r="I92" s="31"/>
      <c r="J92" s="83" t="s">
        <v>87</v>
      </c>
      <c r="K92" s="79"/>
      <c r="M92" s="27"/>
      <c r="N92" s="60"/>
      <c r="O92" s="60"/>
      <c r="P92" s="60"/>
      <c r="Q92" s="77"/>
      <c r="R92" s="60"/>
      <c r="S92" s="60"/>
      <c r="T92" s="60"/>
      <c r="U92" s="60"/>
    </row>
    <row r="93" spans="5:25" x14ac:dyDescent="0.2">
      <c r="E93" s="50" t="s">
        <v>81</v>
      </c>
      <c r="F93" s="31"/>
      <c r="G93" s="29">
        <v>173002</v>
      </c>
      <c r="H93" s="29">
        <v>1384</v>
      </c>
      <c r="I93" s="29">
        <v>10629</v>
      </c>
      <c r="J93" s="29"/>
      <c r="K93" s="79"/>
      <c r="M93" s="27"/>
      <c r="N93" s="60"/>
      <c r="O93" s="60"/>
      <c r="P93" s="60"/>
      <c r="Q93" s="60"/>
      <c r="R93" s="60"/>
      <c r="S93" s="60"/>
      <c r="T93" s="60"/>
      <c r="U93" s="60">
        <v>0</v>
      </c>
      <c r="Y93" s="3">
        <v>900323.36</v>
      </c>
    </row>
    <row r="94" spans="5:25" x14ac:dyDescent="0.2">
      <c r="E94" s="50" t="s">
        <v>88</v>
      </c>
      <c r="F94" s="31"/>
      <c r="G94" s="29">
        <v>0</v>
      </c>
      <c r="H94" s="84">
        <v>0</v>
      </c>
      <c r="I94" s="84">
        <v>0</v>
      </c>
      <c r="K94" s="78"/>
      <c r="M94" s="70"/>
      <c r="N94" s="60"/>
      <c r="O94" s="60"/>
      <c r="P94" s="60"/>
      <c r="Q94" s="60"/>
      <c r="R94" s="60"/>
      <c r="S94" s="60"/>
      <c r="T94" s="60"/>
      <c r="U94" s="60"/>
    </row>
    <row r="95" spans="5:25" ht="13.5" thickBot="1" x14ac:dyDescent="0.25">
      <c r="E95" s="50" t="s">
        <v>89</v>
      </c>
      <c r="F95" s="31"/>
      <c r="G95" s="85">
        <f>G93+G94</f>
        <v>173002</v>
      </c>
      <c r="H95" s="85">
        <f t="shared" ref="H95" si="14">H93+H94</f>
        <v>1384</v>
      </c>
      <c r="I95" s="85">
        <f>I93+I94</f>
        <v>10629</v>
      </c>
      <c r="J95" s="28"/>
      <c r="K95" s="79"/>
      <c r="M95" s="70"/>
      <c r="N95" s="60"/>
      <c r="O95" s="60"/>
      <c r="P95" s="58"/>
      <c r="Q95" s="60"/>
      <c r="R95" s="60"/>
      <c r="S95" s="60"/>
      <c r="T95" s="60"/>
      <c r="U95" s="60"/>
    </row>
    <row r="96" spans="5:25" ht="14.25" thickTop="1" thickBot="1" x14ac:dyDescent="0.25">
      <c r="E96" s="50" t="s">
        <v>90</v>
      </c>
      <c r="F96" s="31"/>
      <c r="G96" s="86">
        <f>G95/$K$91</f>
        <v>0.69200799999999996</v>
      </c>
      <c r="H96" s="86">
        <f t="shared" ref="H96:I96" si="15">H95/$K$91</f>
        <v>5.5360000000000001E-3</v>
      </c>
      <c r="I96" s="86">
        <f t="shared" si="15"/>
        <v>4.2515999999999998E-2</v>
      </c>
      <c r="J96" s="29"/>
      <c r="K96" s="79"/>
      <c r="M96" s="70"/>
      <c r="N96" s="60"/>
      <c r="O96" s="60"/>
      <c r="P96" s="60"/>
      <c r="Q96" s="60"/>
      <c r="R96" s="60"/>
      <c r="S96" s="60"/>
      <c r="T96" s="60"/>
      <c r="U96" s="60"/>
    </row>
    <row r="97" spans="5:21" ht="14.25" thickTop="1" thickBot="1" x14ac:dyDescent="0.25">
      <c r="E97" s="87"/>
      <c r="F97" s="88"/>
      <c r="G97" s="89" t="s">
        <v>91</v>
      </c>
      <c r="H97" s="89" t="s">
        <v>92</v>
      </c>
      <c r="I97" s="89" t="s">
        <v>5</v>
      </c>
      <c r="J97" s="88"/>
      <c r="K97" s="90"/>
      <c r="M97" s="70"/>
      <c r="N97" s="91"/>
      <c r="O97" s="91"/>
      <c r="P97" s="91"/>
      <c r="Q97" s="60"/>
      <c r="R97" s="60"/>
      <c r="S97" s="60"/>
      <c r="T97" s="60"/>
      <c r="U97" s="60"/>
    </row>
    <row r="98" spans="5:21" x14ac:dyDescent="0.2">
      <c r="J98" s="73"/>
      <c r="K98" s="92"/>
      <c r="M98" s="70"/>
      <c r="N98" s="91"/>
      <c r="O98" s="91"/>
      <c r="P98" s="91"/>
      <c r="Q98" s="60"/>
      <c r="R98" s="60"/>
      <c r="S98" s="60"/>
      <c r="T98" s="60"/>
      <c r="U98" s="60"/>
    </row>
    <row r="99" spans="5:21" x14ac:dyDescent="0.2">
      <c r="J99" s="29"/>
      <c r="K99" s="29"/>
      <c r="M99" s="70"/>
      <c r="N99" s="60"/>
      <c r="O99" s="60"/>
      <c r="P99" s="60"/>
      <c r="Q99" s="60"/>
      <c r="R99" s="60"/>
      <c r="S99" s="60"/>
      <c r="T99" s="60"/>
      <c r="U99" s="60"/>
    </row>
    <row r="100" spans="5:21" x14ac:dyDescent="0.2">
      <c r="E100" s="30"/>
      <c r="F100" s="31"/>
      <c r="G100" s="29"/>
      <c r="H100" s="29"/>
      <c r="I100" s="32"/>
      <c r="J100" s="93"/>
      <c r="K100" s="32"/>
      <c r="M100" s="70"/>
      <c r="N100" s="60"/>
      <c r="O100" s="60"/>
      <c r="P100" s="60"/>
      <c r="Q100" s="60"/>
      <c r="R100" s="60"/>
      <c r="S100" s="60"/>
      <c r="T100" s="60"/>
      <c r="U100" s="60"/>
    </row>
    <row r="101" spans="5:21" x14ac:dyDescent="0.2">
      <c r="E101" s="31"/>
      <c r="F101" s="31"/>
      <c r="G101" s="31"/>
      <c r="H101" s="31"/>
      <c r="I101" s="32"/>
      <c r="J101" s="93"/>
      <c r="K101" s="93"/>
      <c r="M101" s="94"/>
      <c r="N101" s="95"/>
      <c r="O101" s="95"/>
      <c r="P101" s="95"/>
      <c r="Q101" s="60"/>
      <c r="R101" s="60"/>
      <c r="S101" s="60"/>
      <c r="T101" s="60"/>
      <c r="U101" s="60"/>
    </row>
    <row r="102" spans="5:21" x14ac:dyDescent="0.2">
      <c r="E102" s="31"/>
      <c r="F102" s="31"/>
      <c r="G102" s="31"/>
      <c r="H102" s="29"/>
      <c r="I102" s="29"/>
      <c r="J102" s="31"/>
      <c r="K102" s="31"/>
      <c r="M102" s="70"/>
      <c r="N102" s="60"/>
      <c r="O102" s="60"/>
      <c r="P102" s="60"/>
      <c r="Q102" s="60"/>
      <c r="R102" s="60"/>
      <c r="S102" s="60"/>
      <c r="T102" s="60"/>
      <c r="U102" s="60"/>
    </row>
    <row r="103" spans="5:21" x14ac:dyDescent="0.2">
      <c r="E103" s="31"/>
      <c r="F103" s="31"/>
      <c r="G103" s="33"/>
      <c r="H103" s="33"/>
      <c r="I103" s="33"/>
      <c r="M103" s="70"/>
      <c r="N103" s="70"/>
      <c r="O103" s="70"/>
      <c r="P103" s="70"/>
      <c r="Q103" s="70"/>
      <c r="R103" s="70"/>
      <c r="S103" s="70"/>
      <c r="T103" s="70"/>
      <c r="U103" s="70"/>
    </row>
    <row r="104" spans="5:21" x14ac:dyDescent="0.2">
      <c r="E104" s="31"/>
      <c r="F104" s="31"/>
      <c r="G104" s="29"/>
      <c r="H104" s="29"/>
      <c r="I104" s="29"/>
      <c r="M104" s="70"/>
      <c r="N104" s="70"/>
      <c r="O104" s="70"/>
      <c r="P104" s="70"/>
      <c r="Q104" s="70"/>
      <c r="R104" s="70"/>
      <c r="S104" s="70"/>
      <c r="T104" s="70"/>
      <c r="U104" s="70"/>
    </row>
    <row r="105" spans="5:21" x14ac:dyDescent="0.2">
      <c r="E105" s="31"/>
      <c r="F105" s="31"/>
      <c r="G105" s="33"/>
      <c r="H105" s="33"/>
      <c r="I105" s="33"/>
      <c r="M105" s="70"/>
      <c r="N105" s="70"/>
      <c r="O105" s="70"/>
      <c r="P105" s="70"/>
      <c r="Q105" s="70"/>
      <c r="R105" s="70"/>
      <c r="S105" s="70"/>
      <c r="T105" s="70"/>
      <c r="U105" s="70"/>
    </row>
    <row r="106" spans="5:21" x14ac:dyDescent="0.2">
      <c r="E106" s="31"/>
      <c r="F106" s="31"/>
      <c r="G106" s="34"/>
      <c r="H106" s="34"/>
      <c r="I106" s="34"/>
      <c r="J106" s="31"/>
      <c r="M106" s="70"/>
      <c r="N106" s="70"/>
      <c r="O106" s="70"/>
      <c r="P106" s="70"/>
      <c r="Q106" s="70"/>
      <c r="R106" s="70"/>
      <c r="S106" s="70"/>
      <c r="T106" s="70"/>
      <c r="U106" s="70"/>
    </row>
    <row r="107" spans="5:21" x14ac:dyDescent="0.2">
      <c r="G107" s="29"/>
      <c r="H107" s="29"/>
      <c r="I107" s="29"/>
      <c r="J107" s="31"/>
      <c r="M107" s="70"/>
      <c r="N107" s="70"/>
      <c r="O107" s="70"/>
      <c r="P107" s="70"/>
      <c r="Q107" s="70"/>
      <c r="R107" s="70"/>
      <c r="S107" s="70"/>
      <c r="T107" s="70"/>
      <c r="U107" s="70"/>
    </row>
    <row r="108" spans="5:21" x14ac:dyDescent="0.2">
      <c r="G108" s="31"/>
      <c r="H108" s="31"/>
      <c r="I108" s="31"/>
      <c r="J108" s="31"/>
      <c r="M108" s="70"/>
      <c r="N108" s="70"/>
      <c r="O108" s="70"/>
      <c r="P108" s="70"/>
      <c r="Q108" s="70"/>
      <c r="R108" s="70"/>
      <c r="S108" s="70"/>
      <c r="T108" s="70"/>
      <c r="U108" s="70"/>
    </row>
  </sheetData>
  <mergeCells count="2">
    <mergeCell ref="G2:K2"/>
    <mergeCell ref="M2:Q2"/>
  </mergeCells>
  <printOptions horizontalCentered="1"/>
  <pageMargins left="0.25" right="0.25" top="0.25" bottom="0.25" header="0.25" footer="0"/>
  <pageSetup scale="38" orientation="landscape" copies="2" r:id="rId1"/>
  <headerFooter alignWithMargins="0"/>
  <rowBreaks count="1" manualBreakCount="1">
    <brk id="59" min="1" max="16"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9694A-D570-4DBD-B5D2-30DC951EB501}">
  <sheetPr>
    <pageSetUpPr fitToPage="1"/>
  </sheetPr>
  <dimension ref="A1:Y108"/>
  <sheetViews>
    <sheetView zoomScale="90" zoomScaleNormal="90" workbookViewId="0">
      <selection activeCell="U53" sqref="U53"/>
    </sheetView>
  </sheetViews>
  <sheetFormatPr defaultColWidth="9.140625" defaultRowHeight="12.75" x14ac:dyDescent="0.2"/>
  <cols>
    <col min="1" max="1" width="0.85546875" style="6" customWidth="1"/>
    <col min="2" max="2" width="22.140625" style="6" customWidth="1"/>
    <col min="3" max="3" width="0.85546875" style="6" customWidth="1"/>
    <col min="4" max="4" width="36.140625" style="6" customWidth="1"/>
    <col min="5" max="5" width="22" style="6" bestFit="1" customWidth="1"/>
    <col min="6" max="6" width="1.28515625" style="6" customWidth="1"/>
    <col min="7" max="7" width="22.5703125" style="6" customWidth="1"/>
    <col min="8" max="8" width="20" style="6" customWidth="1"/>
    <col min="9" max="9" width="16.140625" style="6" customWidth="1"/>
    <col min="10" max="10" width="14.7109375" style="6" customWidth="1"/>
    <col min="11" max="11" width="16.85546875" style="6" customWidth="1"/>
    <col min="12" max="12" width="1.7109375" style="6" customWidth="1"/>
    <col min="13" max="13" width="14.7109375" style="6" customWidth="1"/>
    <col min="14" max="14" width="15.85546875" style="6" customWidth="1"/>
    <col min="15" max="15" width="16.85546875" style="6" customWidth="1"/>
    <col min="16" max="16" width="14.7109375" style="6" customWidth="1"/>
    <col min="17" max="17" width="16.140625" style="6" customWidth="1"/>
    <col min="18" max="19" width="2.5703125" style="6" customWidth="1"/>
    <col min="20" max="23" width="16.140625" style="6" customWidth="1"/>
    <col min="24" max="24" width="2.7109375" style="6" customWidth="1"/>
    <col min="25" max="25" width="47" style="3" hidden="1" customWidth="1"/>
    <col min="26" max="16384" width="9.140625" style="6"/>
  </cols>
  <sheetData>
    <row r="1" spans="2:25" ht="15" x14ac:dyDescent="0.25">
      <c r="E1" s="53"/>
      <c r="F1" s="53"/>
      <c r="I1" s="54"/>
    </row>
    <row r="2" spans="2:25" ht="20.25" thickBot="1" x14ac:dyDescent="0.3">
      <c r="B2" s="55" t="s">
        <v>6</v>
      </c>
      <c r="C2" s="53"/>
      <c r="D2" s="53"/>
      <c r="E2" s="53"/>
      <c r="F2" s="53"/>
      <c r="G2" s="272" t="s">
        <v>154</v>
      </c>
      <c r="H2" s="272"/>
      <c r="I2" s="272"/>
      <c r="J2" s="272"/>
      <c r="K2" s="272"/>
      <c r="M2" s="272" t="s">
        <v>155</v>
      </c>
      <c r="N2" s="272"/>
      <c r="O2" s="272"/>
      <c r="P2" s="272"/>
      <c r="Q2" s="272"/>
      <c r="R2" s="4"/>
      <c r="S2" s="4"/>
      <c r="T2" s="4"/>
      <c r="U2" s="4"/>
      <c r="V2" s="4"/>
      <c r="W2" s="4"/>
    </row>
    <row r="3" spans="2:25" ht="19.5" x14ac:dyDescent="0.25">
      <c r="B3" s="55" t="s">
        <v>7</v>
      </c>
      <c r="C3" s="53"/>
      <c r="D3" s="53"/>
    </row>
    <row r="4" spans="2:25" x14ac:dyDescent="0.2">
      <c r="B4" s="53" t="s">
        <v>152</v>
      </c>
      <c r="C4" s="53"/>
      <c r="D4" s="53"/>
      <c r="G4" s="7" t="s">
        <v>8</v>
      </c>
      <c r="H4" s="7" t="s">
        <v>9</v>
      </c>
      <c r="I4" s="7" t="s">
        <v>10</v>
      </c>
      <c r="J4" s="7" t="s">
        <v>11</v>
      </c>
      <c r="K4" s="7" t="s">
        <v>12</v>
      </c>
      <c r="M4" s="7" t="s">
        <v>8</v>
      </c>
      <c r="N4" s="7" t="s">
        <v>9</v>
      </c>
      <c r="O4" s="7" t="s">
        <v>10</v>
      </c>
      <c r="P4" s="7" t="s">
        <v>11</v>
      </c>
      <c r="Q4" s="7" t="s">
        <v>12</v>
      </c>
      <c r="R4" s="7"/>
      <c r="S4" s="7"/>
      <c r="T4" s="7"/>
      <c r="U4" s="7"/>
      <c r="V4" s="7"/>
      <c r="W4" s="7"/>
    </row>
    <row r="5" spans="2:25" ht="15" x14ac:dyDescent="0.2">
      <c r="B5" s="56"/>
      <c r="C5" s="53"/>
      <c r="D5" s="56" t="s">
        <v>13</v>
      </c>
      <c r="G5" s="7" t="s">
        <v>14</v>
      </c>
      <c r="H5" s="7" t="s">
        <v>15</v>
      </c>
      <c r="I5" s="7" t="s">
        <v>16</v>
      </c>
      <c r="J5" s="7" t="s">
        <v>17</v>
      </c>
      <c r="K5" s="7" t="s">
        <v>18</v>
      </c>
      <c r="M5" s="7" t="s">
        <v>14</v>
      </c>
      <c r="N5" s="7" t="s">
        <v>15</v>
      </c>
      <c r="O5" s="7" t="s">
        <v>16</v>
      </c>
      <c r="P5" s="7" t="s">
        <v>17</v>
      </c>
      <c r="Q5" s="7" t="s">
        <v>18</v>
      </c>
      <c r="R5" s="7"/>
      <c r="S5" s="7"/>
      <c r="T5" s="7"/>
      <c r="U5" s="7"/>
      <c r="V5" s="7"/>
      <c r="W5" s="7"/>
    </row>
    <row r="6" spans="2:25" x14ac:dyDescent="0.2">
      <c r="B6" s="53" t="s">
        <v>153</v>
      </c>
      <c r="D6" s="5"/>
      <c r="G6" s="7"/>
      <c r="H6" s="7" t="s">
        <v>19</v>
      </c>
      <c r="I6" s="7"/>
      <c r="J6" s="7"/>
      <c r="K6" s="7"/>
      <c r="M6" s="7"/>
      <c r="N6" s="7" t="s">
        <v>19</v>
      </c>
      <c r="O6" s="7"/>
      <c r="P6" s="7"/>
      <c r="Q6" s="7"/>
      <c r="R6" s="7"/>
      <c r="S6" s="7"/>
      <c r="T6" s="7"/>
      <c r="U6" s="7"/>
      <c r="V6" s="7"/>
      <c r="W6" s="7"/>
    </row>
    <row r="7" spans="2:25" ht="13.5" thickBot="1" x14ac:dyDescent="0.25">
      <c r="B7" s="53"/>
      <c r="G7" s="162" t="s">
        <v>20</v>
      </c>
      <c r="H7" s="162" t="s">
        <v>21</v>
      </c>
      <c r="I7" s="162" t="s">
        <v>22</v>
      </c>
      <c r="J7" s="162"/>
      <c r="K7" s="162" t="s">
        <v>23</v>
      </c>
      <c r="M7" s="162" t="s">
        <v>20</v>
      </c>
      <c r="N7" s="162" t="s">
        <v>21</v>
      </c>
      <c r="O7" s="162" t="s">
        <v>22</v>
      </c>
      <c r="P7" s="162"/>
      <c r="Q7" s="162" t="s">
        <v>23</v>
      </c>
      <c r="R7" s="4"/>
      <c r="S7" s="4"/>
      <c r="T7" s="4"/>
      <c r="U7" s="4"/>
      <c r="V7" s="4"/>
      <c r="W7" s="4"/>
    </row>
    <row r="8" spans="2:25" ht="5.0999999999999996" customHeight="1" x14ac:dyDescent="0.2">
      <c r="B8" s="53"/>
      <c r="G8" s="7"/>
      <c r="H8" s="7"/>
      <c r="I8" s="7"/>
      <c r="J8" s="7"/>
      <c r="K8" s="7"/>
      <c r="M8" s="7"/>
      <c r="N8" s="7"/>
      <c r="O8" s="7"/>
      <c r="P8" s="7"/>
      <c r="Q8" s="7"/>
      <c r="R8" s="7"/>
      <c r="S8" s="7"/>
      <c r="T8" s="7"/>
      <c r="U8" s="7"/>
      <c r="V8" s="7"/>
      <c r="W8" s="7"/>
    </row>
    <row r="9" spans="2:25" ht="15" thickBot="1" x14ac:dyDescent="0.25">
      <c r="B9" s="57" t="s">
        <v>24</v>
      </c>
      <c r="D9" s="6" t="s">
        <v>25</v>
      </c>
      <c r="E9" s="8" t="s">
        <v>26</v>
      </c>
      <c r="G9" s="9">
        <v>5859</v>
      </c>
      <c r="H9" s="9">
        <v>586</v>
      </c>
      <c r="I9" s="9">
        <v>13085</v>
      </c>
      <c r="J9" s="9"/>
      <c r="K9" s="9">
        <f>J9+I9+H9+G9</f>
        <v>19530</v>
      </c>
      <c r="M9" s="9">
        <v>0</v>
      </c>
      <c r="N9" s="9">
        <v>0</v>
      </c>
      <c r="O9" s="9">
        <v>0</v>
      </c>
      <c r="P9" s="9">
        <v>0</v>
      </c>
      <c r="Q9" s="9">
        <f>SUM(M9:P9)</f>
        <v>0</v>
      </c>
      <c r="R9" s="9"/>
      <c r="S9" s="9"/>
      <c r="T9" s="9"/>
      <c r="U9" s="9"/>
      <c r="V9" s="9"/>
      <c r="W9" s="9"/>
    </row>
    <row r="10" spans="2:25" x14ac:dyDescent="0.2">
      <c r="B10" s="53" t="s">
        <v>27</v>
      </c>
      <c r="E10" s="8" t="s">
        <v>28</v>
      </c>
      <c r="G10" s="10">
        <v>97.1</v>
      </c>
      <c r="H10" s="10">
        <v>9.6999999999999993</v>
      </c>
      <c r="I10" s="10">
        <v>216.5</v>
      </c>
      <c r="J10" s="10"/>
      <c r="K10" s="10"/>
      <c r="M10" s="10">
        <f>G10</f>
        <v>97.1</v>
      </c>
      <c r="N10" s="10">
        <f>H10</f>
        <v>9.6999999999999993</v>
      </c>
      <c r="O10" s="10">
        <f>I10</f>
        <v>216.5</v>
      </c>
      <c r="P10" s="10">
        <v>0</v>
      </c>
      <c r="Q10" s="10">
        <f>SUM(M10:P10)</f>
        <v>323.3</v>
      </c>
      <c r="R10" s="20"/>
      <c r="S10" s="20"/>
      <c r="T10" s="20"/>
      <c r="U10" s="20"/>
      <c r="V10" s="20"/>
      <c r="W10" s="20"/>
    </row>
    <row r="11" spans="2:25" x14ac:dyDescent="0.2">
      <c r="E11" s="8"/>
    </row>
    <row r="12" spans="2:25" ht="13.5" thickBot="1" x14ac:dyDescent="0.25">
      <c r="D12" s="6" t="s">
        <v>29</v>
      </c>
      <c r="E12" s="8" t="s">
        <v>26</v>
      </c>
      <c r="G12" s="9">
        <v>12750</v>
      </c>
      <c r="H12" s="9">
        <v>1275</v>
      </c>
      <c r="I12" s="9">
        <v>28474</v>
      </c>
      <c r="J12" s="9"/>
      <c r="K12" s="9">
        <f>J12+I12+H12+G12</f>
        <v>42499</v>
      </c>
      <c r="M12" s="9">
        <f t="shared" ref="M12:P13" si="0">G12</f>
        <v>12750</v>
      </c>
      <c r="N12" s="9">
        <f t="shared" si="0"/>
        <v>1275</v>
      </c>
      <c r="O12" s="9">
        <f t="shared" si="0"/>
        <v>28474</v>
      </c>
      <c r="P12" s="9">
        <f t="shared" si="0"/>
        <v>0</v>
      </c>
      <c r="Q12" s="9">
        <f>SUM(M12:P12)</f>
        <v>42499</v>
      </c>
      <c r="R12" s="9"/>
      <c r="S12" s="9"/>
      <c r="T12" s="58">
        <f>223294-K12</f>
        <v>180795</v>
      </c>
      <c r="U12" s="9"/>
      <c r="V12" s="9"/>
      <c r="W12" s="9"/>
    </row>
    <row r="13" spans="2:25" x14ac:dyDescent="0.2">
      <c r="E13" s="8" t="s">
        <v>28</v>
      </c>
      <c r="G13" s="10">
        <v>171.6</v>
      </c>
      <c r="H13" s="10">
        <v>17.2</v>
      </c>
      <c r="I13" s="10">
        <v>383.2</v>
      </c>
      <c r="J13" s="10"/>
      <c r="K13" s="10">
        <f>G13+H13+I13+J13</f>
        <v>572</v>
      </c>
      <c r="M13" s="10">
        <f t="shared" si="0"/>
        <v>171.6</v>
      </c>
      <c r="N13" s="10">
        <f t="shared" si="0"/>
        <v>17.2</v>
      </c>
      <c r="O13" s="10">
        <f t="shared" si="0"/>
        <v>383.2</v>
      </c>
      <c r="P13" s="10">
        <v>0</v>
      </c>
      <c r="Q13" s="10">
        <f>SUM(M13:P13)</f>
        <v>572</v>
      </c>
      <c r="R13" s="20"/>
      <c r="S13" s="20"/>
      <c r="T13" s="59"/>
      <c r="U13" s="20"/>
      <c r="V13" s="20"/>
      <c r="W13" s="20"/>
    </row>
    <row r="14" spans="2:25" x14ac:dyDescent="0.2">
      <c r="T14" s="60"/>
      <c r="Y14" s="11" t="s">
        <v>30</v>
      </c>
    </row>
    <row r="15" spans="2:25" x14ac:dyDescent="0.2">
      <c r="D15" s="6" t="s">
        <v>31</v>
      </c>
      <c r="E15" s="8" t="s">
        <v>32</v>
      </c>
      <c r="G15" s="9">
        <v>2310</v>
      </c>
      <c r="H15" s="9">
        <v>2310</v>
      </c>
      <c r="I15" s="9">
        <v>5158</v>
      </c>
      <c r="J15" s="9"/>
      <c r="K15" s="9">
        <f>G15+H15+I15+J15</f>
        <v>9778</v>
      </c>
      <c r="M15" s="9">
        <v>0</v>
      </c>
      <c r="N15" s="9">
        <v>0</v>
      </c>
      <c r="O15" s="9">
        <v>0</v>
      </c>
      <c r="P15" s="9">
        <v>0</v>
      </c>
      <c r="Q15" s="9">
        <f t="shared" ref="Q15:Q20" si="1">SUM(M15:P15)</f>
        <v>0</v>
      </c>
      <c r="R15" s="9"/>
      <c r="S15" s="9"/>
      <c r="T15" s="58"/>
      <c r="U15" s="9"/>
      <c r="V15" s="9"/>
      <c r="W15" s="9"/>
    </row>
    <row r="16" spans="2:25" x14ac:dyDescent="0.2">
      <c r="D16" s="6" t="s">
        <v>33</v>
      </c>
      <c r="E16" s="8" t="s">
        <v>34</v>
      </c>
      <c r="G16" s="9">
        <v>1441</v>
      </c>
      <c r="H16" s="9">
        <v>144</v>
      </c>
      <c r="I16" s="9">
        <v>3218</v>
      </c>
      <c r="J16" s="9"/>
      <c r="K16" s="9">
        <f t="shared" ref="K16:K20" si="2">G16+H16+I16+J16</f>
        <v>4803</v>
      </c>
      <c r="M16" s="9">
        <f>G16</f>
        <v>1441</v>
      </c>
      <c r="N16" s="9">
        <f>H16</f>
        <v>144</v>
      </c>
      <c r="O16" s="9">
        <f>I16</f>
        <v>3218</v>
      </c>
      <c r="P16" s="9">
        <f>J16</f>
        <v>0</v>
      </c>
      <c r="Q16" s="9">
        <f t="shared" si="1"/>
        <v>4803</v>
      </c>
      <c r="R16" s="9"/>
      <c r="S16" s="9"/>
      <c r="T16" s="58"/>
      <c r="U16" s="9"/>
      <c r="V16" s="9"/>
      <c r="W16" s="9"/>
      <c r="Y16" s="3" t="s">
        <v>35</v>
      </c>
    </row>
    <row r="17" spans="2:25" x14ac:dyDescent="0.2">
      <c r="D17" s="61"/>
      <c r="E17" s="8" t="s">
        <v>36</v>
      </c>
      <c r="G17" s="9">
        <v>69</v>
      </c>
      <c r="H17" s="9">
        <v>7</v>
      </c>
      <c r="I17" s="9">
        <v>154</v>
      </c>
      <c r="J17" s="9"/>
      <c r="K17" s="9">
        <f t="shared" si="2"/>
        <v>230</v>
      </c>
      <c r="M17" s="9">
        <v>0</v>
      </c>
      <c r="N17" s="9">
        <v>0</v>
      </c>
      <c r="O17" s="9">
        <v>0</v>
      </c>
      <c r="P17" s="9">
        <v>0</v>
      </c>
      <c r="Q17" s="9">
        <f t="shared" si="1"/>
        <v>0</v>
      </c>
      <c r="R17" s="9"/>
      <c r="S17" s="9"/>
      <c r="T17" s="58"/>
      <c r="U17" s="9"/>
      <c r="V17" s="9"/>
      <c r="W17" s="9"/>
      <c r="Y17" s="12">
        <v>614800</v>
      </c>
    </row>
    <row r="18" spans="2:25" x14ac:dyDescent="0.2">
      <c r="E18" s="8" t="s">
        <v>37</v>
      </c>
      <c r="G18" s="9">
        <v>780</v>
      </c>
      <c r="H18" s="9">
        <v>78</v>
      </c>
      <c r="I18" s="9">
        <v>1743</v>
      </c>
      <c r="J18" s="9"/>
      <c r="K18" s="9">
        <f t="shared" si="2"/>
        <v>2601</v>
      </c>
      <c r="M18" s="9">
        <v>0</v>
      </c>
      <c r="N18" s="9">
        <v>0</v>
      </c>
      <c r="O18" s="9">
        <v>0</v>
      </c>
      <c r="P18" s="9">
        <v>0</v>
      </c>
      <c r="Q18" s="9">
        <f t="shared" si="1"/>
        <v>0</v>
      </c>
      <c r="R18" s="9"/>
      <c r="S18" s="9"/>
      <c r="T18" s="58"/>
      <c r="U18" s="9"/>
      <c r="V18" s="9"/>
      <c r="W18" s="9"/>
    </row>
    <row r="19" spans="2:25" x14ac:dyDescent="0.2">
      <c r="E19" s="8" t="s">
        <v>38</v>
      </c>
      <c r="G19" s="9">
        <v>5885</v>
      </c>
      <c r="H19" s="9">
        <v>406</v>
      </c>
      <c r="I19" s="9"/>
      <c r="J19" s="9"/>
      <c r="K19" s="9">
        <f t="shared" si="2"/>
        <v>6291</v>
      </c>
      <c r="M19" s="9">
        <f>G19</f>
        <v>5885</v>
      </c>
      <c r="N19" s="9">
        <f>H19</f>
        <v>406</v>
      </c>
      <c r="O19" s="9">
        <f>I19</f>
        <v>0</v>
      </c>
      <c r="P19" s="9">
        <f>J19</f>
        <v>0</v>
      </c>
      <c r="Q19" s="9">
        <f t="shared" si="1"/>
        <v>6291</v>
      </c>
      <c r="R19" s="9"/>
      <c r="S19" s="9"/>
      <c r="T19" s="58"/>
      <c r="U19" s="9"/>
      <c r="V19" s="9"/>
      <c r="W19" s="9"/>
      <c r="Y19" s="3" t="s">
        <v>39</v>
      </c>
    </row>
    <row r="20" spans="2:25" x14ac:dyDescent="0.2">
      <c r="E20" s="8" t="s">
        <v>40</v>
      </c>
      <c r="G20" s="13">
        <v>-234</v>
      </c>
      <c r="H20" s="13">
        <v>-29</v>
      </c>
      <c r="I20" s="13">
        <v>-645</v>
      </c>
      <c r="J20" s="13"/>
      <c r="K20" s="13">
        <f t="shared" si="2"/>
        <v>-908</v>
      </c>
      <c r="M20" s="9">
        <v>0</v>
      </c>
      <c r="N20" s="9">
        <v>0</v>
      </c>
      <c r="O20" s="9">
        <v>0</v>
      </c>
      <c r="P20" s="9">
        <v>0</v>
      </c>
      <c r="Q20" s="9">
        <f t="shared" si="1"/>
        <v>0</v>
      </c>
      <c r="R20" s="9"/>
      <c r="S20" s="9"/>
      <c r="T20" s="58"/>
      <c r="U20" s="9"/>
      <c r="V20" s="9"/>
      <c r="W20" s="9"/>
      <c r="Y20" s="12">
        <f>31030+1679</f>
        <v>32709</v>
      </c>
    </row>
    <row r="21" spans="2:25" x14ac:dyDescent="0.2">
      <c r="D21" s="53" t="s">
        <v>41</v>
      </c>
      <c r="E21" s="8"/>
      <c r="G21" s="14"/>
      <c r="H21" s="14"/>
      <c r="I21" s="14"/>
      <c r="J21" s="14"/>
      <c r="K21" s="14">
        <f t="shared" ref="K21" si="3">SUM(K15:K20)+K12+K9</f>
        <v>84824</v>
      </c>
      <c r="M21" s="15">
        <f>M9+M12+SUM(M15:M20)</f>
        <v>20076</v>
      </c>
      <c r="N21" s="15">
        <f>N9+N12+SUM(N15:N20)</f>
        <v>1825</v>
      </c>
      <c r="O21" s="15">
        <f>O9+O12+SUM(O15:O20)</f>
        <v>31692</v>
      </c>
      <c r="P21" s="15">
        <f>P9+P12+SUM(P15:P20)</f>
        <v>0</v>
      </c>
      <c r="Q21" s="15">
        <f>Q9+Q12+SUM(Q15:Q20)</f>
        <v>53593</v>
      </c>
      <c r="R21" s="62"/>
      <c r="S21" s="62"/>
      <c r="T21" s="63"/>
      <c r="U21" s="62"/>
      <c r="V21" s="62"/>
      <c r="W21" s="62"/>
    </row>
    <row r="22" spans="2:25" x14ac:dyDescent="0.2">
      <c r="E22" s="8"/>
      <c r="G22" s="9"/>
      <c r="H22" s="9"/>
      <c r="I22" s="9"/>
      <c r="J22" s="9"/>
      <c r="K22" s="9"/>
      <c r="M22" s="16"/>
      <c r="N22" s="9"/>
      <c r="O22" s="9"/>
      <c r="P22" s="9"/>
      <c r="Q22" s="9"/>
      <c r="R22" s="9"/>
      <c r="S22" s="9"/>
      <c r="T22" s="58"/>
      <c r="U22" s="9"/>
      <c r="V22" s="9"/>
      <c r="W22" s="9"/>
      <c r="Y22" s="3" t="s">
        <v>42</v>
      </c>
    </row>
    <row r="23" spans="2:25" x14ac:dyDescent="0.2">
      <c r="B23" s="53" t="s">
        <v>43</v>
      </c>
      <c r="E23" s="8" t="s">
        <v>44</v>
      </c>
      <c r="G23" s="13">
        <v>3100</v>
      </c>
      <c r="H23" s="13">
        <v>269</v>
      </c>
      <c r="I23" s="13">
        <v>6961</v>
      </c>
      <c r="J23" s="13"/>
      <c r="K23" s="13">
        <f>J23+I23+H23+G23</f>
        <v>10330</v>
      </c>
      <c r="M23" s="13">
        <f>$Q$23*G$82</f>
        <v>137.3958889069616</v>
      </c>
      <c r="N23" s="13">
        <f>$Q$23*H$82</f>
        <v>10.991671112556928</v>
      </c>
      <c r="O23" s="13">
        <f>$Q$23*I$82</f>
        <v>401.19599560832785</v>
      </c>
      <c r="P23" s="13">
        <v>0</v>
      </c>
      <c r="Q23" s="13">
        <f>K23*Y23</f>
        <v>549.58355562784641</v>
      </c>
      <c r="R23" s="17"/>
      <c r="S23" s="17"/>
      <c r="T23" s="18">
        <f>251603.59-K23</f>
        <v>241273.59</v>
      </c>
      <c r="U23" s="17"/>
      <c r="V23" s="17"/>
      <c r="W23" s="17"/>
      <c r="Y23" s="19">
        <f>Y20/Y17</f>
        <v>5.320266753415745E-2</v>
      </c>
    </row>
    <row r="24" spans="2:25" x14ac:dyDescent="0.2">
      <c r="B24" s="53"/>
      <c r="D24" s="53" t="s">
        <v>45</v>
      </c>
      <c r="E24" s="8"/>
      <c r="G24" s="14"/>
      <c r="H24" s="14"/>
      <c r="I24" s="14"/>
      <c r="J24" s="14"/>
      <c r="K24" s="14">
        <f>K23</f>
        <v>10330</v>
      </c>
      <c r="M24" s="14">
        <f>SUM(M23)</f>
        <v>137.3958889069616</v>
      </c>
      <c r="N24" s="14">
        <f>SUM(N23)</f>
        <v>10.991671112556928</v>
      </c>
      <c r="O24" s="14">
        <f>SUM(O23)</f>
        <v>401.19599560832785</v>
      </c>
      <c r="P24" s="14">
        <f>SUM(P23)</f>
        <v>0</v>
      </c>
      <c r="Q24" s="14">
        <f>SUM(M24:P24)</f>
        <v>549.58355562784641</v>
      </c>
      <c r="R24" s="14"/>
      <c r="S24" s="14"/>
      <c r="T24" s="64"/>
      <c r="U24" s="14"/>
      <c r="V24" s="14"/>
      <c r="W24" s="14"/>
    </row>
    <row r="25" spans="2:25" x14ac:dyDescent="0.2">
      <c r="B25" s="53"/>
    </row>
    <row r="26" spans="2:25" x14ac:dyDescent="0.2">
      <c r="B26" s="53" t="s">
        <v>46</v>
      </c>
      <c r="E26" s="8" t="s">
        <v>47</v>
      </c>
      <c r="G26" s="9">
        <v>52</v>
      </c>
      <c r="H26" s="9">
        <v>4</v>
      </c>
      <c r="I26" s="9">
        <v>119</v>
      </c>
      <c r="J26" s="9"/>
      <c r="K26" s="9">
        <f>G26+H26+I26+J26</f>
        <v>175</v>
      </c>
      <c r="M26" s="17">
        <v>0</v>
      </c>
      <c r="N26" s="17">
        <v>0</v>
      </c>
      <c r="O26" s="17">
        <v>0</v>
      </c>
      <c r="P26" s="9">
        <v>0</v>
      </c>
      <c r="Q26" s="9">
        <f t="shared" ref="Q26:Q31" si="4">SUM(M26:P26)</f>
        <v>0</v>
      </c>
      <c r="R26" s="9"/>
      <c r="S26" s="9"/>
      <c r="T26" s="9"/>
      <c r="U26" s="9"/>
      <c r="V26" s="9"/>
      <c r="W26" s="9"/>
    </row>
    <row r="27" spans="2:25" x14ac:dyDescent="0.2">
      <c r="B27" s="53"/>
      <c r="E27" s="8" t="s">
        <v>48</v>
      </c>
      <c r="G27" s="9">
        <v>357</v>
      </c>
      <c r="H27" s="9">
        <v>36</v>
      </c>
      <c r="I27" s="9">
        <v>797</v>
      </c>
      <c r="J27" s="9"/>
      <c r="K27" s="9">
        <f t="shared" ref="K27:K30" si="5">G27+H27+I27+J27</f>
        <v>1190</v>
      </c>
      <c r="M27" s="9">
        <f>G27</f>
        <v>357</v>
      </c>
      <c r="N27" s="9">
        <f>H27</f>
        <v>36</v>
      </c>
      <c r="O27" s="9">
        <f>I27</f>
        <v>797</v>
      </c>
      <c r="P27" s="9">
        <f>J27</f>
        <v>0</v>
      </c>
      <c r="Q27" s="9">
        <f>SUM(M27:P27)</f>
        <v>1190</v>
      </c>
      <c r="R27" s="9"/>
      <c r="S27" s="9"/>
      <c r="T27" s="9"/>
      <c r="U27" s="9"/>
      <c r="V27" s="9"/>
      <c r="W27" s="9"/>
    </row>
    <row r="28" spans="2:25" x14ac:dyDescent="0.2">
      <c r="B28" s="53"/>
      <c r="E28" s="6" t="s">
        <v>49</v>
      </c>
      <c r="G28" s="9"/>
      <c r="H28" s="9"/>
      <c r="I28" s="9"/>
      <c r="J28" s="9"/>
      <c r="K28" s="9">
        <f t="shared" si="5"/>
        <v>0</v>
      </c>
      <c r="M28" s="9">
        <v>0</v>
      </c>
      <c r="N28" s="9">
        <v>0</v>
      </c>
      <c r="O28" s="9">
        <v>0</v>
      </c>
      <c r="P28" s="9">
        <v>0</v>
      </c>
      <c r="Q28" s="9">
        <f t="shared" si="4"/>
        <v>0</v>
      </c>
      <c r="R28" s="9"/>
      <c r="S28" s="9"/>
      <c r="T28" s="9"/>
      <c r="U28" s="9"/>
      <c r="V28" s="9"/>
      <c r="W28" s="9"/>
    </row>
    <row r="29" spans="2:25" x14ac:dyDescent="0.2">
      <c r="B29" s="53"/>
      <c r="E29" s="8" t="s">
        <v>50</v>
      </c>
      <c r="G29" s="9">
        <v>124</v>
      </c>
      <c r="H29" s="9">
        <v>12</v>
      </c>
      <c r="I29" s="9">
        <v>277</v>
      </c>
      <c r="J29" s="9"/>
      <c r="K29" s="9">
        <f t="shared" si="5"/>
        <v>413</v>
      </c>
      <c r="M29" s="9">
        <f t="shared" ref="M29:P30" si="6">G29</f>
        <v>124</v>
      </c>
      <c r="N29" s="9">
        <f t="shared" si="6"/>
        <v>12</v>
      </c>
      <c r="O29" s="9">
        <f t="shared" si="6"/>
        <v>277</v>
      </c>
      <c r="P29" s="9">
        <f t="shared" si="6"/>
        <v>0</v>
      </c>
      <c r="Q29" s="9">
        <f t="shared" si="4"/>
        <v>413</v>
      </c>
      <c r="R29" s="9"/>
      <c r="S29" s="9"/>
      <c r="T29" s="9"/>
      <c r="U29" s="9"/>
      <c r="V29" s="9"/>
      <c r="W29" s="9"/>
    </row>
    <row r="30" spans="2:25" x14ac:dyDescent="0.2">
      <c r="B30" s="53"/>
      <c r="E30" s="8" t="s">
        <v>51</v>
      </c>
      <c r="G30" s="13">
        <v>429</v>
      </c>
      <c r="H30" s="13">
        <v>40</v>
      </c>
      <c r="I30" s="13">
        <v>982</v>
      </c>
      <c r="J30" s="13"/>
      <c r="K30" s="13">
        <f t="shared" si="5"/>
        <v>1451</v>
      </c>
      <c r="M30" s="13">
        <f t="shared" si="6"/>
        <v>429</v>
      </c>
      <c r="N30" s="13">
        <f t="shared" si="6"/>
        <v>40</v>
      </c>
      <c r="O30" s="13">
        <f t="shared" si="6"/>
        <v>982</v>
      </c>
      <c r="P30" s="13">
        <f>J30</f>
        <v>0</v>
      </c>
      <c r="Q30" s="13">
        <f t="shared" si="4"/>
        <v>1451</v>
      </c>
      <c r="R30" s="17"/>
      <c r="S30" s="17"/>
      <c r="T30" s="17"/>
      <c r="U30" s="17"/>
      <c r="V30" s="17"/>
      <c r="W30" s="17"/>
    </row>
    <row r="31" spans="2:25" x14ac:dyDescent="0.2">
      <c r="B31" s="53"/>
      <c r="D31" s="53" t="s">
        <v>52</v>
      </c>
      <c r="G31" s="14"/>
      <c r="H31" s="14"/>
      <c r="I31" s="14"/>
      <c r="J31" s="14"/>
      <c r="K31" s="14">
        <f>SUM(K26:K30)</f>
        <v>3229</v>
      </c>
      <c r="M31" s="14">
        <f>SUM(M26:M30)</f>
        <v>910</v>
      </c>
      <c r="N31" s="14">
        <f>SUM(N26:N30)</f>
        <v>88</v>
      </c>
      <c r="O31" s="14">
        <f>SUM(O26:O30)</f>
        <v>2056</v>
      </c>
      <c r="P31" s="14">
        <f>SUM(P26:P30)</f>
        <v>0</v>
      </c>
      <c r="Q31" s="14">
        <f t="shared" si="4"/>
        <v>3054</v>
      </c>
      <c r="R31" s="14"/>
      <c r="S31" s="14"/>
      <c r="T31" s="14"/>
      <c r="U31" s="14"/>
      <c r="V31" s="14"/>
      <c r="W31" s="14"/>
    </row>
    <row r="32" spans="2:25" x14ac:dyDescent="0.2">
      <c r="B32" s="53"/>
    </row>
    <row r="33" spans="2:23" x14ac:dyDescent="0.2">
      <c r="B33" s="53" t="s">
        <v>53</v>
      </c>
      <c r="D33" s="53" t="s">
        <v>54</v>
      </c>
      <c r="E33" s="6" t="s">
        <v>55</v>
      </c>
      <c r="G33" s="9"/>
      <c r="H33" s="9"/>
      <c r="I33" s="9"/>
      <c r="J33" s="9"/>
      <c r="K33" s="9">
        <f>G33+H33+I33+J33</f>
        <v>0</v>
      </c>
      <c r="M33" s="9">
        <f t="shared" ref="M33:P34" si="7">G33</f>
        <v>0</v>
      </c>
      <c r="N33" s="9">
        <f t="shared" si="7"/>
        <v>0</v>
      </c>
      <c r="O33" s="9">
        <f t="shared" si="7"/>
        <v>0</v>
      </c>
      <c r="P33" s="9">
        <f t="shared" si="7"/>
        <v>0</v>
      </c>
      <c r="Q33" s="9">
        <f>SUM(M33:P33)</f>
        <v>0</v>
      </c>
      <c r="R33" s="9"/>
      <c r="S33" s="9"/>
      <c r="T33" s="9"/>
      <c r="U33" s="9"/>
      <c r="V33" s="9"/>
      <c r="W33" s="9"/>
    </row>
    <row r="34" spans="2:23" x14ac:dyDescent="0.2">
      <c r="B34" s="53" t="s">
        <v>56</v>
      </c>
      <c r="D34" s="53" t="s">
        <v>57</v>
      </c>
      <c r="E34" s="6" t="s">
        <v>58</v>
      </c>
      <c r="G34" s="9"/>
      <c r="H34" s="9"/>
      <c r="I34" s="9"/>
      <c r="J34" s="9"/>
      <c r="K34" s="9">
        <f t="shared" ref="K34:K42" si="8">G34+H34+I34+J34</f>
        <v>0</v>
      </c>
      <c r="M34" s="9">
        <f t="shared" si="7"/>
        <v>0</v>
      </c>
      <c r="N34" s="9">
        <f t="shared" si="7"/>
        <v>0</v>
      </c>
      <c r="O34" s="9">
        <f t="shared" si="7"/>
        <v>0</v>
      </c>
      <c r="P34" s="9">
        <f t="shared" si="7"/>
        <v>0</v>
      </c>
      <c r="Q34" s="9">
        <f>SUM(M34:P34)</f>
        <v>0</v>
      </c>
      <c r="R34" s="9"/>
      <c r="S34" s="9"/>
      <c r="T34" s="9"/>
      <c r="U34" s="9"/>
      <c r="V34" s="9"/>
      <c r="W34" s="9"/>
    </row>
    <row r="35" spans="2:23" x14ac:dyDescent="0.2">
      <c r="D35" s="53"/>
      <c r="K35" s="9">
        <f t="shared" si="8"/>
        <v>0</v>
      </c>
      <c r="Q35" s="9"/>
      <c r="R35" s="9"/>
      <c r="S35" s="9"/>
      <c r="T35" s="9"/>
      <c r="U35" s="9"/>
      <c r="V35" s="9"/>
      <c r="W35" s="9"/>
    </row>
    <row r="36" spans="2:23" x14ac:dyDescent="0.2">
      <c r="D36" s="53" t="s">
        <v>59</v>
      </c>
      <c r="E36" s="6" t="s">
        <v>60</v>
      </c>
      <c r="G36" s="9"/>
      <c r="H36" s="9"/>
      <c r="I36" s="9"/>
      <c r="J36" s="9"/>
      <c r="K36" s="9">
        <f t="shared" si="8"/>
        <v>0</v>
      </c>
      <c r="M36" s="9">
        <f t="shared" ref="M36:P41" si="9">G36</f>
        <v>0</v>
      </c>
      <c r="N36" s="9">
        <f t="shared" si="9"/>
        <v>0</v>
      </c>
      <c r="O36" s="9">
        <f t="shared" si="9"/>
        <v>0</v>
      </c>
      <c r="P36" s="9">
        <f t="shared" si="9"/>
        <v>0</v>
      </c>
      <c r="Q36" s="9">
        <f t="shared" ref="Q36:Q41" si="10">SUM(M36:P36)</f>
        <v>0</v>
      </c>
      <c r="R36" s="9"/>
      <c r="S36" s="9"/>
      <c r="T36" s="9"/>
      <c r="U36" s="9"/>
      <c r="V36" s="9"/>
      <c r="W36" s="9"/>
    </row>
    <row r="37" spans="2:23" x14ac:dyDescent="0.2">
      <c r="D37" s="53" t="s">
        <v>61</v>
      </c>
      <c r="E37" s="6" t="s">
        <v>62</v>
      </c>
      <c r="G37" s="9"/>
      <c r="H37" s="9"/>
      <c r="I37" s="9"/>
      <c r="J37" s="9"/>
      <c r="K37" s="9">
        <f t="shared" si="8"/>
        <v>0</v>
      </c>
      <c r="M37" s="9">
        <f t="shared" si="9"/>
        <v>0</v>
      </c>
      <c r="N37" s="9">
        <f t="shared" si="9"/>
        <v>0</v>
      </c>
      <c r="O37" s="9">
        <f t="shared" si="9"/>
        <v>0</v>
      </c>
      <c r="P37" s="9">
        <f t="shared" si="9"/>
        <v>0</v>
      </c>
      <c r="Q37" s="9">
        <f t="shared" si="10"/>
        <v>0</v>
      </c>
      <c r="R37" s="9"/>
      <c r="S37" s="9"/>
      <c r="T37" s="9"/>
      <c r="U37" s="9"/>
      <c r="V37" s="9"/>
      <c r="W37" s="9"/>
    </row>
    <row r="38" spans="2:23" x14ac:dyDescent="0.2">
      <c r="D38" s="53"/>
      <c r="E38" s="6" t="s">
        <v>63</v>
      </c>
      <c r="G38" s="9"/>
      <c r="H38" s="9"/>
      <c r="I38" s="9"/>
      <c r="J38" s="9"/>
      <c r="K38" s="9">
        <f t="shared" si="8"/>
        <v>0</v>
      </c>
      <c r="M38" s="9">
        <f t="shared" si="9"/>
        <v>0</v>
      </c>
      <c r="N38" s="9">
        <f t="shared" si="9"/>
        <v>0</v>
      </c>
      <c r="O38" s="9">
        <f t="shared" si="9"/>
        <v>0</v>
      </c>
      <c r="P38" s="9">
        <f t="shared" si="9"/>
        <v>0</v>
      </c>
      <c r="Q38" s="9">
        <f t="shared" si="10"/>
        <v>0</v>
      </c>
      <c r="R38" s="9"/>
      <c r="S38" s="9"/>
      <c r="T38" s="9"/>
      <c r="U38" s="9"/>
      <c r="V38" s="9"/>
      <c r="W38" s="9"/>
    </row>
    <row r="39" spans="2:23" x14ac:dyDescent="0.2">
      <c r="D39" s="53"/>
      <c r="E39" s="6" t="s">
        <v>64</v>
      </c>
      <c r="G39" s="9"/>
      <c r="H39" s="9"/>
      <c r="I39" s="9"/>
      <c r="J39" s="9"/>
      <c r="K39" s="9">
        <f t="shared" si="8"/>
        <v>0</v>
      </c>
      <c r="M39" s="9">
        <f t="shared" si="9"/>
        <v>0</v>
      </c>
      <c r="N39" s="9">
        <f t="shared" si="9"/>
        <v>0</v>
      </c>
      <c r="O39" s="9">
        <f t="shared" si="9"/>
        <v>0</v>
      </c>
      <c r="P39" s="9">
        <f t="shared" si="9"/>
        <v>0</v>
      </c>
      <c r="Q39" s="9">
        <f t="shared" si="10"/>
        <v>0</v>
      </c>
      <c r="R39" s="9"/>
      <c r="S39" s="9"/>
      <c r="T39" s="9"/>
      <c r="U39" s="9"/>
      <c r="V39" s="9"/>
      <c r="W39" s="9"/>
    </row>
    <row r="40" spans="2:23" x14ac:dyDescent="0.2">
      <c r="D40" s="53"/>
      <c r="E40" s="6" t="s">
        <v>65</v>
      </c>
      <c r="G40" s="9"/>
      <c r="H40" s="9"/>
      <c r="I40" s="9"/>
      <c r="J40" s="9"/>
      <c r="K40" s="9">
        <f t="shared" si="8"/>
        <v>0</v>
      </c>
      <c r="M40" s="9">
        <f t="shared" si="9"/>
        <v>0</v>
      </c>
      <c r="N40" s="9">
        <f t="shared" si="9"/>
        <v>0</v>
      </c>
      <c r="O40" s="9">
        <f t="shared" si="9"/>
        <v>0</v>
      </c>
      <c r="P40" s="9">
        <f t="shared" si="9"/>
        <v>0</v>
      </c>
      <c r="Q40" s="9">
        <f t="shared" si="10"/>
        <v>0</v>
      </c>
      <c r="R40" s="9"/>
      <c r="S40" s="9"/>
      <c r="T40" s="9"/>
      <c r="U40" s="9"/>
      <c r="V40" s="9"/>
      <c r="W40" s="9"/>
    </row>
    <row r="41" spans="2:23" x14ac:dyDescent="0.2">
      <c r="D41" s="53"/>
      <c r="E41" s="6" t="s">
        <v>66</v>
      </c>
      <c r="G41" s="9">
        <v>12861</v>
      </c>
      <c r="H41" s="9"/>
      <c r="I41" s="9"/>
      <c r="J41" s="9"/>
      <c r="K41" s="9">
        <f t="shared" si="8"/>
        <v>12861</v>
      </c>
      <c r="M41" s="9">
        <f t="shared" si="9"/>
        <v>12861</v>
      </c>
      <c r="N41" s="9">
        <f t="shared" si="9"/>
        <v>0</v>
      </c>
      <c r="O41" s="9">
        <f t="shared" si="9"/>
        <v>0</v>
      </c>
      <c r="P41" s="9">
        <f t="shared" si="9"/>
        <v>0</v>
      </c>
      <c r="Q41" s="9">
        <f t="shared" si="10"/>
        <v>12861</v>
      </c>
      <c r="R41" s="9"/>
      <c r="S41" s="9"/>
      <c r="T41" s="9"/>
      <c r="U41" s="9"/>
      <c r="V41" s="9"/>
      <c r="W41" s="9"/>
    </row>
    <row r="42" spans="2:23" x14ac:dyDescent="0.2">
      <c r="D42" s="53"/>
      <c r="K42" s="9">
        <f t="shared" si="8"/>
        <v>0</v>
      </c>
      <c r="Q42" s="9"/>
      <c r="R42" s="9"/>
      <c r="S42" s="9"/>
      <c r="T42" s="9"/>
      <c r="U42" s="9"/>
      <c r="V42" s="9"/>
      <c r="W42" s="9"/>
    </row>
    <row r="43" spans="2:23" x14ac:dyDescent="0.2">
      <c r="D43" s="53" t="s">
        <v>67</v>
      </c>
      <c r="G43" s="9"/>
      <c r="H43" s="9">
        <f>H11</f>
        <v>0</v>
      </c>
      <c r="I43" s="9">
        <v>0</v>
      </c>
      <c r="J43" s="9">
        <v>0</v>
      </c>
      <c r="K43" s="9">
        <f>SUM(G43:J43)</f>
        <v>0</v>
      </c>
      <c r="M43" s="9">
        <f>G43</f>
        <v>0</v>
      </c>
      <c r="N43" s="9">
        <f>H43</f>
        <v>0</v>
      </c>
      <c r="O43" s="9">
        <f>I43</f>
        <v>0</v>
      </c>
      <c r="P43" s="9">
        <f>J43</f>
        <v>0</v>
      </c>
      <c r="Q43" s="9">
        <f>SUM(M43:P43)</f>
        <v>0</v>
      </c>
      <c r="R43" s="9"/>
      <c r="S43" s="9"/>
      <c r="T43" s="9"/>
      <c r="U43" s="9"/>
      <c r="V43" s="9"/>
      <c r="W43" s="9"/>
    </row>
    <row r="44" spans="2:23" x14ac:dyDescent="0.2">
      <c r="D44" s="53"/>
    </row>
    <row r="45" spans="2:23" x14ac:dyDescent="0.2">
      <c r="D45" s="53" t="s">
        <v>68</v>
      </c>
      <c r="G45" s="9"/>
      <c r="H45" s="9"/>
      <c r="I45" s="9">
        <v>0</v>
      </c>
      <c r="J45" s="9">
        <v>0</v>
      </c>
      <c r="K45" s="9">
        <f>SUM(G45:J45)</f>
        <v>0</v>
      </c>
      <c r="M45" s="9">
        <f>G45</f>
        <v>0</v>
      </c>
      <c r="N45" s="9">
        <f>H45</f>
        <v>0</v>
      </c>
      <c r="O45" s="9">
        <f>I45</f>
        <v>0</v>
      </c>
      <c r="P45" s="9">
        <f>J45</f>
        <v>0</v>
      </c>
      <c r="Q45" s="9">
        <f>SUM(M45:P45)</f>
        <v>0</v>
      </c>
      <c r="R45" s="9"/>
      <c r="S45" s="9"/>
      <c r="T45" s="9"/>
      <c r="U45" s="9"/>
      <c r="V45" s="9"/>
      <c r="W45" s="9"/>
    </row>
    <row r="46" spans="2:23" x14ac:dyDescent="0.2">
      <c r="D46" s="53"/>
    </row>
    <row r="47" spans="2:23" x14ac:dyDescent="0.2">
      <c r="D47" s="53" t="s">
        <v>69</v>
      </c>
      <c r="G47" s="9"/>
      <c r="H47" s="9"/>
      <c r="I47" s="9">
        <v>0</v>
      </c>
      <c r="J47" s="9">
        <v>0</v>
      </c>
      <c r="K47" s="9">
        <f>SUM(G47:J47)</f>
        <v>0</v>
      </c>
      <c r="M47" s="9">
        <f>G47</f>
        <v>0</v>
      </c>
      <c r="N47" s="9">
        <f>H47</f>
        <v>0</v>
      </c>
      <c r="O47" s="9">
        <f>I47</f>
        <v>0</v>
      </c>
      <c r="P47" s="9">
        <f>J47</f>
        <v>0</v>
      </c>
      <c r="Q47" s="9">
        <f>SUM(M47:P47)</f>
        <v>0</v>
      </c>
      <c r="R47" s="9"/>
      <c r="S47" s="9"/>
      <c r="T47" s="9"/>
      <c r="U47" s="9"/>
      <c r="V47" s="9"/>
      <c r="W47" s="9"/>
    </row>
    <row r="48" spans="2:23" x14ac:dyDescent="0.2">
      <c r="D48" s="53"/>
    </row>
    <row r="49" spans="2:23" x14ac:dyDescent="0.2">
      <c r="D49" s="53" t="s">
        <v>70</v>
      </c>
      <c r="G49" s="9"/>
      <c r="H49" s="9">
        <v>0</v>
      </c>
      <c r="I49" s="9">
        <v>0</v>
      </c>
      <c r="J49" s="9">
        <v>0</v>
      </c>
      <c r="K49" s="9">
        <f>SUM(G49:J49)</f>
        <v>0</v>
      </c>
      <c r="M49" s="9">
        <f>G49</f>
        <v>0</v>
      </c>
      <c r="N49" s="9">
        <f>H49</f>
        <v>0</v>
      </c>
      <c r="O49" s="9">
        <f>I49</f>
        <v>0</v>
      </c>
      <c r="P49" s="9">
        <f>J49</f>
        <v>0</v>
      </c>
      <c r="Q49" s="9">
        <f>SUM(M49:P49)</f>
        <v>0</v>
      </c>
      <c r="R49" s="9"/>
      <c r="S49" s="9"/>
      <c r="T49" s="9"/>
      <c r="U49" s="9"/>
      <c r="V49" s="9"/>
      <c r="W49" s="9"/>
    </row>
    <row r="50" spans="2:23" x14ac:dyDescent="0.2">
      <c r="D50" s="53" t="s">
        <v>71</v>
      </c>
    </row>
    <row r="51" spans="2:23" x14ac:dyDescent="0.2">
      <c r="D51" s="53"/>
    </row>
    <row r="52" spans="2:23" x14ac:dyDescent="0.2">
      <c r="B52" s="53"/>
      <c r="D52" s="53" t="s">
        <v>66</v>
      </c>
      <c r="G52" s="13"/>
      <c r="H52" s="13">
        <v>0</v>
      </c>
      <c r="I52" s="13">
        <v>0</v>
      </c>
      <c r="J52" s="13">
        <v>0</v>
      </c>
      <c r="K52" s="13">
        <f>SUM(G52:J52)</f>
        <v>0</v>
      </c>
      <c r="M52" s="13">
        <f>G52</f>
        <v>0</v>
      </c>
      <c r="N52" s="13">
        <f>H52</f>
        <v>0</v>
      </c>
      <c r="O52" s="13">
        <f>I52</f>
        <v>0</v>
      </c>
      <c r="P52" s="13">
        <f>J52</f>
        <v>0</v>
      </c>
      <c r="Q52" s="13">
        <f>SUM(M52:P52)</f>
        <v>0</v>
      </c>
      <c r="R52" s="17"/>
      <c r="S52" s="17"/>
      <c r="T52" s="17"/>
      <c r="U52" s="17"/>
      <c r="V52" s="17"/>
      <c r="W52" s="17"/>
    </row>
    <row r="53" spans="2:23" x14ac:dyDescent="0.2">
      <c r="D53" s="53" t="s">
        <v>72</v>
      </c>
      <c r="G53" s="14">
        <f>SUM(G33:G52)</f>
        <v>12861</v>
      </c>
      <c r="H53" s="14">
        <f>SUM(H33:H52)</f>
        <v>0</v>
      </c>
      <c r="I53" s="14">
        <f>SUM(I33:I52)</f>
        <v>0</v>
      </c>
      <c r="J53" s="14">
        <f>SUM(J33:J52)</f>
        <v>0</v>
      </c>
      <c r="K53" s="14">
        <f>SUM(G53:J53)</f>
        <v>12861</v>
      </c>
      <c r="M53" s="14">
        <f>SUM(M33:M52)</f>
        <v>12861</v>
      </c>
      <c r="N53" s="14">
        <f>SUM(N33:N52)</f>
        <v>0</v>
      </c>
      <c r="O53" s="14">
        <f>SUM(O33:O52)</f>
        <v>0</v>
      </c>
      <c r="P53" s="14">
        <f>SUM(P33:P52)</f>
        <v>0</v>
      </c>
      <c r="Q53" s="14">
        <f>SUM(M53:P53)</f>
        <v>12861</v>
      </c>
      <c r="R53" s="14"/>
      <c r="S53" s="14"/>
      <c r="T53" s="14"/>
      <c r="U53" s="14"/>
      <c r="V53" s="14"/>
      <c r="W53" s="14"/>
    </row>
    <row r="54" spans="2:23" x14ac:dyDescent="0.2">
      <c r="B54" s="53"/>
      <c r="G54" s="9"/>
    </row>
    <row r="55" spans="2:23" x14ac:dyDescent="0.2">
      <c r="B55" s="53" t="s">
        <v>73</v>
      </c>
      <c r="G55" s="9">
        <v>0</v>
      </c>
      <c r="H55" s="9">
        <v>0</v>
      </c>
      <c r="I55" s="9">
        <v>0</v>
      </c>
      <c r="J55" s="9">
        <v>0</v>
      </c>
      <c r="K55" s="9">
        <f>SUM(G55:J55)</f>
        <v>0</v>
      </c>
      <c r="M55" s="9">
        <v>0</v>
      </c>
      <c r="N55" s="9">
        <v>0</v>
      </c>
      <c r="O55" s="9">
        <v>0</v>
      </c>
      <c r="P55" s="9">
        <v>0</v>
      </c>
      <c r="Q55" s="9">
        <f>SUM(M55:P55)</f>
        <v>0</v>
      </c>
      <c r="R55" s="9"/>
      <c r="S55" s="9"/>
      <c r="T55" s="9"/>
      <c r="U55" s="9"/>
      <c r="V55" s="9"/>
      <c r="W55" s="9"/>
    </row>
    <row r="56" spans="2:23" x14ac:dyDescent="0.2">
      <c r="B56" s="53" t="s">
        <v>74</v>
      </c>
      <c r="D56" s="9"/>
    </row>
    <row r="57" spans="2:23" ht="13.5" thickBot="1" x14ac:dyDescent="0.25">
      <c r="K57" s="9"/>
      <c r="Q57" s="65"/>
      <c r="R57" s="66"/>
      <c r="S57" s="66"/>
      <c r="T57" s="66"/>
      <c r="U57" s="66"/>
      <c r="V57" s="66"/>
      <c r="W57" s="66"/>
    </row>
    <row r="58" spans="2:23" x14ac:dyDescent="0.2">
      <c r="B58" s="53" t="s">
        <v>75</v>
      </c>
      <c r="E58" s="9"/>
      <c r="G58" s="67">
        <f>G21+G24+G31+G53+G55</f>
        <v>12861</v>
      </c>
      <c r="H58" s="67">
        <f>H21+H24+H31+H53+H55</f>
        <v>0</v>
      </c>
      <c r="I58" s="67">
        <f>I21+I24+I31+I53+I55</f>
        <v>0</v>
      </c>
      <c r="J58" s="67">
        <f>J21+J24+J31+J53+J55</f>
        <v>0</v>
      </c>
      <c r="K58" s="67">
        <f>SUM(G58:J58)+K31+K24+K21</f>
        <v>111244</v>
      </c>
      <c r="L58" s="68"/>
      <c r="M58" s="67">
        <f>M21+M24+M31+M53+M55</f>
        <v>33984.395888906962</v>
      </c>
      <c r="N58" s="67">
        <f>N21+N24+N31+N53+N55</f>
        <v>1923.991671112557</v>
      </c>
      <c r="O58" s="67">
        <f>O21+O24+O31+O53+O55</f>
        <v>34149.19599560833</v>
      </c>
      <c r="P58" s="67">
        <f>P21+P24+P31+P53+P55</f>
        <v>0</v>
      </c>
      <c r="Q58" s="67">
        <f>SUM(M58:P58)</f>
        <v>70057.583555627847</v>
      </c>
      <c r="R58" s="62"/>
      <c r="S58" s="62"/>
      <c r="T58" s="62"/>
      <c r="U58" s="62"/>
      <c r="V58" s="62"/>
      <c r="W58" s="62"/>
    </row>
    <row r="61" spans="2:23" ht="14.25" x14ac:dyDescent="0.2">
      <c r="B61" s="57" t="s">
        <v>76</v>
      </c>
    </row>
    <row r="62" spans="2:23" x14ac:dyDescent="0.2">
      <c r="D62" s="6" t="s">
        <v>77</v>
      </c>
      <c r="E62" s="8" t="s">
        <v>26</v>
      </c>
      <c r="G62" s="9">
        <v>0</v>
      </c>
      <c r="H62" s="9">
        <v>0</v>
      </c>
      <c r="I62" s="9">
        <v>0</v>
      </c>
      <c r="J62" s="9"/>
      <c r="K62" s="9">
        <f>I62+H62+G62</f>
        <v>0</v>
      </c>
      <c r="M62" s="9">
        <f>Q62*G82</f>
        <v>0</v>
      </c>
      <c r="N62" s="9">
        <f>Q62*H82</f>
        <v>0</v>
      </c>
      <c r="O62" s="9">
        <f>Q62*I82</f>
        <v>0</v>
      </c>
      <c r="P62" s="9">
        <f t="shared" ref="P62" si="11">J62</f>
        <v>0</v>
      </c>
      <c r="Q62" s="9">
        <f>K62-((((0*114.57)*8)*1))</f>
        <v>0</v>
      </c>
    </row>
    <row r="63" spans="2:23" x14ac:dyDescent="0.2">
      <c r="E63" s="8"/>
    </row>
    <row r="64" spans="2:23" x14ac:dyDescent="0.2">
      <c r="D64" s="6" t="s">
        <v>150</v>
      </c>
      <c r="E64" s="8"/>
      <c r="G64" s="22"/>
      <c r="H64" s="22"/>
      <c r="I64" s="22">
        <v>28213</v>
      </c>
      <c r="J64" s="9"/>
      <c r="K64" s="9">
        <f>I64+H64+G64</f>
        <v>28213</v>
      </c>
      <c r="M64" s="9">
        <f>G64</f>
        <v>0</v>
      </c>
      <c r="N64" s="9">
        <f>H64</f>
        <v>0</v>
      </c>
      <c r="O64" s="9">
        <f>I64</f>
        <v>28213</v>
      </c>
      <c r="P64" s="9">
        <f>J64</f>
        <v>0</v>
      </c>
      <c r="Q64" s="9">
        <f>K64</f>
        <v>28213</v>
      </c>
    </row>
    <row r="65" spans="1:24" x14ac:dyDescent="0.2">
      <c r="E65" s="8"/>
    </row>
    <row r="66" spans="1:24" s="3" customFormat="1" x14ac:dyDescent="0.2">
      <c r="A66" s="6"/>
      <c r="B66" s="6"/>
      <c r="C66" s="6"/>
      <c r="D66" s="6" t="s">
        <v>78</v>
      </c>
      <c r="E66" s="8" t="s">
        <v>26</v>
      </c>
      <c r="F66" s="6"/>
      <c r="G66" s="22">
        <v>14764.25</v>
      </c>
      <c r="H66" s="22">
        <v>1181.1400000000001</v>
      </c>
      <c r="I66" s="22">
        <v>43111.61</v>
      </c>
      <c r="J66" s="9">
        <v>0</v>
      </c>
      <c r="K66" s="9">
        <f>I66+H66+G66</f>
        <v>59057</v>
      </c>
      <c r="L66" s="6"/>
      <c r="M66" s="9">
        <f>G66</f>
        <v>14764.25</v>
      </c>
      <c r="N66" s="9">
        <f>H66</f>
        <v>1181.1400000000001</v>
      </c>
      <c r="O66" s="9">
        <f>I66</f>
        <v>43111.61</v>
      </c>
      <c r="P66" s="9">
        <f>J66</f>
        <v>0</v>
      </c>
      <c r="Q66" s="9">
        <f>K66</f>
        <v>59057</v>
      </c>
      <c r="R66" s="9"/>
      <c r="S66" s="9"/>
      <c r="T66" s="9"/>
      <c r="U66" s="9"/>
      <c r="V66" s="9"/>
      <c r="W66" s="9"/>
      <c r="X66" s="6"/>
    </row>
    <row r="67" spans="1:24" s="3" customFormat="1" ht="13.5" thickBot="1" x14ac:dyDescent="0.25">
      <c r="A67" s="6"/>
      <c r="B67" s="6"/>
      <c r="C67" s="6"/>
      <c r="D67" s="6"/>
      <c r="E67" s="6"/>
      <c r="F67" s="6"/>
      <c r="G67" s="6"/>
      <c r="H67" s="6"/>
      <c r="I67" s="6"/>
      <c r="J67" s="6"/>
      <c r="K67" s="6"/>
      <c r="L67" s="6"/>
      <c r="M67" s="6"/>
      <c r="N67" s="6"/>
      <c r="O67" s="6"/>
      <c r="P67" s="6"/>
      <c r="Q67" s="6"/>
      <c r="R67" s="6"/>
      <c r="S67" s="6"/>
      <c r="T67" s="6"/>
      <c r="U67" s="6"/>
      <c r="V67" s="6"/>
      <c r="W67" s="6"/>
      <c r="X67" s="31"/>
    </row>
    <row r="68" spans="1:24" s="3" customFormat="1" ht="13.5" thickBot="1" x14ac:dyDescent="0.25">
      <c r="A68" s="6"/>
      <c r="B68" s="53" t="s">
        <v>79</v>
      </c>
      <c r="C68" s="6"/>
      <c r="D68" s="6"/>
      <c r="E68" s="8" t="s">
        <v>26</v>
      </c>
      <c r="F68" s="6"/>
      <c r="G68" s="67">
        <f>G66</f>
        <v>14764.25</v>
      </c>
      <c r="H68" s="67">
        <f t="shared" ref="H68:Q69" si="12">H66</f>
        <v>1181.1400000000001</v>
      </c>
      <c r="I68" s="67">
        <f t="shared" si="12"/>
        <v>43111.61</v>
      </c>
      <c r="J68" s="67">
        <f t="shared" si="12"/>
        <v>0</v>
      </c>
      <c r="K68" s="67">
        <f t="shared" si="12"/>
        <v>59057</v>
      </c>
      <c r="L68" s="6"/>
      <c r="M68" s="67">
        <f t="shared" si="12"/>
        <v>14764.25</v>
      </c>
      <c r="N68" s="67">
        <f t="shared" si="12"/>
        <v>1181.1400000000001</v>
      </c>
      <c r="O68" s="67">
        <f t="shared" si="12"/>
        <v>43111.61</v>
      </c>
      <c r="P68" s="67">
        <f t="shared" si="12"/>
        <v>0</v>
      </c>
      <c r="Q68" s="67">
        <f t="shared" si="12"/>
        <v>59057</v>
      </c>
      <c r="R68" s="62"/>
      <c r="S68" s="62"/>
      <c r="T68" s="62"/>
      <c r="U68" s="62"/>
      <c r="V68" s="62"/>
      <c r="W68" s="62"/>
      <c r="X68" s="66"/>
    </row>
    <row r="69" spans="1:24" s="3" customFormat="1" x14ac:dyDescent="0.2">
      <c r="A69" s="6"/>
      <c r="B69" s="53"/>
      <c r="C69" s="6"/>
      <c r="D69" s="6"/>
      <c r="E69" s="8" t="s">
        <v>28</v>
      </c>
      <c r="F69" s="6"/>
      <c r="G69" s="67">
        <f>G67</f>
        <v>0</v>
      </c>
      <c r="H69" s="67">
        <f t="shared" si="12"/>
        <v>0</v>
      </c>
      <c r="I69" s="67">
        <f t="shared" si="12"/>
        <v>0</v>
      </c>
      <c r="J69" s="67">
        <f t="shared" si="12"/>
        <v>0</v>
      </c>
      <c r="K69" s="67">
        <f t="shared" si="12"/>
        <v>0</v>
      </c>
      <c r="L69" s="6"/>
      <c r="M69" s="67">
        <f t="shared" si="12"/>
        <v>0</v>
      </c>
      <c r="N69" s="67">
        <f t="shared" si="12"/>
        <v>0</v>
      </c>
      <c r="O69" s="67">
        <f t="shared" si="12"/>
        <v>0</v>
      </c>
      <c r="P69" s="67">
        <f t="shared" si="12"/>
        <v>0</v>
      </c>
      <c r="Q69" s="67">
        <f t="shared" si="12"/>
        <v>0</v>
      </c>
      <c r="R69" s="69"/>
      <c r="S69" s="69"/>
      <c r="T69" s="69"/>
      <c r="U69" s="69"/>
      <c r="V69" s="69"/>
      <c r="W69" s="69"/>
      <c r="X69" s="6"/>
    </row>
    <row r="70" spans="1:24" s="3" customFormat="1" x14ac:dyDescent="0.2">
      <c r="A70" s="6"/>
      <c r="B70" s="6"/>
      <c r="C70" s="6"/>
      <c r="D70" s="6"/>
      <c r="E70" s="6"/>
      <c r="F70" s="6"/>
      <c r="G70" s="6"/>
      <c r="H70" s="6"/>
      <c r="I70" s="6"/>
      <c r="J70" s="6"/>
      <c r="K70" s="9"/>
      <c r="L70" s="6"/>
      <c r="M70" s="6"/>
      <c r="N70" s="6"/>
      <c r="O70" s="6"/>
      <c r="P70" s="6"/>
      <c r="Q70" s="6"/>
      <c r="R70" s="6"/>
      <c r="S70" s="6"/>
      <c r="T70" s="6"/>
      <c r="U70" s="6"/>
      <c r="V70" s="6"/>
      <c r="W70" s="6"/>
      <c r="X70" s="9"/>
    </row>
    <row r="71" spans="1:24" s="3" customFormat="1" ht="13.5" thickBot="1" x14ac:dyDescent="0.25">
      <c r="A71" s="6"/>
      <c r="B71" s="6"/>
      <c r="C71" s="6"/>
      <c r="D71" s="6"/>
      <c r="E71" s="6"/>
      <c r="F71" s="6"/>
      <c r="G71" s="6"/>
      <c r="H71" s="6"/>
      <c r="I71" s="6"/>
      <c r="J71" s="6"/>
      <c r="K71" s="6"/>
      <c r="L71" s="6"/>
      <c r="M71" s="6"/>
      <c r="N71" s="6"/>
      <c r="O71" s="6"/>
      <c r="P71" s="6"/>
      <c r="Q71" s="6"/>
      <c r="R71" s="6"/>
      <c r="S71" s="6"/>
      <c r="T71" s="6"/>
      <c r="U71" s="6"/>
      <c r="V71" s="6"/>
      <c r="W71" s="6"/>
      <c r="X71" s="6"/>
    </row>
    <row r="72" spans="1:24" s="3" customFormat="1" ht="15" thickBot="1" x14ac:dyDescent="0.25">
      <c r="A72" s="6"/>
      <c r="B72" s="57" t="s">
        <v>80</v>
      </c>
      <c r="C72" s="6"/>
      <c r="D72" s="6"/>
      <c r="E72" s="6"/>
      <c r="F72" s="6"/>
      <c r="G72" s="21">
        <f t="shared" ref="G72:Q72" si="13">G58+G68</f>
        <v>27625.25</v>
      </c>
      <c r="H72" s="21">
        <f t="shared" si="13"/>
        <v>1181.1400000000001</v>
      </c>
      <c r="I72" s="21">
        <f t="shared" si="13"/>
        <v>43111.61</v>
      </c>
      <c r="J72" s="21">
        <f t="shared" si="13"/>
        <v>0</v>
      </c>
      <c r="K72" s="21">
        <f>K58+K68</f>
        <v>170301</v>
      </c>
      <c r="L72" s="21">
        <f t="shared" si="13"/>
        <v>0</v>
      </c>
      <c r="M72" s="21">
        <f t="shared" si="13"/>
        <v>48748.645888906962</v>
      </c>
      <c r="N72" s="21">
        <f t="shared" si="13"/>
        <v>3105.1316711125573</v>
      </c>
      <c r="O72" s="21">
        <f t="shared" si="13"/>
        <v>77260.805995608331</v>
      </c>
      <c r="P72" s="21">
        <f t="shared" si="13"/>
        <v>0</v>
      </c>
      <c r="Q72" s="21">
        <f t="shared" si="13"/>
        <v>129114.58355562785</v>
      </c>
      <c r="R72" s="62"/>
      <c r="S72" s="62"/>
      <c r="T72" s="62"/>
      <c r="U72" s="62"/>
      <c r="V72" s="62"/>
      <c r="W72" s="62"/>
      <c r="X72" s="6"/>
    </row>
    <row r="73" spans="1:24" s="3" customFormat="1" ht="13.5" thickTop="1" x14ac:dyDescent="0.2">
      <c r="A73" s="6"/>
      <c r="B73" s="6"/>
      <c r="C73" s="6"/>
      <c r="D73" s="6"/>
      <c r="E73" s="6"/>
      <c r="F73" s="6"/>
      <c r="G73" s="6"/>
      <c r="H73" s="6"/>
      <c r="I73" s="22"/>
      <c r="J73" s="6"/>
      <c r="K73" s="6"/>
      <c r="L73" s="6"/>
      <c r="M73" s="6"/>
      <c r="N73" s="6"/>
      <c r="O73" s="23"/>
      <c r="P73" s="6"/>
      <c r="Q73" s="6"/>
      <c r="R73" s="6"/>
      <c r="S73" s="6"/>
      <c r="T73" s="6"/>
      <c r="U73" s="6"/>
      <c r="V73" s="6"/>
      <c r="W73" s="6"/>
      <c r="X73" s="6"/>
    </row>
    <row r="74" spans="1:24" x14ac:dyDescent="0.2">
      <c r="I74" s="22"/>
      <c r="K74" s="9"/>
      <c r="O74" s="23"/>
    </row>
    <row r="75" spans="1:24" x14ac:dyDescent="0.2">
      <c r="G75" s="61"/>
      <c r="H75" s="61"/>
      <c r="I75" s="61"/>
      <c r="J75" s="9"/>
      <c r="K75" s="9"/>
      <c r="O75" s="23"/>
    </row>
    <row r="76" spans="1:24" x14ac:dyDescent="0.2">
      <c r="G76" s="163"/>
      <c r="H76" s="163"/>
      <c r="I76" s="163"/>
      <c r="K76" s="9"/>
      <c r="O76" s="35"/>
    </row>
    <row r="77" spans="1:24" x14ac:dyDescent="0.2">
      <c r="G77" s="24"/>
      <c r="H77" s="24"/>
      <c r="I77" s="24"/>
      <c r="K77" s="9"/>
      <c r="O77" s="23"/>
    </row>
    <row r="78" spans="1:24" x14ac:dyDescent="0.2">
      <c r="G78" s="22"/>
      <c r="H78" s="22"/>
      <c r="I78" s="22"/>
      <c r="J78" s="9"/>
      <c r="K78" s="9"/>
      <c r="M78" s="70"/>
      <c r="N78" s="70"/>
      <c r="O78" s="25"/>
      <c r="P78" s="70"/>
      <c r="Q78" s="70"/>
      <c r="R78" s="70"/>
      <c r="S78" s="70"/>
      <c r="T78" s="70"/>
      <c r="U78" s="70"/>
    </row>
    <row r="79" spans="1:24" x14ac:dyDescent="0.2">
      <c r="G79" s="22"/>
      <c r="H79" s="22"/>
      <c r="I79" s="22"/>
      <c r="K79" s="9"/>
      <c r="M79" s="70"/>
      <c r="N79" s="70"/>
      <c r="O79" s="25"/>
      <c r="P79" s="70"/>
      <c r="Q79" s="70"/>
      <c r="R79" s="70"/>
      <c r="S79" s="70"/>
      <c r="T79" s="70"/>
      <c r="U79" s="70"/>
    </row>
    <row r="80" spans="1:24" x14ac:dyDescent="0.2">
      <c r="G80" s="71"/>
      <c r="I80" s="22"/>
      <c r="M80" s="70"/>
      <c r="N80" s="70"/>
      <c r="O80" s="25"/>
      <c r="P80" s="70"/>
      <c r="Q80" s="70"/>
      <c r="R80" s="70"/>
      <c r="S80" s="70"/>
      <c r="T80" s="70"/>
      <c r="U80" s="70"/>
    </row>
    <row r="81" spans="5:25" ht="13.5" thickBot="1" x14ac:dyDescent="0.25">
      <c r="M81" s="70"/>
      <c r="N81" s="70"/>
      <c r="O81" s="70"/>
      <c r="P81" s="70"/>
      <c r="Q81" s="70"/>
      <c r="R81" s="70"/>
      <c r="S81" s="70"/>
      <c r="T81" s="70"/>
      <c r="U81" s="70"/>
    </row>
    <row r="82" spans="5:25" x14ac:dyDescent="0.2">
      <c r="E82" s="72"/>
      <c r="F82" s="73"/>
      <c r="G82" s="74">
        <v>0.25</v>
      </c>
      <c r="H82" s="74">
        <v>0.02</v>
      </c>
      <c r="I82" s="74">
        <v>0.73</v>
      </c>
      <c r="J82" s="73"/>
      <c r="K82" s="96"/>
      <c r="M82" s="75"/>
      <c r="N82" s="76"/>
      <c r="O82" s="76"/>
      <c r="P82" s="76"/>
      <c r="Q82" s="77"/>
      <c r="R82" s="60"/>
      <c r="S82" s="60"/>
      <c r="T82" s="60"/>
      <c r="U82" s="60"/>
    </row>
    <row r="83" spans="5:25" x14ac:dyDescent="0.2">
      <c r="E83" s="50"/>
      <c r="F83" s="31"/>
      <c r="G83" s="31"/>
      <c r="H83" s="31"/>
      <c r="I83" s="31"/>
      <c r="J83" s="31"/>
      <c r="K83" s="78"/>
      <c r="M83" s="26"/>
      <c r="N83" s="60"/>
      <c r="O83" s="60"/>
      <c r="P83" s="60"/>
      <c r="Q83" s="60"/>
      <c r="R83" s="60"/>
      <c r="S83" s="60"/>
      <c r="T83" s="60"/>
      <c r="U83" s="60"/>
    </row>
    <row r="84" spans="5:25" x14ac:dyDescent="0.2">
      <c r="E84" s="50" t="s">
        <v>81</v>
      </c>
      <c r="F84" s="31"/>
      <c r="G84" s="31"/>
      <c r="H84" s="31"/>
      <c r="I84" s="31"/>
      <c r="J84" s="31"/>
      <c r="K84" s="79">
        <v>250000</v>
      </c>
      <c r="M84" s="27"/>
      <c r="N84" s="77"/>
      <c r="O84" s="77"/>
      <c r="P84" s="77"/>
      <c r="Q84" s="77"/>
      <c r="R84" s="60"/>
      <c r="S84" s="60"/>
      <c r="T84" s="60"/>
      <c r="U84" s="60"/>
    </row>
    <row r="85" spans="5:25" x14ac:dyDescent="0.2">
      <c r="E85" s="50" t="s">
        <v>82</v>
      </c>
      <c r="F85" s="31"/>
      <c r="G85" s="31"/>
      <c r="H85" s="31"/>
      <c r="I85" s="31"/>
      <c r="J85" s="31"/>
      <c r="K85" s="79">
        <v>0</v>
      </c>
      <c r="M85" s="70"/>
      <c r="N85" s="60"/>
      <c r="O85" s="60"/>
      <c r="P85" s="60"/>
      <c r="Q85" s="60"/>
      <c r="R85" s="60"/>
      <c r="S85" s="60"/>
      <c r="T85" s="60"/>
      <c r="U85" s="60"/>
    </row>
    <row r="86" spans="5:25" x14ac:dyDescent="0.2">
      <c r="E86" s="50"/>
      <c r="F86" s="31"/>
      <c r="G86" s="31"/>
      <c r="H86" s="31"/>
      <c r="I86" s="31"/>
      <c r="J86" s="31"/>
      <c r="K86" s="79"/>
      <c r="M86" s="27"/>
      <c r="N86" s="60"/>
      <c r="O86" s="60"/>
      <c r="P86" s="60"/>
      <c r="Q86" s="60"/>
      <c r="R86" s="60"/>
      <c r="S86" s="60"/>
      <c r="T86" s="60"/>
      <c r="U86" s="60"/>
    </row>
    <row r="87" spans="5:25" x14ac:dyDescent="0.2">
      <c r="E87" s="50" t="s">
        <v>83</v>
      </c>
      <c r="F87" s="31"/>
      <c r="G87" s="31"/>
      <c r="H87" s="31"/>
      <c r="I87" s="31"/>
      <c r="J87" s="31"/>
      <c r="K87" s="80">
        <f>SUM(K84:K86)</f>
        <v>250000</v>
      </c>
      <c r="M87" s="27"/>
      <c r="N87" s="60"/>
      <c r="O87" s="60"/>
      <c r="P87" s="60"/>
      <c r="Q87" s="60"/>
      <c r="R87" s="60"/>
      <c r="S87" s="60"/>
      <c r="T87" s="60"/>
      <c r="U87" s="60"/>
    </row>
    <row r="88" spans="5:25" x14ac:dyDescent="0.2">
      <c r="E88" s="50" t="s">
        <v>84</v>
      </c>
      <c r="F88" s="31"/>
      <c r="G88" s="31"/>
      <c r="H88" s="31"/>
      <c r="I88" s="31"/>
      <c r="J88" s="31"/>
      <c r="K88" s="79"/>
      <c r="M88" s="27"/>
      <c r="N88" s="60"/>
      <c r="O88" s="81"/>
      <c r="P88" s="81"/>
      <c r="Q88" s="77"/>
      <c r="R88" s="60"/>
      <c r="S88" s="60"/>
      <c r="T88" s="60"/>
      <c r="U88" s="60"/>
    </row>
    <row r="89" spans="5:25" x14ac:dyDescent="0.2">
      <c r="E89" s="50" t="s">
        <v>85</v>
      </c>
      <c r="F89" s="31"/>
      <c r="G89" s="31"/>
      <c r="H89" s="31"/>
      <c r="I89" s="31"/>
      <c r="J89" s="31"/>
      <c r="K89" s="79"/>
      <c r="M89" s="27"/>
      <c r="N89" s="60"/>
      <c r="O89" s="81"/>
      <c r="P89" s="81"/>
      <c r="Q89" s="77"/>
      <c r="R89" s="60"/>
      <c r="S89" s="60"/>
      <c r="T89" s="60"/>
      <c r="U89" s="60"/>
    </row>
    <row r="90" spans="5:25" x14ac:dyDescent="0.2">
      <c r="E90" s="50"/>
      <c r="F90" s="31"/>
      <c r="G90" s="31"/>
      <c r="H90" s="31"/>
      <c r="I90" s="31"/>
      <c r="J90" s="31"/>
      <c r="K90" s="79"/>
      <c r="M90" s="27"/>
      <c r="N90" s="60"/>
      <c r="O90" s="81"/>
      <c r="P90" s="81"/>
      <c r="Q90" s="77"/>
      <c r="R90" s="60"/>
      <c r="S90" s="60"/>
      <c r="T90" s="60"/>
      <c r="U90" s="60"/>
    </row>
    <row r="91" spans="5:25" ht="13.5" thickBot="1" x14ac:dyDescent="0.25">
      <c r="E91" s="50" t="s">
        <v>86</v>
      </c>
      <c r="F91" s="31"/>
      <c r="G91" s="31"/>
      <c r="H91" s="31"/>
      <c r="I91" s="31"/>
      <c r="J91" s="31"/>
      <c r="K91" s="82">
        <f>K87-K88-K89-K90</f>
        <v>250000</v>
      </c>
      <c r="M91" s="27"/>
      <c r="N91" s="60"/>
      <c r="O91" s="60"/>
      <c r="P91" s="60"/>
      <c r="Q91" s="60"/>
      <c r="R91" s="60"/>
      <c r="S91" s="60"/>
      <c r="T91" s="60"/>
      <c r="U91" s="60"/>
    </row>
    <row r="92" spans="5:25" ht="13.5" thickTop="1" x14ac:dyDescent="0.2">
      <c r="E92" s="50"/>
      <c r="F92" s="31"/>
      <c r="G92" s="31"/>
      <c r="H92" s="31"/>
      <c r="I92" s="31"/>
      <c r="J92" s="83" t="s">
        <v>87</v>
      </c>
      <c r="K92" s="79"/>
      <c r="M92" s="27"/>
      <c r="N92" s="60"/>
      <c r="O92" s="60"/>
      <c r="P92" s="60"/>
      <c r="Q92" s="77"/>
      <c r="R92" s="60"/>
      <c r="S92" s="60"/>
      <c r="T92" s="60"/>
      <c r="U92" s="60"/>
    </row>
    <row r="93" spans="5:25" x14ac:dyDescent="0.2">
      <c r="E93" s="50" t="s">
        <v>81</v>
      </c>
      <c r="F93" s="31"/>
      <c r="G93" s="29">
        <v>173002</v>
      </c>
      <c r="H93" s="29">
        <v>1384</v>
      </c>
      <c r="I93" s="29">
        <v>10629</v>
      </c>
      <c r="J93" s="29"/>
      <c r="K93" s="79"/>
      <c r="M93" s="27"/>
      <c r="N93" s="60"/>
      <c r="O93" s="60"/>
      <c r="P93" s="60"/>
      <c r="Q93" s="60"/>
      <c r="R93" s="60"/>
      <c r="S93" s="60"/>
      <c r="T93" s="60"/>
      <c r="U93" s="60">
        <v>0</v>
      </c>
      <c r="Y93" s="3">
        <v>900323.36</v>
      </c>
    </row>
    <row r="94" spans="5:25" x14ac:dyDescent="0.2">
      <c r="E94" s="50" t="s">
        <v>88</v>
      </c>
      <c r="F94" s="31"/>
      <c r="G94" s="29">
        <v>0</v>
      </c>
      <c r="H94" s="84">
        <v>0</v>
      </c>
      <c r="I94" s="84">
        <v>0</v>
      </c>
      <c r="K94" s="78"/>
      <c r="M94" s="70"/>
      <c r="N94" s="60"/>
      <c r="O94" s="60"/>
      <c r="P94" s="60"/>
      <c r="Q94" s="60"/>
      <c r="R94" s="60"/>
      <c r="S94" s="60"/>
      <c r="T94" s="60"/>
      <c r="U94" s="60"/>
    </row>
    <row r="95" spans="5:25" ht="13.5" thickBot="1" x14ac:dyDescent="0.25">
      <c r="E95" s="50" t="s">
        <v>89</v>
      </c>
      <c r="F95" s="31"/>
      <c r="G95" s="85">
        <f>G93+G94</f>
        <v>173002</v>
      </c>
      <c r="H95" s="85">
        <f t="shared" ref="H95" si="14">H93+H94</f>
        <v>1384</v>
      </c>
      <c r="I95" s="85">
        <f>I93+I94</f>
        <v>10629</v>
      </c>
      <c r="J95" s="28"/>
      <c r="K95" s="79"/>
      <c r="M95" s="70"/>
      <c r="N95" s="60"/>
      <c r="O95" s="60"/>
      <c r="P95" s="58"/>
      <c r="Q95" s="60"/>
      <c r="R95" s="60"/>
      <c r="S95" s="60"/>
      <c r="T95" s="60"/>
      <c r="U95" s="60"/>
    </row>
    <row r="96" spans="5:25" ht="14.25" thickTop="1" thickBot="1" x14ac:dyDescent="0.25">
      <c r="E96" s="50" t="s">
        <v>90</v>
      </c>
      <c r="F96" s="31"/>
      <c r="G96" s="86">
        <f>G95/$K$91</f>
        <v>0.69200799999999996</v>
      </c>
      <c r="H96" s="86">
        <f t="shared" ref="H96:I96" si="15">H95/$K$91</f>
        <v>5.5360000000000001E-3</v>
      </c>
      <c r="I96" s="86">
        <f t="shared" si="15"/>
        <v>4.2515999999999998E-2</v>
      </c>
      <c r="J96" s="29"/>
      <c r="K96" s="79"/>
      <c r="M96" s="70"/>
      <c r="N96" s="60"/>
      <c r="O96" s="60"/>
      <c r="P96" s="60"/>
      <c r="Q96" s="60"/>
      <c r="R96" s="60"/>
      <c r="S96" s="60"/>
      <c r="T96" s="60"/>
      <c r="U96" s="60"/>
    </row>
    <row r="97" spans="5:21" ht="14.25" thickTop="1" thickBot="1" x14ac:dyDescent="0.25">
      <c r="E97" s="87"/>
      <c r="F97" s="88"/>
      <c r="G97" s="89" t="s">
        <v>91</v>
      </c>
      <c r="H97" s="89" t="s">
        <v>92</v>
      </c>
      <c r="I97" s="89" t="s">
        <v>5</v>
      </c>
      <c r="J97" s="88"/>
      <c r="K97" s="90"/>
      <c r="M97" s="70"/>
      <c r="N97" s="91"/>
      <c r="O97" s="91"/>
      <c r="P97" s="91"/>
      <c r="Q97" s="60"/>
      <c r="R97" s="60"/>
      <c r="S97" s="60"/>
      <c r="T97" s="60"/>
      <c r="U97" s="60"/>
    </row>
    <row r="98" spans="5:21" x14ac:dyDescent="0.2">
      <c r="J98" s="73"/>
      <c r="K98" s="92"/>
      <c r="M98" s="70"/>
      <c r="N98" s="91"/>
      <c r="O98" s="91"/>
      <c r="P98" s="91"/>
      <c r="Q98" s="60"/>
      <c r="R98" s="60"/>
      <c r="S98" s="60"/>
      <c r="T98" s="60"/>
      <c r="U98" s="60"/>
    </row>
    <row r="99" spans="5:21" x14ac:dyDescent="0.2">
      <c r="J99" s="29"/>
      <c r="K99" s="29"/>
      <c r="M99" s="70"/>
      <c r="N99" s="60"/>
      <c r="O99" s="60"/>
      <c r="P99" s="60"/>
      <c r="Q99" s="60"/>
      <c r="R99" s="60"/>
      <c r="S99" s="60"/>
      <c r="T99" s="60"/>
      <c r="U99" s="60"/>
    </row>
    <row r="100" spans="5:21" x14ac:dyDescent="0.2">
      <c r="E100" s="30"/>
      <c r="F100" s="31"/>
      <c r="G100" s="29"/>
      <c r="H100" s="29"/>
      <c r="I100" s="32"/>
      <c r="J100" s="93"/>
      <c r="K100" s="32"/>
      <c r="M100" s="70"/>
      <c r="N100" s="60"/>
      <c r="O100" s="60"/>
      <c r="P100" s="60"/>
      <c r="Q100" s="60"/>
      <c r="R100" s="60"/>
      <c r="S100" s="60"/>
      <c r="T100" s="60"/>
      <c r="U100" s="60"/>
    </row>
    <row r="101" spans="5:21" x14ac:dyDescent="0.2">
      <c r="E101" s="31"/>
      <c r="F101" s="31"/>
      <c r="G101" s="31"/>
      <c r="H101" s="31"/>
      <c r="I101" s="32"/>
      <c r="J101" s="93"/>
      <c r="K101" s="93"/>
      <c r="M101" s="94"/>
      <c r="N101" s="95"/>
      <c r="O101" s="95"/>
      <c r="P101" s="95"/>
      <c r="Q101" s="60"/>
      <c r="R101" s="60"/>
      <c r="S101" s="60"/>
      <c r="T101" s="60"/>
      <c r="U101" s="60"/>
    </row>
    <row r="102" spans="5:21" x14ac:dyDescent="0.2">
      <c r="E102" s="31"/>
      <c r="F102" s="31"/>
      <c r="G102" s="31"/>
      <c r="H102" s="29"/>
      <c r="I102" s="29"/>
      <c r="J102" s="31"/>
      <c r="K102" s="31"/>
      <c r="M102" s="70"/>
      <c r="N102" s="60"/>
      <c r="O102" s="60"/>
      <c r="P102" s="60"/>
      <c r="Q102" s="60"/>
      <c r="R102" s="60"/>
      <c r="S102" s="60"/>
      <c r="T102" s="60"/>
      <c r="U102" s="60"/>
    </row>
    <row r="103" spans="5:21" x14ac:dyDescent="0.2">
      <c r="E103" s="31"/>
      <c r="F103" s="31"/>
      <c r="G103" s="33"/>
      <c r="H103" s="33"/>
      <c r="I103" s="33"/>
      <c r="M103" s="70"/>
      <c r="N103" s="70"/>
      <c r="O103" s="70"/>
      <c r="P103" s="70"/>
      <c r="Q103" s="70"/>
      <c r="R103" s="70"/>
      <c r="S103" s="70"/>
      <c r="T103" s="70"/>
      <c r="U103" s="70"/>
    </row>
    <row r="104" spans="5:21" x14ac:dyDescent="0.2">
      <c r="E104" s="31"/>
      <c r="F104" s="31"/>
      <c r="G104" s="29"/>
      <c r="H104" s="29"/>
      <c r="I104" s="29"/>
      <c r="M104" s="70"/>
      <c r="N104" s="70"/>
      <c r="O104" s="70"/>
      <c r="P104" s="70"/>
      <c r="Q104" s="70"/>
      <c r="R104" s="70"/>
      <c r="S104" s="70"/>
      <c r="T104" s="70"/>
      <c r="U104" s="70"/>
    </row>
    <row r="105" spans="5:21" x14ac:dyDescent="0.2">
      <c r="E105" s="31"/>
      <c r="F105" s="31"/>
      <c r="G105" s="33"/>
      <c r="H105" s="33"/>
      <c r="I105" s="33"/>
      <c r="M105" s="70"/>
      <c r="N105" s="70"/>
      <c r="O105" s="70"/>
      <c r="P105" s="70"/>
      <c r="Q105" s="70"/>
      <c r="R105" s="70"/>
      <c r="S105" s="70"/>
      <c r="T105" s="70"/>
      <c r="U105" s="70"/>
    </row>
    <row r="106" spans="5:21" x14ac:dyDescent="0.2">
      <c r="E106" s="31"/>
      <c r="F106" s="31"/>
      <c r="G106" s="34"/>
      <c r="H106" s="34"/>
      <c r="I106" s="34"/>
      <c r="J106" s="31"/>
      <c r="M106" s="70"/>
      <c r="N106" s="70"/>
      <c r="O106" s="70"/>
      <c r="P106" s="70"/>
      <c r="Q106" s="70"/>
      <c r="R106" s="70"/>
      <c r="S106" s="70"/>
      <c r="T106" s="70"/>
      <c r="U106" s="70"/>
    </row>
    <row r="107" spans="5:21" x14ac:dyDescent="0.2">
      <c r="G107" s="29"/>
      <c r="H107" s="29"/>
      <c r="I107" s="29"/>
      <c r="J107" s="31"/>
      <c r="M107" s="70"/>
      <c r="N107" s="70"/>
      <c r="O107" s="70"/>
      <c r="P107" s="70"/>
      <c r="Q107" s="70"/>
      <c r="R107" s="70"/>
      <c r="S107" s="70"/>
      <c r="T107" s="70"/>
      <c r="U107" s="70"/>
    </row>
    <row r="108" spans="5:21" x14ac:dyDescent="0.2">
      <c r="G108" s="31"/>
      <c r="H108" s="31"/>
      <c r="I108" s="31"/>
      <c r="J108" s="31"/>
      <c r="M108" s="70"/>
      <c r="N108" s="70"/>
      <c r="O108" s="70"/>
      <c r="P108" s="70"/>
      <c r="Q108" s="70"/>
      <c r="R108" s="70"/>
      <c r="S108" s="70"/>
      <c r="T108" s="70"/>
      <c r="U108" s="70"/>
    </row>
  </sheetData>
  <mergeCells count="2">
    <mergeCell ref="G2:K2"/>
    <mergeCell ref="M2:Q2"/>
  </mergeCells>
  <printOptions horizontalCentered="1"/>
  <pageMargins left="0.25" right="0.25" top="0.25" bottom="0.25" header="0.25" footer="0"/>
  <pageSetup scale="38" orientation="landscape" copies="2" r:id="rId1"/>
  <headerFooter alignWithMargins="0"/>
  <rowBreaks count="1" manualBreakCount="1">
    <brk id="59" min="1" max="16"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ZGVmYXVsdFZhbHVlIj48ZWxlbWVudCB1aWQ9IjkzNmUyMmQ1LTQ1YTctNGNiNy05NWFiLTFhYThjN2M4ODc4OSIgdmFsdWU9IiIgeG1sbnM9Imh0dHA6Ly93d3cuYm9sZG9uamFtZXMuY29tLzIwMDgvMDEvc2llL2ludGVybmFsL2xhYmVsIiAvPjwvc2lzbD48VXNlck5hbWU+Q09SUFxzMjc1MDc3PC9Vc2VyTmFtZT48RGF0ZVRpbWU+OC84LzIwMjIgNTo1NDoxNyBQTTwvRGF0ZVRpbWU+PExhYmVsU3RyaW5nPlVuY2F0ZWdvcml6ZWQ8L0xhYmVsU3RyaW5nPjwvaXRlbT48L2xhYmVsSGlzdG9yeT4=</Value>
</WrappedLabelHistory>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88ffb1c-9230-4705-a789-27bae69f5829">
      <Terms xmlns="http://schemas.microsoft.com/office/infopath/2007/PartnerControls"/>
    </lcf76f155ced4ddcb4097134ff3c332f>
    <TaxCatchAll xmlns="b6888f76-1100-40b0-929b-1efe9044426d" xsi:nil="true"/>
    <Notes xmlns="f88ffb1c-9230-4705-a789-27bae69f5829" xsi:nil="true"/>
    <OriginalFileDate xmlns="f88ffb1c-9230-4705-a789-27bae69f5829" xsi:nil="true"/>
    <Owner xmlns="f88ffb1c-9230-4705-a789-27bae69f5829">
      <UserInfo>
        <DisplayName/>
        <AccountId xsi:nil="true"/>
        <AccountType/>
      </UserInfo>
    </Owner>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DF805D1E1DA4A49A223477D3B105720" ma:contentTypeVersion="17" ma:contentTypeDescription="Create a new document." ma:contentTypeScope="" ma:versionID="81faa06ba1568ca7c427ab21e68d9eda">
  <xsd:schema xmlns:xsd="http://www.w3.org/2001/XMLSchema" xmlns:xs="http://www.w3.org/2001/XMLSchema" xmlns:p="http://schemas.microsoft.com/office/2006/metadata/properties" xmlns:ns2="f88ffb1c-9230-4705-a789-27bae69f5829" xmlns:ns3="b6888f76-1100-40b0-929b-1efe9044426d" targetNamespace="http://schemas.microsoft.com/office/2006/metadata/properties" ma:root="true" ma:fieldsID="627953a9ec9bbb9f77d67bbc3330a37c" ns2:_="" ns3:_="">
    <xsd:import namespace="f88ffb1c-9230-4705-a789-27bae69f5829"/>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wner" minOccurs="0"/>
                <xsd:element ref="ns2:Notes" minOccurs="0"/>
                <xsd:element ref="ns2:OriginalFil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8ffb1c-9230-4705-a789-27bae69f5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wner" ma:index="22"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otes" ma:index="23" nillable="true" ma:displayName="Notes" ma:format="Dropdown" ma:internalName="Notes">
      <xsd:simpleType>
        <xsd:restriction base="dms:Text">
          <xsd:maxLength value="255"/>
        </xsd:restriction>
      </xsd:simpleType>
    </xsd:element>
    <xsd:element name="OriginalFileDate" ma:index="24" nillable="true" ma:displayName="Original File Date" ma:format="DateOnly" ma:internalName="OriginalFil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sisl xmlns:xsd="http://www.w3.org/2001/XMLSchema" xmlns:xsi="http://www.w3.org/2001/XMLSchema-instance" xmlns="http://www.boldonjames.com/2008/01/sie/internal/label" sislVersion="0" policy="e9c0b8d7-bdb4-4fd3-b62a-f50327aaefce" origin="userSelected">
  <element uid="936e22d5-45a7-4cb7-95ab-1aa8c7c88789" value=""/>
</sisl>
</file>

<file path=customXml/itemProps1.xml><?xml version="1.0" encoding="utf-8"?>
<ds:datastoreItem xmlns:ds="http://schemas.openxmlformats.org/officeDocument/2006/customXml" ds:itemID="{060C110C-83AC-4595-B992-C09ABF9D41BC}">
  <ds:schemaRefs>
    <ds:schemaRef ds:uri="http://schemas.microsoft.com/sharepoint/v3/contenttype/forms"/>
  </ds:schemaRefs>
</ds:datastoreItem>
</file>

<file path=customXml/itemProps2.xml><?xml version="1.0" encoding="utf-8"?>
<ds:datastoreItem xmlns:ds="http://schemas.openxmlformats.org/officeDocument/2006/customXml" ds:itemID="{C0D724BD-85D0-462F-878F-608525343D51}">
  <ds:schemaRefs>
    <ds:schemaRef ds:uri="http://www.w3.org/2001/XMLSchema"/>
    <ds:schemaRef ds:uri="http://www.boldonjames.com/2016/02/Classifier/internal/wrappedLabelHistory"/>
  </ds:schemaRefs>
</ds:datastoreItem>
</file>

<file path=customXml/itemProps3.xml><?xml version="1.0" encoding="utf-8"?>
<ds:datastoreItem xmlns:ds="http://schemas.openxmlformats.org/officeDocument/2006/customXml" ds:itemID="{BC2DF3F9-F415-428E-81E3-C31BFA7B9AFA}">
  <ds:schemaRefs>
    <ds:schemaRef ds:uri="f88ffb1c-9230-4705-a789-27bae69f5829"/>
    <ds:schemaRef ds:uri="http://schemas.microsoft.com/office/infopath/2007/PartnerControls"/>
    <ds:schemaRef ds:uri="http://www.w3.org/XML/1998/namespace"/>
    <ds:schemaRef ds:uri="b6888f76-1100-40b0-929b-1efe9044426d"/>
    <ds:schemaRef ds:uri="http://schemas.microsoft.com/office/2006/documentManagement/types"/>
    <ds:schemaRef ds:uri="http://schemas.microsoft.com/office/2006/metadata/properties"/>
    <ds:schemaRef ds:uri="http://purl.org/dc/dcmitype/"/>
    <ds:schemaRef ds:uri="http://purl.org/dc/elements/1.1/"/>
    <ds:schemaRef ds:uri="http://purl.org/dc/terms/"/>
    <ds:schemaRef ds:uri="http://schemas.openxmlformats.org/package/2006/metadata/core-properties"/>
  </ds:schemaRefs>
</ds:datastoreItem>
</file>

<file path=customXml/itemProps4.xml><?xml version="1.0" encoding="utf-8"?>
<ds:datastoreItem xmlns:ds="http://schemas.openxmlformats.org/officeDocument/2006/customXml" ds:itemID="{140446C6-94CC-4B9A-8F08-DC5FA36E8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8ffb1c-9230-4705-a789-27bae69f5829"/>
    <ds:schemaRef ds:uri="b6888f76-1100-40b0-929b-1efe90444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081C93E1-34D7-4994-87DA-F42B8515A10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28</vt:i4>
      </vt:variant>
    </vt:vector>
  </HeadingPairs>
  <TitlesOfParts>
    <vt:vector size="39" baseType="lpstr">
      <vt:lpstr>Summary</vt:lpstr>
      <vt:lpstr>2023-00159</vt:lpstr>
      <vt:lpstr>JMED_Jan 05 Snow-Ice Distr</vt:lpstr>
      <vt:lpstr>Feb 11 Snowstorm_Dist</vt:lpstr>
      <vt:lpstr>JMED Feb 15 Thunderstorm_Dist</vt:lpstr>
      <vt:lpstr>JMED_Feb 15 Thunderstorm_Trans</vt:lpstr>
      <vt:lpstr>Mar 31 Thunderstorm Event</vt:lpstr>
      <vt:lpstr>Apr 3 Thunderstorm_Distr</vt:lpstr>
      <vt:lpstr>May 1 Thunderstorm_Distr</vt:lpstr>
      <vt:lpstr>JMED_May 16 Thunderstorm_Dist </vt:lpstr>
      <vt:lpstr>May 20 Thunderstorm_Dist</vt:lpstr>
      <vt:lpstr>'Apr 3 Thunderstorm_Distr'!Print_Area</vt:lpstr>
      <vt:lpstr>'Feb 11 Snowstorm_Dist'!Print_Area</vt:lpstr>
      <vt:lpstr>'JMED Feb 15 Thunderstorm_Dist'!Print_Area</vt:lpstr>
      <vt:lpstr>'JMED_Feb 15 Thunderstorm_Trans'!Print_Area</vt:lpstr>
      <vt:lpstr>'JMED_Jan 05 Snow-Ice Distr'!Print_Area</vt:lpstr>
      <vt:lpstr>'JMED_May 16 Thunderstorm_Dist '!Print_Area</vt:lpstr>
      <vt:lpstr>'Mar 31 Thunderstorm Event'!Print_Area</vt:lpstr>
      <vt:lpstr>'May 1 Thunderstorm_Distr'!Print_Area</vt:lpstr>
      <vt:lpstr>'May 20 Thunderstorm_Dist'!Print_Area</vt:lpstr>
      <vt:lpstr>Summary!Print_Area</vt:lpstr>
      <vt:lpstr>'Apr 3 Thunderstorm_Distr'!Print_Titles</vt:lpstr>
      <vt:lpstr>'Feb 11 Snowstorm_Dist'!Print_Titles</vt:lpstr>
      <vt:lpstr>'JMED Feb 15 Thunderstorm_Dist'!Print_Titles</vt:lpstr>
      <vt:lpstr>'JMED_Feb 15 Thunderstorm_Trans'!Print_Titles</vt:lpstr>
      <vt:lpstr>'JMED_Jan 05 Snow-Ice Distr'!Print_Titles</vt:lpstr>
      <vt:lpstr>'JMED_May 16 Thunderstorm_Dist '!Print_Titles</vt:lpstr>
      <vt:lpstr>'Mar 31 Thunderstorm Event'!Print_Titles</vt:lpstr>
      <vt:lpstr>'May 1 Thunderstorm_Distr'!Print_Titles</vt:lpstr>
      <vt:lpstr>'May 20 Thunderstorm_Dist'!Print_Titles</vt:lpstr>
      <vt:lpstr>'Apr 3 Thunderstorm_Distr'!TotalOTHours</vt:lpstr>
      <vt:lpstr>'Feb 11 Snowstorm_Dist'!TotalOTHours</vt:lpstr>
      <vt:lpstr>'JMED Feb 15 Thunderstorm_Dist'!TotalOTHours</vt:lpstr>
      <vt:lpstr>'JMED_Feb 15 Thunderstorm_Trans'!TotalOTHours</vt:lpstr>
      <vt:lpstr>'JMED_Jan 05 Snow-Ice Distr'!TotalOTHours</vt:lpstr>
      <vt:lpstr>'JMED_May 16 Thunderstorm_Dist '!TotalOTHours</vt:lpstr>
      <vt:lpstr>'Mar 31 Thunderstorm Event'!TotalOTHours</vt:lpstr>
      <vt:lpstr>'May 1 Thunderstorm_Distr'!TotalOTHours</vt:lpstr>
      <vt:lpstr>'May 20 Thunderstorm_Dist'!TotalOTHours</vt:lpstr>
    </vt:vector>
  </TitlesOfParts>
  <Company>American Electric Power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s275077</dc:creator>
  <cp:keywords/>
  <cp:lastModifiedBy>J.D. Cullop</cp:lastModifiedBy>
  <dcterms:created xsi:type="dcterms:W3CDTF">2021-03-15T15:22:35Z</dcterms:created>
  <dcterms:modified xsi:type="dcterms:W3CDTF">2025-08-14T14:09:02Z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e3a9a234-1866-4e20-9245-c1ea21529b57</vt:lpwstr>
  </property>
  <property fmtid="{D5CDD505-2E9C-101B-9397-08002B2CF9AE}" pid="3" name="bjDocumentSecurityLabel">
    <vt:lpwstr>Uncategorized</vt:lpwstr>
  </property>
  <property fmtid="{D5CDD505-2E9C-101B-9397-08002B2CF9AE}" pid="4" name="bjSaver">
    <vt:lpwstr>o4/sdbF8sMp5xLAtlg2VB+VDX7/DWUax</vt:lpwstr>
  </property>
  <property fmtid="{D5CDD505-2E9C-101B-9397-08002B2CF9AE}" pid="5" name="MSIP_Label_574d496c-7ac4-4b13-81fd-698eca66b217_SiteId">
    <vt:lpwstr>15f3c881-6b03-4ff6-8559-77bf5177818f</vt:lpwstr>
  </property>
  <property fmtid="{D5CDD505-2E9C-101B-9397-08002B2CF9AE}" pid="6" name="MSIP_Label_574d496c-7ac4-4b13-81fd-698eca66b217_Name">
    <vt:lpwstr>Uncategorized</vt:lpwstr>
  </property>
  <property fmtid="{D5CDD505-2E9C-101B-9397-08002B2CF9AE}" pid="7" name="MSIP_Label_574d496c-7ac4-4b13-81fd-698eca66b217_Enabled">
    <vt:lpwstr>true</vt:lpwstr>
  </property>
  <property fmtid="{D5CDD505-2E9C-101B-9397-08002B2CF9AE}" pid="8" name="bjClsUserRVM">
    <vt:lpwstr>[]</vt:lpwstr>
  </property>
  <property fmtid="{D5CDD505-2E9C-101B-9397-08002B2CF9AE}" pid="9" name="bjLabelHistoryID">
    <vt:lpwstr>{C0D724BD-85D0-462F-878F-608525343D51}</vt:lpwstr>
  </property>
  <property fmtid="{D5CDD505-2E9C-101B-9397-08002B2CF9AE}" pid="10"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11" name="bjDocumentLabelXML-0">
    <vt:lpwstr>ames.com/2008/01/sie/internal/label"&gt;&lt;element uid="936e22d5-45a7-4cb7-95ab-1aa8c7c88789" value="" /&gt;&lt;/sisl&gt;</vt:lpwstr>
  </property>
  <property fmtid="{D5CDD505-2E9C-101B-9397-08002B2CF9AE}" pid="12" name="ContentTypeId">
    <vt:lpwstr>0x0101004DF805D1E1DA4A49A223477D3B105720</vt:lpwstr>
  </property>
  <property fmtid="{D5CDD505-2E9C-101B-9397-08002B2CF9AE}" pid="13" name="MediaServiceImageTags">
    <vt:lpwstr/>
  </property>
</Properties>
</file>